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Trans\Grant Applications\2024 Grants\RAISE\Dakota County\BCA\"/>
    </mc:Choice>
  </mc:AlternateContent>
  <xr:revisionPtr revIDLastSave="0" documentId="13_ncr:1_{6FE95B00-7646-465E-8F4F-49ECCC0CADF6}" xr6:coauthVersionLast="47" xr6:coauthVersionMax="47" xr10:uidLastSave="{00000000-0000-0000-0000-000000000000}"/>
  <bookViews>
    <workbookView xWindow="-120" yWindow="-120" windowWidth="29040" windowHeight="15840" tabRatio="857" xr2:uid="{00000000-000D-0000-FFFF-FFFF00000000}"/>
  </bookViews>
  <sheets>
    <sheet name="Assumptions" sheetId="28" r:id="rId1"/>
    <sheet name="BCA Summary " sheetId="46" r:id="rId2"/>
    <sheet name="Travel Time Savings" sheetId="76" r:id="rId3"/>
    <sheet name="Travel Time_Construction" sheetId="111" r:id="rId4"/>
    <sheet name="VOC Savings" sheetId="78" r:id="rId5"/>
    <sheet name="VOC_Construction" sheetId="112" r:id="rId6"/>
    <sheet name="Air Quality" sheetId="79" r:id="rId7"/>
    <sheet name="Corridor Safety Improvement" sheetId="30" r:id="rId8"/>
    <sheet name="Intersection Safety Improvement" sheetId="113" r:id="rId9"/>
    <sheet name="Construction Safety Improvement" sheetId="80" r:id="rId10"/>
    <sheet name="Quality of Life Benefits " sheetId="117" r:id="rId11"/>
    <sheet name="O&amp;M + Rehab" sheetId="75" r:id="rId12"/>
    <sheet name="Capital Cost + RCV" sheetId="42" r:id="rId13"/>
    <sheet name="Traffic Volume and Route Data" sheetId="95" r:id="rId14"/>
    <sheet name="Network Crash Calcs" sheetId="100" r:id="rId15"/>
    <sheet name="Crash Data" sheetId="114" r:id="rId16"/>
    <sheet name="Annual Traffic Data" sheetId="118" r:id="rId17"/>
    <sheet name="Cost Data" sheetId="115" r:id="rId18"/>
  </sheets>
  <externalReferences>
    <externalReference r:id="rId19"/>
    <externalReference r:id="rId20"/>
    <externalReference r:id="rId21"/>
  </externalReferences>
  <definedNames>
    <definedName name="\A" localSheetId="6">#REF!</definedName>
    <definedName name="\A" localSheetId="11">#REF!</definedName>
    <definedName name="\A">#REF!</definedName>
    <definedName name="\B" localSheetId="6">#REF!</definedName>
    <definedName name="\B" localSheetId="11">#REF!</definedName>
    <definedName name="\B">#REF!</definedName>
    <definedName name="\p" localSheetId="6">#REF!</definedName>
    <definedName name="\p" localSheetId="11">#REF!</definedName>
    <definedName name="\p">#REF!</definedName>
    <definedName name="\S">#REF!</definedName>
    <definedName name="_____________________________ALL2">#REF!</definedName>
    <definedName name="____________________________ALL2">#REF!</definedName>
    <definedName name="___________________________ALL2">#REF!</definedName>
    <definedName name="__________________________ALL2">#REF!</definedName>
    <definedName name="_________________________ALL2">#REF!</definedName>
    <definedName name="________________________ALL2">#REF!</definedName>
    <definedName name="_______________________ALL2">#REF!</definedName>
    <definedName name="______________________ALL2">#REF!</definedName>
    <definedName name="_____________________ALL2">#REF!</definedName>
    <definedName name="____________________ALL2">#REF!</definedName>
    <definedName name="___________________ALL2">#REF!</definedName>
    <definedName name="__________________ALL2">#REF!</definedName>
    <definedName name="_________________ALL2">#REF!</definedName>
    <definedName name="________________ALL2">#REF!</definedName>
    <definedName name="_______________ALL2">#REF!</definedName>
    <definedName name="______________ALL2">#REF!</definedName>
    <definedName name="_____________ALL2">#REF!</definedName>
    <definedName name="____________ALL2">#REF!</definedName>
    <definedName name="____________RG1">#REF!</definedName>
    <definedName name="____________RG2">#REF!</definedName>
    <definedName name="____________RG3">#REF!</definedName>
    <definedName name="____________RG4">#REF!</definedName>
    <definedName name="___________ALL2">#REF!</definedName>
    <definedName name="___________RG1">#REF!</definedName>
    <definedName name="___________RG2">#REF!</definedName>
    <definedName name="___________RG3">#REF!</definedName>
    <definedName name="___________RG4">#REF!</definedName>
    <definedName name="__________ALL2">#REF!</definedName>
    <definedName name="__________RG1">#REF!</definedName>
    <definedName name="__________RG2">#REF!</definedName>
    <definedName name="__________RG3">#REF!</definedName>
    <definedName name="__________RG4">#REF!</definedName>
    <definedName name="_________ALL2">#REF!</definedName>
    <definedName name="_________RG1">#REF!</definedName>
    <definedName name="_________RG2">#REF!</definedName>
    <definedName name="_________RG3">#REF!</definedName>
    <definedName name="_________RG4">#REF!</definedName>
    <definedName name="________ALL2">#REF!</definedName>
    <definedName name="________RG1">#REF!</definedName>
    <definedName name="________RG2">#REF!</definedName>
    <definedName name="________RG3">#REF!</definedName>
    <definedName name="________RG4">#REF!</definedName>
    <definedName name="_______ALL2">#REF!</definedName>
    <definedName name="_______RG1">#REF!</definedName>
    <definedName name="_______RG2">#REF!</definedName>
    <definedName name="_______RG3">#REF!</definedName>
    <definedName name="_______RG4">#REF!</definedName>
    <definedName name="______ALL2">#REF!</definedName>
    <definedName name="______RG1">#REF!</definedName>
    <definedName name="______RG2">#REF!</definedName>
    <definedName name="______RG3">#REF!</definedName>
    <definedName name="______RG4">#REF!</definedName>
    <definedName name="_____ALL2">#REF!</definedName>
    <definedName name="_____RG1">#REF!</definedName>
    <definedName name="_____RG2">#REF!</definedName>
    <definedName name="_____RG3">#REF!</definedName>
    <definedName name="_____RG4">#REF!</definedName>
    <definedName name="____ALL2">#REF!</definedName>
    <definedName name="____RG1">#REF!</definedName>
    <definedName name="____RG2">#REF!</definedName>
    <definedName name="____RG3">#REF!</definedName>
    <definedName name="____RG4">#REF!</definedName>
    <definedName name="___ALL2">#REF!</definedName>
    <definedName name="___RG1">#REF!</definedName>
    <definedName name="___RG2">#REF!</definedName>
    <definedName name="___RG3">#REF!</definedName>
    <definedName name="___RG4">#REF!</definedName>
    <definedName name="__123Graph_A" hidden="1">#REF!</definedName>
    <definedName name="__123Graph_X" hidden="1">#REF!</definedName>
    <definedName name="__ALL2">#REF!</definedName>
    <definedName name="__RG1">#REF!</definedName>
    <definedName name="__RG2">#REF!</definedName>
    <definedName name="__RG3">#REF!</definedName>
    <definedName name="__RG4">#REF!</definedName>
    <definedName name="_12_MONTHS">#REF!</definedName>
    <definedName name="_12_PAGE_25MO">#REF!</definedName>
    <definedName name="_ALL2">#REF!</definedName>
    <definedName name="_COW1">#REF!</definedName>
    <definedName name="_COW2">#REF!</definedName>
    <definedName name="_Fill" localSheetId="10" hidden="1">#REF!</definedName>
    <definedName name="_Fill" hidden="1">#REF!</definedName>
    <definedName name="_Key1" localSheetId="6" hidden="1">#REF!</definedName>
    <definedName name="_Key1" localSheetId="11" hidden="1">#REF!</definedName>
    <definedName name="_Key1" localSheetId="10" hidden="1">'[1]Journal Entry'!#REF!</definedName>
    <definedName name="_Key1" hidden="1">#REF!</definedName>
    <definedName name="_Key2" localSheetId="6" hidden="1">#REF!</definedName>
    <definedName name="_Key2" localSheetId="11" hidden="1">#REF!</definedName>
    <definedName name="_Key2" localSheetId="10" hidden="1">'[1]Journal Entry'!#REF!</definedName>
    <definedName name="_Key2" hidden="1">#REF!</definedName>
    <definedName name="_Order1" hidden="1">255</definedName>
    <definedName name="_Order2" hidden="1">255</definedName>
    <definedName name="_ppp1" localSheetId="6">#REF!</definedName>
    <definedName name="_ppp1" localSheetId="11">#REF!</definedName>
    <definedName name="_ppp1">#REF!</definedName>
    <definedName name="_ppp2" localSheetId="6">#REF!</definedName>
    <definedName name="_ppp2" localSheetId="11">#REF!</definedName>
    <definedName name="_ppp2">#REF!</definedName>
    <definedName name="_ppp3" localSheetId="6">#REF!</definedName>
    <definedName name="_ppp3" localSheetId="11">#REF!</definedName>
    <definedName name="_ppp3">#REF!</definedName>
    <definedName name="_RG1">#REF!</definedName>
    <definedName name="_RG2">#REF!</definedName>
    <definedName name="_RG3">#REF!</definedName>
    <definedName name="_RG4">#REF!</definedName>
    <definedName name="_ST1">#REF!</definedName>
    <definedName name="_ST2">#REF!</definedName>
    <definedName name="_SUB1">#REF!</definedName>
    <definedName name="_SUB2">#REF!</definedName>
    <definedName name="_SUB3">#REF!</definedName>
    <definedName name="_SUB4">#REF!</definedName>
    <definedName name="_SUB5">#REF!</definedName>
    <definedName name="_SUB6">#REF!</definedName>
    <definedName name="_SUB8">#REF!</definedName>
    <definedName name="_SW1">#REF!</definedName>
    <definedName name="_SW2">#REF!</definedName>
    <definedName name="AADTGrowth">#REF!</definedName>
    <definedName name="ABBREV_DATE" localSheetId="6">#REF!</definedName>
    <definedName name="ABBREV_DATE" localSheetId="11">#REF!</definedName>
    <definedName name="ABBREV_DATE">#REF!</definedName>
    <definedName name="Adds" localSheetId="6">#REF!</definedName>
    <definedName name="Adds" localSheetId="11">#REF!</definedName>
    <definedName name="Adds">#REF!</definedName>
    <definedName name="AnalysisPeriod">Assumptions!#REF!</definedName>
    <definedName name="ASSIGN" localSheetId="6">#REF!</definedName>
    <definedName name="ASSIGN" localSheetId="11">#REF!</definedName>
    <definedName name="ASSIGN">#REF!</definedName>
    <definedName name="AutoCost">Assumptions!#REF!</definedName>
    <definedName name="B_4" localSheetId="6">#REF!</definedName>
    <definedName name="B_4" localSheetId="11">#REF!</definedName>
    <definedName name="B_4">#REF!</definedName>
    <definedName name="B_5" localSheetId="6">#REF!</definedName>
    <definedName name="B_5" localSheetId="11">#REF!</definedName>
    <definedName name="B_5">#REF!</definedName>
    <definedName name="BCAnalysisPeriod" localSheetId="6">#REF!</definedName>
    <definedName name="BCAnalysisPeriod" localSheetId="12">#REF!</definedName>
    <definedName name="BCAnalysisPeriod" localSheetId="11">#REF!</definedName>
    <definedName name="BCAnalysisPeriod" localSheetId="10">[2]Assumptions!#REF!</definedName>
    <definedName name="BCAnalysisPeriod">Assumptions!#REF!</definedName>
    <definedName name="BEGINNING" localSheetId="6">#REF!</definedName>
    <definedName name="BEGINNING" localSheetId="11">#REF!</definedName>
    <definedName name="BEGINNING">#REF!</definedName>
    <definedName name="BEx3O85IKWARA6NCJOLRBRJFMEWW" localSheetId="6" hidden="1">#REF!</definedName>
    <definedName name="BEx3O85IKWARA6NCJOLRBRJFMEWW" localSheetId="11" hidden="1">#REF!</definedName>
    <definedName name="BEx3O85IKWARA6NCJOLRBRJFMEWW" localSheetId="10" hidden="1">'[3]Q2 09 Rail BS Leads'!#REF!</definedName>
    <definedName name="BEx3O85IKWARA6NCJOLRBRJFMEWW" hidden="1">#REF!</definedName>
    <definedName name="BEx5MLQZM68YQSKARVWTTPINFQ2C" localSheetId="6" hidden="1">#REF!</definedName>
    <definedName name="BEx5MLQZM68YQSKARVWTTPINFQ2C" localSheetId="11" hidden="1">#REF!</definedName>
    <definedName name="BEx5MLQZM68YQSKARVWTTPINFQ2C" localSheetId="10" hidden="1">'[3]Q2 09 Rail BS Leads'!#REF!</definedName>
    <definedName name="BEx5MLQZM68YQSKARVWTTPINFQ2C" hidden="1">#REF!</definedName>
    <definedName name="BExERWCEBKQRYWRQLYJ4UCMMKTHG" localSheetId="11" hidden="1">#REF!</definedName>
    <definedName name="BExERWCEBKQRYWRQLYJ4UCMMKTHG" localSheetId="10" hidden="1">'[3]Q2 09 Rail BS Leads'!#REF!</definedName>
    <definedName name="BExERWCEBKQRYWRQLYJ4UCMMKTHG" hidden="1">#REF!</definedName>
    <definedName name="BExMBYPQDG9AYDQ5E8IECVFREPO6" localSheetId="11" hidden="1">#REF!</definedName>
    <definedName name="BExMBYPQDG9AYDQ5E8IECVFREPO6" localSheetId="10" hidden="1">'[3]Q2 09 Rail BS Leads'!#REF!</definedName>
    <definedName name="BExMBYPQDG9AYDQ5E8IECVFREPO6" hidden="1">#REF!</definedName>
    <definedName name="BExQ9ZLYHWABXAA9NJDW8ZS0UQ9P" localSheetId="10" hidden="1">'[3]Q2 09 Rail BS Leads'!#REF!</definedName>
    <definedName name="BExQ9ZLYHWABXAA9NJDW8ZS0UQ9P" hidden="1">#REF!</definedName>
    <definedName name="BExTUY9WNSJ91GV8CP0SKJTEIV82" localSheetId="10" hidden="1">'[3]Q2 09 Rail BS Leads'!#REF!</definedName>
    <definedName name="BExTUY9WNSJ91GV8CP0SKJTEIV82" hidden="1">#REF!</definedName>
    <definedName name="BS_98" localSheetId="6">#REF!</definedName>
    <definedName name="BS_98" localSheetId="11">#REF!</definedName>
    <definedName name="BS_98">#REF!</definedName>
    <definedName name="BS_99" localSheetId="6">#REF!</definedName>
    <definedName name="BS_99" localSheetId="11">#REF!</definedName>
    <definedName name="BS_99">#REF!</definedName>
    <definedName name="BS_SUM_25MO" localSheetId="6">#REF!</definedName>
    <definedName name="BS_SUM_25MO" localSheetId="11">#REF!</definedName>
    <definedName name="BS_SUM_25MO">#REF!</definedName>
    <definedName name="BS_SUM_98">#REF!</definedName>
    <definedName name="BS_SUM_99">#REF!</definedName>
    <definedName name="CBS">#REF!</definedName>
    <definedName name="COLE">#REF!</definedName>
    <definedName name="CompositeCost">Assumptions!#REF!</definedName>
    <definedName name="_xlnm.Criteria" localSheetId="6">#REF!</definedName>
    <definedName name="_xlnm.Criteria" localSheetId="11">#REF!</definedName>
    <definedName name="_xlnm.Criteria">#REF!</definedName>
    <definedName name="CURRENT_DATE" localSheetId="6">#REF!</definedName>
    <definedName name="CURRENT_DATE" localSheetId="11">#REF!</definedName>
    <definedName name="CURRENT_DATE">#REF!</definedName>
    <definedName name="DATA" localSheetId="6">#REF!</definedName>
    <definedName name="DATA" localSheetId="11">#REF!</definedName>
    <definedName name="DATA">#REF!</definedName>
    <definedName name="_xlnm.Database">#REF!</definedName>
    <definedName name="Daysinyr">Assumptions!#REF!</definedName>
    <definedName name="DecComICC" localSheetId="6">#REF!</definedName>
    <definedName name="DecComICC" localSheetId="11">#REF!</definedName>
    <definedName name="DecComICC">#REF!</definedName>
    <definedName name="DecComInstall" localSheetId="6">#REF!</definedName>
    <definedName name="DecComInstall" localSheetId="11">#REF!</definedName>
    <definedName name="DecComInstall">#REF!</definedName>
    <definedName name="Detail" localSheetId="6">#REF!</definedName>
    <definedName name="Detail" localSheetId="11">#REF!</definedName>
    <definedName name="Detail">#REF!</definedName>
    <definedName name="DISC_RATE">#REF!</definedName>
    <definedName name="DiscountRate">Assumptions!#REF!</definedName>
    <definedName name="ENDING" localSheetId="6">#REF!</definedName>
    <definedName name="ENDING" localSheetId="11">#REF!</definedName>
    <definedName name="ENDING">#REF!</definedName>
    <definedName name="EndYear">Assumptions!#REF!</definedName>
    <definedName name="EPR" localSheetId="6">#REF!</definedName>
    <definedName name="EPR" localSheetId="11">#REF!</definedName>
    <definedName name="EPR">#REF!</definedName>
    <definedName name="_xlnm.Extract" localSheetId="6">#REF!</definedName>
    <definedName name="_xlnm.Extract" localSheetId="11">#REF!</definedName>
    <definedName name="_xlnm.Extract">#REF!</definedName>
    <definedName name="formula" localSheetId="6">#REF!</definedName>
    <definedName name="formula" localSheetId="11">#REF!</definedName>
    <definedName name="formula">#REF!</definedName>
    <definedName name="furbase">#REF!</definedName>
    <definedName name="FURN">#REF!</definedName>
    <definedName name="furnish">#REF!</definedName>
    <definedName name="furnmat">#REF!</definedName>
    <definedName name="GENERAL">#REF!</definedName>
    <definedName name="ICCConv">#REF!</definedName>
    <definedName name="IMPORT" localSheetId="6">#REF!</definedName>
    <definedName name="IMPORT" localSheetId="11">#REF!</definedName>
    <definedName name="IMPORT">#REF!</definedName>
    <definedName name="infor" localSheetId="6">#REF!</definedName>
    <definedName name="infor" localSheetId="11">#REF!</definedName>
    <definedName name="infor">#REF!</definedName>
    <definedName name="item" localSheetId="6">#REF!</definedName>
    <definedName name="item" localSheetId="11">#REF!</definedName>
    <definedName name="item">#REF!</definedName>
    <definedName name="k7.">#REF!</definedName>
    <definedName name="LEADS">#REF!</definedName>
    <definedName name="LEADS_25MO">#REF!</definedName>
    <definedName name="LEADS_98">#REF!</definedName>
    <definedName name="LEADS_99">#REF!</definedName>
    <definedName name="LOLD">1</definedName>
    <definedName name="LOLD_Table">7</definedName>
    <definedName name="MainFolder">#REF!</definedName>
    <definedName name="mike" localSheetId="6">#REF!</definedName>
    <definedName name="mike" localSheetId="11">#REF!</definedName>
    <definedName name="mike">#REF!</definedName>
    <definedName name="mobil1" localSheetId="6">#REF!</definedName>
    <definedName name="mobil1" localSheetId="11">#REF!</definedName>
    <definedName name="mobil1">#REF!</definedName>
    <definedName name="NEXT" localSheetId="6">#REF!</definedName>
    <definedName name="NEXT" localSheetId="11">#REF!</definedName>
    <definedName name="NEXT">#REF!</definedName>
    <definedName name="Normal">#REF!</definedName>
    <definedName name="number">#REF!</definedName>
    <definedName name="OPER1">#REF!</definedName>
    <definedName name="OPER2">#REF!</definedName>
    <definedName name="PAGE_33">#REF!</definedName>
    <definedName name="PAGE1">#REF!</definedName>
    <definedName name="PAGE2">#REF!</definedName>
    <definedName name="PAGE32">#REF!</definedName>
    <definedName name="PAGE37">#REF!</definedName>
    <definedName name="PART_B">#REF!</definedName>
    <definedName name="PARTA">#REF!</definedName>
    <definedName name="PeakLngthE">Assumptions!$K$18</definedName>
    <definedName name="PercentAutoW">Assumptions!$L$62</definedName>
    <definedName name="PercentAutoWO">Assumptions!$K$62</definedName>
    <definedName name="PercentTrucksW">Assumptions!$L$65</definedName>
    <definedName name="PercentTrucksWO">Assumptions!$K$65</definedName>
    <definedName name="PercTruckW">Assumptions!$L$65</definedName>
    <definedName name="PerTruckE">Assumptions!$K$65</definedName>
    <definedName name="PerTruckN">Assumptions!$L$65</definedName>
    <definedName name="PISNU" localSheetId="6">#REF!</definedName>
    <definedName name="PISNU" localSheetId="11">#REF!</definedName>
    <definedName name="PISNU">#REF!</definedName>
    <definedName name="PosnPnt_0925" localSheetId="6">#REF!</definedName>
    <definedName name="PosnPnt_0925">#REF!</definedName>
    <definedName name="ppp" localSheetId="6">#REF!</definedName>
    <definedName name="ppp" localSheetId="11">#REF!</definedName>
    <definedName name="ppp">#REF!</definedName>
    <definedName name="price">#REF!</definedName>
    <definedName name="PRINT_ALL">#REF!</definedName>
    <definedName name="_xlnm.Print_Area" localSheetId="6">'Air Quality'!$A$2:$AH$54</definedName>
    <definedName name="_xlnm.Print_Area" localSheetId="16">'Annual Traffic Data'!$A$2:$P$35</definedName>
    <definedName name="_xlnm.Print_Area" localSheetId="0">Assumptions!$B$2:$K$69</definedName>
    <definedName name="_xlnm.Print_Area" localSheetId="1">'BCA Summary '!$B$2:$S$80</definedName>
    <definedName name="_xlnm.Print_Area" localSheetId="12">'Capital Cost + RCV'!$A$2:$R$55</definedName>
    <definedName name="_xlnm.Print_Area" localSheetId="9">'Construction Safety Improvement'!$A$2:$AK$55</definedName>
    <definedName name="_xlnm.Print_Area" localSheetId="7">'Corridor Safety Improvement'!$A$2:$AI$71</definedName>
    <definedName name="_xlnm.Print_Area" localSheetId="8">'Intersection Safety Improvement'!$A$2:$AJ$71</definedName>
    <definedName name="_xlnm.Print_Area" localSheetId="14">'Network Crash Calcs'!$B$2:$P$32</definedName>
    <definedName name="_xlnm.Print_Area" localSheetId="11">'O&amp;M + Rehab'!$A$2:$S$44</definedName>
    <definedName name="_xlnm.Print_Area" localSheetId="10">'Quality of Life Benefits '!$A$2:$AJ$55</definedName>
    <definedName name="_xlnm.Print_Area" localSheetId="13">'Traffic Volume and Route Data'!$B$2:$K$39</definedName>
    <definedName name="_xlnm.Print_Area" localSheetId="2">'Travel Time Savings'!$A$2:$S$49</definedName>
    <definedName name="_xlnm.Print_Area" localSheetId="3">'Travel Time_Construction'!$A$2:$W$39</definedName>
    <definedName name="_xlnm.Print_Area" localSheetId="4">'VOC Savings'!$A$2:$R$49</definedName>
    <definedName name="_xlnm.Print_Area" localSheetId="5">VOC_Construction!$A$2:$S$34</definedName>
    <definedName name="_xlnm.Print_Area">#REF!</definedName>
    <definedName name="PRINT_AREA_MI" localSheetId="6">#REF!</definedName>
    <definedName name="PRINT_AREA_MI" localSheetId="11">#REF!</definedName>
    <definedName name="PRINT_AREA_MI">#REF!</definedName>
    <definedName name="PRINT_CF_9899" localSheetId="6">#REF!</definedName>
    <definedName name="PRINT_CF_9899" localSheetId="11">#REF!</definedName>
    <definedName name="PRINT_CF_9899">#REF!</definedName>
    <definedName name="PRINT_DIFF">#REF!</definedName>
    <definedName name="_xlnm.Print_Titles">#N/A</definedName>
    <definedName name="Print_Titles_MI">#REF!,#REF!</definedName>
    <definedName name="ProjLoc">Assumptions!$L$17</definedName>
    <definedName name="Projlocation">Assumptions!$I$19</definedName>
    <definedName name="ProjName" localSheetId="6">Assumptions!#REF!</definedName>
    <definedName name="ProjName" localSheetId="11">Assumptions!#REF!</definedName>
    <definedName name="ProjName">Assumptions!#REF!</definedName>
    <definedName name="PRT_12_PAGE_25M" localSheetId="6">#REF!</definedName>
    <definedName name="PRT_12_PAGE_25M" localSheetId="11">#REF!</definedName>
    <definedName name="PRT_12_PAGE_25M">#REF!</definedName>
    <definedName name="PRT_98_WCRECON" localSheetId="6">#REF!</definedName>
    <definedName name="PRT_98_WCRECON" localSheetId="11">#REF!</definedName>
    <definedName name="PRT_98_WCRECON">#REF!</definedName>
    <definedName name="PRT_99_WCRECON" localSheetId="6">#REF!</definedName>
    <definedName name="PRT_99_WCRECON" localSheetId="11">#REF!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CURR_MO">#REF!</definedName>
    <definedName name="PRT_LEAD_25MO">#REF!</definedName>
    <definedName name="PRT_LEAD_ACT_98">#REF!</definedName>
    <definedName name="PRT_LEAD_PLN_99">#REF!</definedName>
    <definedName name="PRT_NCA_98">#REF!</definedName>
    <definedName name="PRT_NCA_99">#REF!</definedName>
    <definedName name="PRT_QUARTER">#REF!</definedName>
    <definedName name="Q1_VS_PLAN">#REF!</definedName>
    <definedName name="Q2_VS_PLAN">#REF!</definedName>
    <definedName name="Q3_VS_PLAN">#REF!</definedName>
    <definedName name="Q4_VS_PLAN">#REF!</definedName>
    <definedName name="qty">#REF!</definedName>
    <definedName name="Rate">#REF!</definedName>
    <definedName name="Rates">#REF!</definedName>
    <definedName name="RETIREMENTS" localSheetId="6">#REF!</definedName>
    <definedName name="RETIREMENTS" localSheetId="11">#REF!</definedName>
    <definedName name="RETIREMENTS">#REF!</definedName>
    <definedName name="Retires" localSheetId="6">#REF!</definedName>
    <definedName name="Retires" localSheetId="11">#REF!</definedName>
    <definedName name="Retires">#REF!</definedName>
    <definedName name="ROSNU">#REF!</definedName>
    <definedName name="SAPBEXhrIndnt" hidden="1">"Wide"</definedName>
    <definedName name="SAPsysID" hidden="1">"708C5W7SBKP804JT78WJ0JNKI"</definedName>
    <definedName name="SAPwbID" hidden="1">"ARS"</definedName>
    <definedName name="SB_5_B_">#REF!</definedName>
    <definedName name="SEC_12R1">#REF!</definedName>
    <definedName name="SEC_12R2">#REF!</definedName>
    <definedName name="SEC_12S">#REF!</definedName>
    <definedName name="SEC_13T1">#REF!</definedName>
    <definedName name="SEC_13T2">#REF!</definedName>
    <definedName name="SEC_13T2D">#REF!</definedName>
    <definedName name="SEC_5E">#REF!</definedName>
    <definedName name="SEC_5F">#REF!</definedName>
    <definedName name="SEC_5G">#REF!</definedName>
    <definedName name="SEC_6H">#REF!</definedName>
    <definedName name="SEC_6H7">#REF!</definedName>
    <definedName name="SEC_7I1">#REF!</definedName>
    <definedName name="SEC_7I2">#REF!</definedName>
    <definedName name="SEC_7I3">#REF!</definedName>
    <definedName name="SEC_7I4">#REF!</definedName>
    <definedName name="SEC_7I5">#REF!</definedName>
    <definedName name="SEC_7I6">#REF!</definedName>
    <definedName name="SEC_7I7">#REF!</definedName>
    <definedName name="SEC_7I8">#REF!</definedName>
    <definedName name="SEC_8J1">#REF!</definedName>
    <definedName name="SEC_8J2">#REF!</definedName>
    <definedName name="SEC_8K">#REF!</definedName>
    <definedName name="SEC_8L">#REF!</definedName>
    <definedName name="select">#REF!</definedName>
    <definedName name="SHEET_CHOICE">#REF!</definedName>
    <definedName name="SHEET1">#REF!</definedName>
    <definedName name="SHEET2">#REF!</definedName>
    <definedName name="SHEET3">#REF!</definedName>
    <definedName name="SHEET4">#REF!</definedName>
    <definedName name="SHEET5A">#REF!</definedName>
    <definedName name="SHEET5B">#REF!</definedName>
    <definedName name="SHEET5C">#REF!</definedName>
    <definedName name="SHEET5D">#REF!</definedName>
    <definedName name="SHEET6">#REF!</definedName>
    <definedName name="solver_typ" localSheetId="12" hidden="1">2</definedName>
    <definedName name="solver_typ" localSheetId="11" hidden="1">2</definedName>
    <definedName name="solver_ver" localSheetId="12" hidden="1">17</definedName>
    <definedName name="solver_ver" localSheetId="11" hidden="1">17</definedName>
    <definedName name="Spanner_Auto_File">"T:\139407\NDM\ROR\DRAWING\des_road.x2a"</definedName>
    <definedName name="Spanner_Auto_Select">#REF!</definedName>
    <definedName name="SRFProjectNum" localSheetId="6">Assumptions!#REF!</definedName>
    <definedName name="SRFProjectNum" localSheetId="11">Assumptions!#REF!</definedName>
    <definedName name="SRFProjectNum">Assumptions!#REF!</definedName>
    <definedName name="StartYear" localSheetId="6">Assumptions!#REF!</definedName>
    <definedName name="StartYear" localSheetId="11">Assumptions!#REF!</definedName>
    <definedName name="StartYear">Assumptions!#REF!</definedName>
    <definedName name="SUB7L" localSheetId="6">#REF!</definedName>
    <definedName name="SUB7L" localSheetId="11">#REF!</definedName>
    <definedName name="SUB7L">#REF!</definedName>
    <definedName name="supp" localSheetId="6">#REF!</definedName>
    <definedName name="supp" localSheetId="11">#REF!</definedName>
    <definedName name="supp">#REF!</definedName>
    <definedName name="suppbase" localSheetId="6">#REF!</definedName>
    <definedName name="suppbase" localSheetId="11">#REF!</definedName>
    <definedName name="suppbase">#REF!</definedName>
    <definedName name="SUPPL">#REF!</definedName>
    <definedName name="supplem">#REF!</definedName>
    <definedName name="TAccReductPer">Assumptions!#REF!</definedName>
    <definedName name="TAptFW">Assumptions!#REF!</definedName>
    <definedName name="TITLE" localSheetId="6">#REF!</definedName>
    <definedName name="TITLE" localSheetId="11">#REF!</definedName>
    <definedName name="TITLE">#REF!</definedName>
    <definedName name="TOTAL" localSheetId="6">#REF!</definedName>
    <definedName name="TOTAL" localSheetId="11">#REF!</definedName>
    <definedName name="TOTAL">#REF!</definedName>
    <definedName name="TPerHwy">Assumptions!#REF!</definedName>
    <definedName name="TruckCost" localSheetId="6">#REF!</definedName>
    <definedName name="TruckCost" localSheetId="12">#REF!</definedName>
    <definedName name="TruckCost" localSheetId="11">#REF!</definedName>
    <definedName name="TruckCost" localSheetId="10">[2]Assumptions!#REF!</definedName>
    <definedName name="TruckCost">Assumptions!#REF!</definedName>
    <definedName name="TruckSpeed">Assumptions!#REF!</definedName>
    <definedName name="TVehMiBW">Assumptions!#REF!</definedName>
    <definedName name="TVehMiFW">Assumptions!#REF!</definedName>
    <definedName name="UPDATE" localSheetId="6">#REF!</definedName>
    <definedName name="UPDATE" localSheetId="11">#REF!</definedName>
    <definedName name="UPDATE">#REF!</definedName>
    <definedName name="VEH_OCC">#REF!</definedName>
    <definedName name="Version" localSheetId="6">#REF!</definedName>
    <definedName name="Version" localSheetId="11">#REF!</definedName>
    <definedName name="Version">#REF!</definedName>
    <definedName name="x" localSheetId="6">#REF!</definedName>
    <definedName name="x" localSheetId="11">#REF!</definedName>
    <definedName name="x">#REF!</definedName>
    <definedName name="yrofanalysis" localSheetId="6">Assumptions!#REF!</definedName>
    <definedName name="yrofanalysis" localSheetId="11">Assumptions!#REF!</definedName>
    <definedName name="yrofanalysis">Assumptions!#REF!</definedName>
    <definedName name="yrofcurrentdollars" localSheetId="6">Assumptions!#REF!</definedName>
    <definedName name="yrofcurrentdollars" localSheetId="11">Assumptions!#REF!</definedName>
    <definedName name="yrofcurrentdollars">Assumptions!#REF!</definedName>
    <definedName name="YTD" localSheetId="6">#REF!</definedName>
    <definedName name="YTD" localSheetId="11">#REF!</definedName>
    <definedName name="YT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12" l="1"/>
  <c r="I6" i="112"/>
  <c r="J6" i="112"/>
  <c r="J7" i="111"/>
  <c r="S7" i="79"/>
  <c r="S8" i="79"/>
  <c r="S9" i="79"/>
  <c r="S10" i="79"/>
  <c r="S11" i="79"/>
  <c r="S12" i="79"/>
  <c r="S13" i="79"/>
  <c r="S14" i="79"/>
  <c r="S15" i="79"/>
  <c r="S16" i="79"/>
  <c r="S17" i="79"/>
  <c r="S18" i="79"/>
  <c r="S19" i="79"/>
  <c r="S20" i="79"/>
  <c r="S21" i="79"/>
  <c r="S22" i="79"/>
  <c r="S23" i="79"/>
  <c r="S24" i="79"/>
  <c r="S25" i="79"/>
  <c r="S26" i="79"/>
  <c r="S27" i="79"/>
  <c r="S6" i="79"/>
  <c r="R7" i="79"/>
  <c r="R8" i="79"/>
  <c r="R9" i="79"/>
  <c r="R10" i="79"/>
  <c r="R11" i="79"/>
  <c r="R12" i="79"/>
  <c r="R13" i="79"/>
  <c r="R14" i="79"/>
  <c r="R15" i="79"/>
  <c r="R16" i="79"/>
  <c r="R17" i="79"/>
  <c r="R18" i="79"/>
  <c r="R19" i="79"/>
  <c r="R20" i="79"/>
  <c r="R21" i="79"/>
  <c r="R22" i="79"/>
  <c r="R23" i="79"/>
  <c r="R24" i="79"/>
  <c r="R25" i="79"/>
  <c r="R26" i="79"/>
  <c r="R27" i="79"/>
  <c r="R6" i="79"/>
  <c r="O16" i="42" l="1"/>
  <c r="O17" i="42"/>
  <c r="O18" i="42"/>
  <c r="O15" i="42"/>
  <c r="P20" i="42"/>
  <c r="L20" i="42"/>
  <c r="J7" i="42"/>
  <c r="F46" i="115"/>
  <c r="F37" i="115"/>
  <c r="F32" i="115"/>
  <c r="F33" i="115"/>
  <c r="F34" i="115"/>
  <c r="F35" i="115"/>
  <c r="J8" i="42"/>
  <c r="I7" i="78"/>
  <c r="I8" i="78"/>
  <c r="I9" i="78"/>
  <c r="I10" i="78"/>
  <c r="I11" i="78"/>
  <c r="I12" i="78"/>
  <c r="I13" i="78"/>
  <c r="I14" i="78"/>
  <c r="I15" i="78"/>
  <c r="I16" i="78"/>
  <c r="I17" i="78"/>
  <c r="I18" i="78"/>
  <c r="I19" i="78"/>
  <c r="I20" i="78"/>
  <c r="I21" i="78"/>
  <c r="I22" i="78"/>
  <c r="I23" i="78"/>
  <c r="I24" i="78"/>
  <c r="I25" i="78"/>
  <c r="I6" i="78"/>
  <c r="J17" i="76"/>
  <c r="I7" i="76"/>
  <c r="I8" i="76"/>
  <c r="I9" i="76"/>
  <c r="I10" i="76"/>
  <c r="I11" i="76"/>
  <c r="I12" i="76"/>
  <c r="I13" i="76"/>
  <c r="I14" i="76"/>
  <c r="I15" i="76"/>
  <c r="I16" i="76"/>
  <c r="I17" i="76"/>
  <c r="I18" i="76"/>
  <c r="I19" i="76"/>
  <c r="I20" i="76"/>
  <c r="I21" i="76"/>
  <c r="I22" i="76"/>
  <c r="I23" i="76"/>
  <c r="I24" i="76"/>
  <c r="I25" i="76"/>
  <c r="I6" i="76"/>
  <c r="L21" i="42"/>
  <c r="J9" i="42"/>
  <c r="P16" i="42" l="1"/>
  <c r="P17" i="42"/>
  <c r="P18" i="42"/>
  <c r="P15" i="42"/>
  <c r="AE7" i="80" a="1"/>
  <c r="AE7" i="80"/>
  <c r="V7" i="80" a="1"/>
  <c r="V7" i="80"/>
  <c r="U7" i="80" a="1"/>
  <c r="U7" i="80"/>
  <c r="T7" i="80" a="1"/>
  <c r="T7" i="80"/>
  <c r="S7" i="80" a="1"/>
  <c r="S7" i="80"/>
  <c r="R7" i="80" a="1"/>
  <c r="R7" i="80"/>
  <c r="I18" i="80"/>
  <c r="J29" i="30"/>
  <c r="S7" i="30" a="1"/>
  <c r="S7" i="30"/>
  <c r="F24" i="100" l="1"/>
  <c r="J12" i="80"/>
  <c r="K16" i="100"/>
  <c r="G24" i="100"/>
  <c r="H24" i="100"/>
  <c r="I24" i="100"/>
  <c r="J24" i="100"/>
  <c r="G25" i="100"/>
  <c r="H25" i="100"/>
  <c r="I25" i="100"/>
  <c r="J25" i="100"/>
  <c r="G26" i="100"/>
  <c r="H26" i="100"/>
  <c r="I26" i="100"/>
  <c r="J26" i="100"/>
  <c r="F26" i="100"/>
  <c r="F25" i="100"/>
  <c r="F23" i="100"/>
  <c r="L16" i="100"/>
  <c r="M16" i="100"/>
  <c r="N16" i="100"/>
  <c r="O16" i="100"/>
  <c r="L17" i="100"/>
  <c r="M17" i="100"/>
  <c r="N17" i="100"/>
  <c r="O17" i="100"/>
  <c r="L18" i="100"/>
  <c r="M18" i="100"/>
  <c r="N18" i="100"/>
  <c r="O18" i="100"/>
  <c r="K18" i="100"/>
  <c r="K17" i="100"/>
  <c r="K15" i="100"/>
  <c r="AC7" i="30" a="1"/>
  <c r="AC7" i="30"/>
  <c r="J37" i="30"/>
  <c r="AE22" i="79"/>
  <c r="AD22" i="79"/>
  <c r="AC21" i="79"/>
  <c r="W6" i="79"/>
  <c r="W5" i="79"/>
  <c r="G17" i="78" a="1"/>
  <c r="G17" i="78"/>
  <c r="F41" i="115"/>
  <c r="N21" i="42" s="1"/>
  <c r="P21" i="42" s="1"/>
  <c r="Q21" i="42" l="1"/>
  <c r="F43" i="115"/>
  <c r="M14" i="42" s="1"/>
  <c r="P14" i="42" s="1"/>
  <c r="F39" i="115"/>
  <c r="F31" i="115"/>
  <c r="F30" i="115"/>
  <c r="F27" i="115"/>
  <c r="F26" i="115"/>
  <c r="F23" i="115"/>
  <c r="F21" i="115"/>
  <c r="F13" i="115"/>
  <c r="F14" i="115"/>
  <c r="F16" i="115"/>
  <c r="F17" i="115"/>
  <c r="F18" i="115"/>
  <c r="F19" i="115"/>
  <c r="F10" i="115"/>
  <c r="F11" i="115"/>
  <c r="F12" i="115"/>
  <c r="I11" i="30"/>
  <c r="I32" i="30"/>
  <c r="I31" i="30"/>
  <c r="J11" i="30"/>
  <c r="K11" i="30"/>
  <c r="L11" i="30"/>
  <c r="M11" i="30"/>
  <c r="O15" i="75"/>
  <c r="AC7" i="80"/>
  <c r="AD7" i="80" s="1"/>
  <c r="AC8" i="80"/>
  <c r="AD8" i="80" s="1"/>
  <c r="AC9" i="80"/>
  <c r="AD9" i="80" s="1"/>
  <c r="AC10" i="80"/>
  <c r="AD10" i="80" s="1"/>
  <c r="AC11" i="80"/>
  <c r="AD11" i="80" s="1"/>
  <c r="AC12" i="80"/>
  <c r="AD12" i="80" s="1"/>
  <c r="AC13" i="80"/>
  <c r="AD13" i="80" s="1"/>
  <c r="AC14" i="80"/>
  <c r="AD14" i="80" s="1"/>
  <c r="AC15" i="80"/>
  <c r="AD15" i="80" s="1"/>
  <c r="AC16" i="80"/>
  <c r="AD16" i="80" s="1"/>
  <c r="AC17" i="80"/>
  <c r="AD17" i="80" s="1"/>
  <c r="AC18" i="80"/>
  <c r="AD18" i="80" s="1"/>
  <c r="AC19" i="80"/>
  <c r="AD19" i="80" s="1"/>
  <c r="AC20" i="80"/>
  <c r="AD20" i="80" s="1"/>
  <c r="AC21" i="80"/>
  <c r="AD21" i="80" s="1"/>
  <c r="AC22" i="80"/>
  <c r="AD22" i="80" s="1"/>
  <c r="AC23" i="80"/>
  <c r="AD23" i="80" s="1"/>
  <c r="AC24" i="80"/>
  <c r="AD24" i="80" s="1"/>
  <c r="AC25" i="80"/>
  <c r="AD25" i="80" s="1"/>
  <c r="AC26" i="80"/>
  <c r="AD26" i="80" s="1"/>
  <c r="AC27" i="80"/>
  <c r="AD27" i="80" s="1"/>
  <c r="AC28" i="80"/>
  <c r="AD28" i="80" s="1"/>
  <c r="AC29" i="80"/>
  <c r="AD29" i="80" s="1"/>
  <c r="AC30" i="80"/>
  <c r="AD30" i="80" s="1"/>
  <c r="AC31" i="80"/>
  <c r="AD31" i="80" s="1"/>
  <c r="AC32" i="80"/>
  <c r="AD32" i="80" s="1"/>
  <c r="AC33" i="80"/>
  <c r="AD33" i="80" s="1"/>
  <c r="AC34" i="80"/>
  <c r="AD34" i="80" s="1"/>
  <c r="AC35" i="80"/>
  <c r="AD35" i="80" s="1"/>
  <c r="AC36" i="80"/>
  <c r="AD36" i="80" s="1"/>
  <c r="AC37" i="80"/>
  <c r="AD37" i="80" s="1"/>
  <c r="AC38" i="80"/>
  <c r="AD38" i="80" s="1"/>
  <c r="AC39" i="80"/>
  <c r="AD39" i="80" s="1"/>
  <c r="AC40" i="80"/>
  <c r="AD40" i="80" s="1"/>
  <c r="AC41" i="80"/>
  <c r="AD41" i="80" s="1"/>
  <c r="AC42" i="80"/>
  <c r="AD42" i="80" s="1"/>
  <c r="AC43" i="80"/>
  <c r="AD43" i="80" s="1"/>
  <c r="AC44" i="80"/>
  <c r="AD44" i="80" s="1"/>
  <c r="AC45" i="80"/>
  <c r="AD45" i="80" s="1"/>
  <c r="AC46" i="80"/>
  <c r="AD46" i="80" s="1"/>
  <c r="AC47" i="80"/>
  <c r="AD47" i="80" s="1"/>
  <c r="H23" i="80"/>
  <c r="F48" i="115" l="1"/>
  <c r="AE47" i="80" a="1"/>
  <c r="AE47" i="80" s="1"/>
  <c r="AF47" i="80" a="1"/>
  <c r="AF47" i="80" s="1"/>
  <c r="AG47" i="80" a="1"/>
  <c r="AG47" i="80" s="1"/>
  <c r="AH47" i="80" a="1"/>
  <c r="AH47" i="80" s="1"/>
  <c r="AI47" i="80" a="1"/>
  <c r="AI47" i="80" s="1"/>
  <c r="AE46" i="80" a="1"/>
  <c r="AE46" i="80" s="1"/>
  <c r="AF46" i="80" a="1"/>
  <c r="AF46" i="80" s="1"/>
  <c r="AG46" i="80" a="1"/>
  <c r="AG46" i="80" s="1"/>
  <c r="AH46" i="80" a="1"/>
  <c r="AH46" i="80" s="1"/>
  <c r="AI46" i="80" a="1"/>
  <c r="AI46" i="80" s="1"/>
  <c r="AE45" i="80" a="1"/>
  <c r="AE45" i="80" s="1"/>
  <c r="AF45" i="80" a="1"/>
  <c r="AF45" i="80" s="1"/>
  <c r="AG45" i="80" a="1"/>
  <c r="AG45" i="80" s="1"/>
  <c r="AH45" i="80" a="1"/>
  <c r="AH45" i="80" s="1"/>
  <c r="AI45" i="80" a="1"/>
  <c r="AI45" i="80" s="1"/>
  <c r="AE44" i="80" a="1"/>
  <c r="AE44" i="80" s="1"/>
  <c r="AF44" i="80" a="1"/>
  <c r="AF44" i="80" s="1"/>
  <c r="AG44" i="80" a="1"/>
  <c r="AG44" i="80" s="1"/>
  <c r="AH44" i="80" a="1"/>
  <c r="AH44" i="80" s="1"/>
  <c r="AI44" i="80" a="1"/>
  <c r="AI44" i="80" s="1"/>
  <c r="AE43" i="80" a="1"/>
  <c r="AE43" i="80" s="1"/>
  <c r="AF43" i="80" a="1"/>
  <c r="AF43" i="80" s="1"/>
  <c r="AG43" i="80" a="1"/>
  <c r="AG43" i="80" s="1"/>
  <c r="AH43" i="80" a="1"/>
  <c r="AH43" i="80" s="1"/>
  <c r="AI43" i="80" a="1"/>
  <c r="AI43" i="80" s="1"/>
  <c r="AE42" i="80" a="1"/>
  <c r="AE42" i="80" s="1"/>
  <c r="AF42" i="80" a="1"/>
  <c r="AF42" i="80" s="1"/>
  <c r="AG42" i="80" a="1"/>
  <c r="AG42" i="80" s="1"/>
  <c r="AH42" i="80" a="1"/>
  <c r="AH42" i="80" s="1"/>
  <c r="AI42" i="80" a="1"/>
  <c r="AI42" i="80" s="1"/>
  <c r="AE41" i="80" a="1"/>
  <c r="AE41" i="80" s="1"/>
  <c r="AF41" i="80" a="1"/>
  <c r="AF41" i="80" s="1"/>
  <c r="AG41" i="80" a="1"/>
  <c r="AG41" i="80" s="1"/>
  <c r="AH41" i="80" a="1"/>
  <c r="AH41" i="80" s="1"/>
  <c r="AI41" i="80" a="1"/>
  <c r="AI41" i="80" s="1"/>
  <c r="AE40" i="80" a="1"/>
  <c r="AE40" i="80" s="1"/>
  <c r="AF40" i="80" a="1"/>
  <c r="AF40" i="80" s="1"/>
  <c r="AG40" i="80" a="1"/>
  <c r="AG40" i="80" s="1"/>
  <c r="AH40" i="80" a="1"/>
  <c r="AH40" i="80" s="1"/>
  <c r="AI40" i="80" a="1"/>
  <c r="AI40" i="80" s="1"/>
  <c r="AE39" i="80" a="1"/>
  <c r="AE39" i="80" s="1"/>
  <c r="AF39" i="80" a="1"/>
  <c r="AF39" i="80" s="1"/>
  <c r="AG39" i="80" a="1"/>
  <c r="AG39" i="80" s="1"/>
  <c r="AH39" i="80" a="1"/>
  <c r="AH39" i="80" s="1"/>
  <c r="AI39" i="80" a="1"/>
  <c r="AI39" i="80" s="1"/>
  <c r="AE38" i="80" a="1"/>
  <c r="AE38" i="80" s="1"/>
  <c r="AF38" i="80" a="1"/>
  <c r="AF38" i="80" s="1"/>
  <c r="AG38" i="80" a="1"/>
  <c r="AG38" i="80" s="1"/>
  <c r="AH38" i="80" a="1"/>
  <c r="AH38" i="80" s="1"/>
  <c r="AI38" i="80" a="1"/>
  <c r="AI38" i="80" s="1"/>
  <c r="AE37" i="80" a="1"/>
  <c r="AE37" i="80" s="1"/>
  <c r="AF37" i="80" a="1"/>
  <c r="AF37" i="80" s="1"/>
  <c r="AG37" i="80" a="1"/>
  <c r="AG37" i="80" s="1"/>
  <c r="AH37" i="80" a="1"/>
  <c r="AH37" i="80" s="1"/>
  <c r="AI37" i="80" a="1"/>
  <c r="AI37" i="80" s="1"/>
  <c r="AE36" i="80" a="1"/>
  <c r="AE36" i="80" s="1"/>
  <c r="AF36" i="80" a="1"/>
  <c r="AF36" i="80" s="1"/>
  <c r="AG36" i="80" a="1"/>
  <c r="AG36" i="80" s="1"/>
  <c r="AH36" i="80" a="1"/>
  <c r="AH36" i="80" s="1"/>
  <c r="AI36" i="80" a="1"/>
  <c r="AI36" i="80" s="1"/>
  <c r="AE35" i="80" a="1"/>
  <c r="AE35" i="80" s="1"/>
  <c r="AF35" i="80" a="1"/>
  <c r="AF35" i="80" s="1"/>
  <c r="AG35" i="80" a="1"/>
  <c r="AG35" i="80" s="1"/>
  <c r="AH35" i="80" a="1"/>
  <c r="AH35" i="80" s="1"/>
  <c r="AI35" i="80" a="1"/>
  <c r="AI35" i="80" s="1"/>
  <c r="AE34" i="80" a="1"/>
  <c r="AE34" i="80" s="1"/>
  <c r="AF34" i="80" a="1"/>
  <c r="AF34" i="80" s="1"/>
  <c r="AG34" i="80" a="1"/>
  <c r="AG34" i="80" s="1"/>
  <c r="AH34" i="80" a="1"/>
  <c r="AH34" i="80" s="1"/>
  <c r="AI34" i="80" a="1"/>
  <c r="AI34" i="80" s="1"/>
  <c r="AE33" i="80" a="1"/>
  <c r="AE33" i="80" s="1"/>
  <c r="AF33" i="80" a="1"/>
  <c r="AF33" i="80" s="1"/>
  <c r="AG33" i="80" a="1"/>
  <c r="AG33" i="80" s="1"/>
  <c r="AH33" i="80" a="1"/>
  <c r="AH33" i="80" s="1"/>
  <c r="AI33" i="80" a="1"/>
  <c r="AI33" i="80" s="1"/>
  <c r="AE32" i="80" a="1"/>
  <c r="AE32" i="80" s="1"/>
  <c r="AF32" i="80" a="1"/>
  <c r="AF32" i="80" s="1"/>
  <c r="AG32" i="80" a="1"/>
  <c r="AG32" i="80" s="1"/>
  <c r="AH32" i="80" a="1"/>
  <c r="AH32" i="80" s="1"/>
  <c r="AI32" i="80" a="1"/>
  <c r="AI32" i="80" s="1"/>
  <c r="AE31" i="80" a="1"/>
  <c r="AE31" i="80" s="1"/>
  <c r="AF31" i="80" a="1"/>
  <c r="AF31" i="80" s="1"/>
  <c r="AG31" i="80" a="1"/>
  <c r="AG31" i="80" s="1"/>
  <c r="AH31" i="80" a="1"/>
  <c r="AH31" i="80" s="1"/>
  <c r="AI31" i="80" a="1"/>
  <c r="AI31" i="80" s="1"/>
  <c r="AE30" i="80" a="1"/>
  <c r="AE30" i="80" s="1"/>
  <c r="AF30" i="80" a="1"/>
  <c r="AF30" i="80" s="1"/>
  <c r="AG30" i="80" a="1"/>
  <c r="AG30" i="80" s="1"/>
  <c r="AH30" i="80" a="1"/>
  <c r="AH30" i="80" s="1"/>
  <c r="AI30" i="80" a="1"/>
  <c r="AI30" i="80" s="1"/>
  <c r="AE29" i="80" a="1"/>
  <c r="AE29" i="80" s="1"/>
  <c r="AF29" i="80" a="1"/>
  <c r="AF29" i="80" s="1"/>
  <c r="AG29" i="80" a="1"/>
  <c r="AG29" i="80" s="1"/>
  <c r="AH29" i="80" a="1"/>
  <c r="AH29" i="80" s="1"/>
  <c r="AI29" i="80" a="1"/>
  <c r="AI29" i="80" s="1"/>
  <c r="AE28" i="80" a="1"/>
  <c r="AE28" i="80" s="1"/>
  <c r="AF28" i="80" a="1"/>
  <c r="AF28" i="80" s="1"/>
  <c r="AG28" i="80" a="1"/>
  <c r="AG28" i="80" s="1"/>
  <c r="AH28" i="80" a="1"/>
  <c r="AH28" i="80" s="1"/>
  <c r="AI28" i="80" a="1"/>
  <c r="AI28" i="80" s="1"/>
  <c r="AE27" i="80" a="1"/>
  <c r="AE27" i="80" s="1"/>
  <c r="AF27" i="80" a="1"/>
  <c r="AF27" i="80" s="1"/>
  <c r="AG27" i="80" a="1"/>
  <c r="AG27" i="80" s="1"/>
  <c r="AH27" i="80" a="1"/>
  <c r="AH27" i="80" s="1"/>
  <c r="AI27" i="80" a="1"/>
  <c r="AI27" i="80" s="1"/>
  <c r="AE26" i="80" a="1"/>
  <c r="AE26" i="80" s="1"/>
  <c r="AF26" i="80" a="1"/>
  <c r="AF26" i="80" s="1"/>
  <c r="AG26" i="80" a="1"/>
  <c r="AG26" i="80" s="1"/>
  <c r="AH26" i="80" a="1"/>
  <c r="AH26" i="80" s="1"/>
  <c r="AI26" i="80" a="1"/>
  <c r="AI26" i="80" s="1"/>
  <c r="AE25" i="80" a="1"/>
  <c r="AE25" i="80" s="1"/>
  <c r="AF25" i="80" a="1"/>
  <c r="AF25" i="80" s="1"/>
  <c r="AG25" i="80" a="1"/>
  <c r="AG25" i="80" s="1"/>
  <c r="AH25" i="80" a="1"/>
  <c r="AH25" i="80" s="1"/>
  <c r="AI25" i="80" a="1"/>
  <c r="AI25" i="80" s="1"/>
  <c r="AE24" i="80" a="1"/>
  <c r="AE24" i="80" s="1"/>
  <c r="AF24" i="80" a="1"/>
  <c r="AF24" i="80" s="1"/>
  <c r="AG24" i="80" a="1"/>
  <c r="AG24" i="80" s="1"/>
  <c r="AH24" i="80" a="1"/>
  <c r="AH24" i="80" s="1"/>
  <c r="AI24" i="80" a="1"/>
  <c r="AI24" i="80" s="1"/>
  <c r="AE23" i="80" a="1"/>
  <c r="AE23" i="80" s="1"/>
  <c r="AF23" i="80" a="1"/>
  <c r="AF23" i="80" s="1"/>
  <c r="AG23" i="80" a="1"/>
  <c r="AG23" i="80" s="1"/>
  <c r="AH23" i="80" a="1"/>
  <c r="AH23" i="80" s="1"/>
  <c r="AI23" i="80" a="1"/>
  <c r="AI23" i="80" s="1"/>
  <c r="AE22" i="80" a="1"/>
  <c r="AE22" i="80" s="1"/>
  <c r="AF22" i="80" a="1"/>
  <c r="AF22" i="80" s="1"/>
  <c r="AG22" i="80" a="1"/>
  <c r="AG22" i="80" s="1"/>
  <c r="AH22" i="80" a="1"/>
  <c r="AH22" i="80" s="1"/>
  <c r="AI22" i="80" a="1"/>
  <c r="AI22" i="80" s="1"/>
  <c r="AE21" i="80" a="1"/>
  <c r="AE21" i="80" s="1"/>
  <c r="AF21" i="80" a="1"/>
  <c r="AF21" i="80" s="1"/>
  <c r="AG21" i="80" a="1"/>
  <c r="AG21" i="80" s="1"/>
  <c r="AH21" i="80" a="1"/>
  <c r="AH21" i="80" s="1"/>
  <c r="AI21" i="80" a="1"/>
  <c r="AI21" i="80" s="1"/>
  <c r="AE20" i="80" a="1"/>
  <c r="AE20" i="80" s="1"/>
  <c r="AF20" i="80" a="1"/>
  <c r="AF20" i="80" s="1"/>
  <c r="AG20" i="80" a="1"/>
  <c r="AG20" i="80" s="1"/>
  <c r="AH20" i="80" a="1"/>
  <c r="AH20" i="80" s="1"/>
  <c r="AI20" i="80" a="1"/>
  <c r="AI20" i="80" s="1"/>
  <c r="AE19" i="80" a="1"/>
  <c r="AE19" i="80" s="1"/>
  <c r="AF19" i="80" a="1"/>
  <c r="AF19" i="80" s="1"/>
  <c r="AG19" i="80" a="1"/>
  <c r="AG19" i="80" s="1"/>
  <c r="AH19" i="80" a="1"/>
  <c r="AH19" i="80" s="1"/>
  <c r="AI19" i="80" a="1"/>
  <c r="AI19" i="80" s="1"/>
  <c r="AE18" i="80" a="1"/>
  <c r="AE18" i="80" s="1"/>
  <c r="AF18" i="80" a="1"/>
  <c r="AF18" i="80" s="1"/>
  <c r="AG18" i="80" a="1"/>
  <c r="AG18" i="80" s="1"/>
  <c r="AH18" i="80" a="1"/>
  <c r="AH18" i="80" s="1"/>
  <c r="AI18" i="80" a="1"/>
  <c r="AI18" i="80" s="1"/>
  <c r="AE17" i="80" a="1"/>
  <c r="AE17" i="80" s="1"/>
  <c r="AF17" i="80" a="1"/>
  <c r="AF17" i="80" s="1"/>
  <c r="AG17" i="80" a="1"/>
  <c r="AG17" i="80" s="1"/>
  <c r="AH17" i="80" a="1"/>
  <c r="AH17" i="80" s="1"/>
  <c r="AI17" i="80" a="1"/>
  <c r="AI17" i="80" s="1"/>
  <c r="AE14" i="80" a="1"/>
  <c r="AE14" i="80" s="1"/>
  <c r="AF14" i="80" a="1"/>
  <c r="AF14" i="80" s="1"/>
  <c r="AG14" i="80" a="1"/>
  <c r="AG14" i="80" s="1"/>
  <c r="AH14" i="80" a="1"/>
  <c r="AH14" i="80" s="1"/>
  <c r="AI14" i="80" a="1"/>
  <c r="AI14" i="80" s="1"/>
  <c r="AE13" i="80" a="1"/>
  <c r="AE13" i="80" s="1"/>
  <c r="AF13" i="80" a="1"/>
  <c r="AF13" i="80" s="1"/>
  <c r="AG13" i="80" a="1"/>
  <c r="AG13" i="80" s="1"/>
  <c r="AH13" i="80" a="1"/>
  <c r="AH13" i="80" s="1"/>
  <c r="AI13" i="80" a="1"/>
  <c r="AI13" i="80" s="1"/>
  <c r="AE12" i="80" a="1"/>
  <c r="AE12" i="80" s="1"/>
  <c r="AF12" i="80" a="1"/>
  <c r="AF12" i="80" s="1"/>
  <c r="AG12" i="80" a="1"/>
  <c r="AG12" i="80" s="1"/>
  <c r="AH12" i="80" a="1"/>
  <c r="AH12" i="80" s="1"/>
  <c r="AI12" i="80" a="1"/>
  <c r="AI12" i="80" s="1"/>
  <c r="AE11" i="80" a="1"/>
  <c r="AE11" i="80" s="1"/>
  <c r="AF11" i="80" a="1"/>
  <c r="AF11" i="80" s="1"/>
  <c r="AG11" i="80" a="1"/>
  <c r="AG11" i="80" s="1"/>
  <c r="AH11" i="80" a="1"/>
  <c r="AH11" i="80" s="1"/>
  <c r="AI11" i="80" a="1"/>
  <c r="AI11" i="80" s="1"/>
  <c r="AE10" i="80" a="1"/>
  <c r="AE10" i="80" s="1"/>
  <c r="AF10" i="80" a="1"/>
  <c r="AF10" i="80" s="1"/>
  <c r="AG10" i="80" a="1"/>
  <c r="AG10" i="80" s="1"/>
  <c r="AH10" i="80" a="1"/>
  <c r="AH10" i="80" s="1"/>
  <c r="AI10" i="80" a="1"/>
  <c r="AI10" i="80" s="1"/>
  <c r="AE9" i="80" a="1"/>
  <c r="AE9" i="80" s="1"/>
  <c r="AF9" i="80" a="1"/>
  <c r="AF9" i="80" s="1"/>
  <c r="AG9" i="80" a="1"/>
  <c r="AG9" i="80" s="1"/>
  <c r="AH9" i="80" a="1"/>
  <c r="AH9" i="80" s="1"/>
  <c r="AI9" i="80" a="1"/>
  <c r="AI9" i="80" s="1"/>
  <c r="AE8" i="80" a="1"/>
  <c r="AE8" i="80" s="1"/>
  <c r="AF8" i="80" a="1"/>
  <c r="AF8" i="80" s="1"/>
  <c r="AG8" i="80" a="1"/>
  <c r="AG8" i="80" s="1"/>
  <c r="AH8" i="80" a="1"/>
  <c r="AH8" i="80" s="1"/>
  <c r="AI8" i="80" a="1"/>
  <c r="AI8" i="80" s="1"/>
  <c r="AI7" i="80" a="1"/>
  <c r="AI7" i="80" s="1"/>
  <c r="AH7" i="80" a="1"/>
  <c r="AH7" i="80" s="1"/>
  <c r="AG7" i="80" a="1"/>
  <c r="AG7" i="80" s="1"/>
  <c r="AF7" i="80" a="1"/>
  <c r="AF7" i="80" s="1"/>
  <c r="H19" i="80"/>
  <c r="H18" i="80"/>
  <c r="O19" i="42" l="1"/>
  <c r="P19" i="42" s="1"/>
  <c r="O28" i="111"/>
  <c r="O29" i="111"/>
  <c r="G8" i="111" s="1" a="1"/>
  <c r="G8" i="111" s="1"/>
  <c r="O22" i="76"/>
  <c r="C6" i="76" a="1"/>
  <c r="C6" i="76"/>
  <c r="T11" i="111"/>
  <c r="T15" i="111"/>
  <c r="F8" i="118"/>
  <c r="F9" i="118"/>
  <c r="F10" i="118"/>
  <c r="F11" i="118"/>
  <c r="F12" i="118"/>
  <c r="F13" i="118"/>
  <c r="F14" i="118"/>
  <c r="F15" i="118"/>
  <c r="F16" i="118"/>
  <c r="F17" i="118"/>
  <c r="F18" i="118"/>
  <c r="F19" i="118"/>
  <c r="F20" i="118"/>
  <c r="F21" i="118"/>
  <c r="F22" i="118"/>
  <c r="F23" i="118"/>
  <c r="F24" i="118"/>
  <c r="F25" i="118"/>
  <c r="F26" i="118"/>
  <c r="F7" i="118"/>
  <c r="E8" i="118"/>
  <c r="E9" i="118"/>
  <c r="E10" i="118"/>
  <c r="E11" i="118"/>
  <c r="E12" i="118"/>
  <c r="E13" i="118"/>
  <c r="E14" i="118"/>
  <c r="E15" i="118"/>
  <c r="E16" i="118"/>
  <c r="E17" i="118"/>
  <c r="E18" i="118"/>
  <c r="E19" i="118"/>
  <c r="E20" i="118"/>
  <c r="E21" i="118"/>
  <c r="E22" i="118"/>
  <c r="E23" i="118"/>
  <c r="E24" i="118"/>
  <c r="E25" i="118"/>
  <c r="E26" i="118"/>
  <c r="E7" i="118"/>
  <c r="E6" i="118"/>
  <c r="E5" i="118"/>
  <c r="B6" i="118"/>
  <c r="B7" i="118"/>
  <c r="B8" i="118"/>
  <c r="B9" i="118"/>
  <c r="B10" i="118"/>
  <c r="B11" i="118"/>
  <c r="B12" i="118"/>
  <c r="B13" i="118"/>
  <c r="B14" i="118"/>
  <c r="B15" i="118"/>
  <c r="B16" i="118"/>
  <c r="B17" i="118"/>
  <c r="B18" i="118"/>
  <c r="B19" i="118"/>
  <c r="B20" i="118"/>
  <c r="B21" i="118"/>
  <c r="B22" i="118"/>
  <c r="B23" i="118"/>
  <c r="B24" i="118"/>
  <c r="B25" i="118"/>
  <c r="B26" i="118"/>
  <c r="B5" i="118"/>
  <c r="O13" i="75"/>
  <c r="O12" i="75"/>
  <c r="G7" i="111" l="1" a="1"/>
  <c r="G7" i="111" s="1"/>
  <c r="E7" i="111" a="1"/>
  <c r="E7" i="111" s="1"/>
  <c r="T17" i="111"/>
  <c r="T16" i="111"/>
  <c r="T19" i="111" s="1"/>
  <c r="G6" i="76" a="1"/>
  <c r="G6" i="76"/>
  <c r="D7" i="118" s="1"/>
  <c r="O23" i="76"/>
  <c r="D7" i="76" a="1"/>
  <c r="D7" i="76"/>
  <c r="C7" i="76" a="1"/>
  <c r="C7" i="76"/>
  <c r="E6" i="76"/>
  <c r="D14" i="28"/>
  <c r="F6" i="76" l="1"/>
  <c r="C7" i="118"/>
  <c r="T21" i="111"/>
  <c r="T22" i="111" s="1"/>
  <c r="P43" i="117"/>
  <c r="P36" i="117"/>
  <c r="P29" i="117"/>
  <c r="P28" i="117"/>
  <c r="P16" i="117" l="1"/>
  <c r="P9" i="117"/>
  <c r="B7" i="117"/>
  <c r="B8" i="117"/>
  <c r="B9" i="117" s="1"/>
  <c r="B10" i="117" s="1"/>
  <c r="B11" i="117" s="1"/>
  <c r="B12" i="117" s="1"/>
  <c r="B13" i="117" s="1"/>
  <c r="B14" i="117" s="1"/>
  <c r="B15" i="117" s="1"/>
  <c r="B16" i="117" s="1"/>
  <c r="B17" i="117" s="1"/>
  <c r="B18" i="117" s="1"/>
  <c r="B19" i="117" s="1"/>
  <c r="B20" i="117" s="1"/>
  <c r="B21" i="117" s="1"/>
  <c r="B22" i="117" s="1"/>
  <c r="B23" i="117" s="1"/>
  <c r="B24" i="117" s="1"/>
  <c r="B25" i="117" s="1"/>
  <c r="B26" i="117" s="1"/>
  <c r="P10" i="117" l="1"/>
  <c r="P14" i="117" l="1"/>
  <c r="P22" i="117"/>
  <c r="S23" i="117"/>
  <c r="S24" i="117" s="1"/>
  <c r="E8" i="117" l="1"/>
  <c r="E9" i="117"/>
  <c r="E10" i="117"/>
  <c r="E11" i="117"/>
  <c r="E12" i="117"/>
  <c r="E13" i="117"/>
  <c r="E14" i="117"/>
  <c r="E15" i="117"/>
  <c r="E16" i="117"/>
  <c r="E17" i="117"/>
  <c r="E18" i="117"/>
  <c r="E19" i="117"/>
  <c r="E20" i="117"/>
  <c r="E21" i="117"/>
  <c r="E22" i="117"/>
  <c r="E23" i="117"/>
  <c r="E24" i="117"/>
  <c r="E25" i="117"/>
  <c r="E26" i="117"/>
  <c r="E7" i="117"/>
  <c r="P23" i="117"/>
  <c r="S22" i="117"/>
  <c r="R23" i="117"/>
  <c r="R24" i="117" s="1"/>
  <c r="Q23" i="117"/>
  <c r="R22" i="117"/>
  <c r="R25" i="117" s="1"/>
  <c r="Q22" i="117"/>
  <c r="K7" i="117" l="1"/>
  <c r="K26" i="117"/>
  <c r="K25" i="117"/>
  <c r="K24" i="117"/>
  <c r="K23" i="117"/>
  <c r="K22" i="117"/>
  <c r="K21" i="117"/>
  <c r="K20" i="117"/>
  <c r="K19" i="117"/>
  <c r="K18" i="117"/>
  <c r="K17" i="117"/>
  <c r="K16" i="117"/>
  <c r="K15" i="117"/>
  <c r="K14" i="117"/>
  <c r="K13" i="117"/>
  <c r="K12" i="117"/>
  <c r="K11" i="117"/>
  <c r="K10" i="117"/>
  <c r="K9" i="117"/>
  <c r="K8" i="117"/>
  <c r="U23" i="117"/>
  <c r="U24" i="117" s="1"/>
  <c r="Q24" i="117"/>
  <c r="C7" i="117"/>
  <c r="G7" i="117" s="1"/>
  <c r="C8" i="117"/>
  <c r="G8" i="117" s="1"/>
  <c r="C9" i="117"/>
  <c r="G9" i="117" s="1"/>
  <c r="C10" i="117"/>
  <c r="G10" i="117" s="1"/>
  <c r="C11" i="117"/>
  <c r="G11" i="117" s="1"/>
  <c r="C12" i="117"/>
  <c r="G12" i="117" s="1"/>
  <c r="C13" i="117"/>
  <c r="G13" i="117" s="1"/>
  <c r="C14" i="117"/>
  <c r="G14" i="117" s="1"/>
  <c r="C15" i="117"/>
  <c r="G15" i="117" s="1"/>
  <c r="C16" i="117"/>
  <c r="G16" i="117" s="1"/>
  <c r="C17" i="117"/>
  <c r="G17" i="117" s="1"/>
  <c r="C18" i="117"/>
  <c r="G18" i="117" s="1"/>
  <c r="C19" i="117"/>
  <c r="G19" i="117" s="1"/>
  <c r="C20" i="117"/>
  <c r="G20" i="117" s="1"/>
  <c r="C21" i="117"/>
  <c r="G21" i="117" s="1"/>
  <c r="C22" i="117"/>
  <c r="G22" i="117" s="1"/>
  <c r="C23" i="117"/>
  <c r="G23" i="117" s="1"/>
  <c r="C24" i="117"/>
  <c r="G24" i="117" s="1"/>
  <c r="C25" i="117"/>
  <c r="G25" i="117" s="1"/>
  <c r="C26" i="117"/>
  <c r="G26" i="117" s="1"/>
  <c r="P25" i="117"/>
  <c r="P24" i="117"/>
  <c r="Q25" i="117"/>
  <c r="U22" i="117"/>
  <c r="T23" i="117"/>
  <c r="T24" i="117" s="1"/>
  <c r="S25" i="117"/>
  <c r="F8" i="117" l="1"/>
  <c r="F9" i="117"/>
  <c r="F10" i="117"/>
  <c r="F11" i="117"/>
  <c r="F12" i="117"/>
  <c r="F13" i="117"/>
  <c r="F14" i="117"/>
  <c r="F15" i="117"/>
  <c r="F16" i="117"/>
  <c r="F17" i="117"/>
  <c r="F18" i="117"/>
  <c r="F19" i="117"/>
  <c r="F20" i="117"/>
  <c r="F21" i="117"/>
  <c r="F22" i="117"/>
  <c r="F23" i="117"/>
  <c r="F24" i="117"/>
  <c r="F25" i="117"/>
  <c r="F26" i="117"/>
  <c r="F7" i="117"/>
  <c r="G27" i="117"/>
  <c r="T22" i="117"/>
  <c r="U25" i="117"/>
  <c r="L15" i="42"/>
  <c r="L16" i="42"/>
  <c r="L17" i="42"/>
  <c r="L18" i="42"/>
  <c r="L19" i="42"/>
  <c r="L14" i="42"/>
  <c r="I7" i="117" l="1"/>
  <c r="J7" i="117"/>
  <c r="H7" i="117"/>
  <c r="L7" i="117" s="1"/>
  <c r="M7" i="117" s="1"/>
  <c r="I26" i="117"/>
  <c r="J26" i="117"/>
  <c r="H26" i="117"/>
  <c r="L26" i="117" s="1"/>
  <c r="M26" i="117" s="1"/>
  <c r="I25" i="117"/>
  <c r="J25" i="117"/>
  <c r="H25" i="117"/>
  <c r="L25" i="117" s="1"/>
  <c r="M25" i="117" s="1"/>
  <c r="I24" i="117"/>
  <c r="J24" i="117"/>
  <c r="H24" i="117"/>
  <c r="L24" i="117" s="1"/>
  <c r="M24" i="117" s="1"/>
  <c r="I23" i="117"/>
  <c r="J23" i="117"/>
  <c r="H23" i="117"/>
  <c r="L23" i="117" s="1"/>
  <c r="M23" i="117" s="1"/>
  <c r="I22" i="117"/>
  <c r="J22" i="117"/>
  <c r="H22" i="117"/>
  <c r="L22" i="117" s="1"/>
  <c r="M22" i="117" s="1"/>
  <c r="I21" i="117"/>
  <c r="J21" i="117"/>
  <c r="H21" i="117"/>
  <c r="L21" i="117" s="1"/>
  <c r="M21" i="117" s="1"/>
  <c r="I20" i="117"/>
  <c r="J20" i="117"/>
  <c r="H20" i="117"/>
  <c r="L20" i="117" s="1"/>
  <c r="M20" i="117" s="1"/>
  <c r="I19" i="117"/>
  <c r="J19" i="117"/>
  <c r="H19" i="117"/>
  <c r="L19" i="117" s="1"/>
  <c r="M19" i="117" s="1"/>
  <c r="I18" i="117"/>
  <c r="J18" i="117"/>
  <c r="H18" i="117"/>
  <c r="L18" i="117" s="1"/>
  <c r="M18" i="117" s="1"/>
  <c r="I17" i="117"/>
  <c r="J17" i="117"/>
  <c r="H17" i="117"/>
  <c r="L17" i="117" s="1"/>
  <c r="M17" i="117" s="1"/>
  <c r="I16" i="117"/>
  <c r="J16" i="117"/>
  <c r="H16" i="117"/>
  <c r="L16" i="117" s="1"/>
  <c r="M16" i="117" s="1"/>
  <c r="I15" i="117"/>
  <c r="J15" i="117"/>
  <c r="H15" i="117"/>
  <c r="L15" i="117" s="1"/>
  <c r="M15" i="117" s="1"/>
  <c r="I14" i="117"/>
  <c r="J14" i="117"/>
  <c r="H14" i="117"/>
  <c r="L14" i="117" s="1"/>
  <c r="M14" i="117" s="1"/>
  <c r="I13" i="117"/>
  <c r="J13" i="117"/>
  <c r="H13" i="117"/>
  <c r="L13" i="117" s="1"/>
  <c r="M13" i="117" s="1"/>
  <c r="I12" i="117"/>
  <c r="J12" i="117"/>
  <c r="H12" i="117"/>
  <c r="L12" i="117" s="1"/>
  <c r="M12" i="117" s="1"/>
  <c r="I11" i="117"/>
  <c r="J11" i="117"/>
  <c r="H11" i="117"/>
  <c r="L11" i="117" s="1"/>
  <c r="M11" i="117" s="1"/>
  <c r="I10" i="117"/>
  <c r="J10" i="117"/>
  <c r="H10" i="117"/>
  <c r="L10" i="117" s="1"/>
  <c r="M10" i="117" s="1"/>
  <c r="I9" i="117"/>
  <c r="J9" i="117"/>
  <c r="H9" i="117"/>
  <c r="L9" i="117" s="1"/>
  <c r="M9" i="117" s="1"/>
  <c r="I8" i="117"/>
  <c r="J8" i="117"/>
  <c r="H8" i="117"/>
  <c r="L8" i="117" s="1"/>
  <c r="M8" i="117" s="1"/>
  <c r="D8" i="117"/>
  <c r="D9" i="117"/>
  <c r="D10" i="117"/>
  <c r="D11" i="117"/>
  <c r="D12" i="117"/>
  <c r="D13" i="117"/>
  <c r="D14" i="117"/>
  <c r="D15" i="117"/>
  <c r="D16" i="117"/>
  <c r="D17" i="117"/>
  <c r="D18" i="117"/>
  <c r="D19" i="117"/>
  <c r="D20" i="117"/>
  <c r="D21" i="117"/>
  <c r="D22" i="117"/>
  <c r="D23" i="117"/>
  <c r="D24" i="117"/>
  <c r="D25" i="117"/>
  <c r="D26" i="117"/>
  <c r="D7" i="117"/>
  <c r="T25" i="117"/>
  <c r="I27" i="117"/>
  <c r="H27" i="117"/>
  <c r="J27" i="117"/>
  <c r="K27" i="117"/>
  <c r="L27" i="117" l="1"/>
  <c r="M27" i="117"/>
  <c r="P29" i="75" l="1"/>
  <c r="O23" i="75" s="1"/>
  <c r="P28" i="75"/>
  <c r="O22" i="75" s="1"/>
  <c r="O20" i="75"/>
  <c r="P27" i="75"/>
  <c r="Q29" i="75"/>
  <c r="O14" i="75"/>
  <c r="T7" i="111"/>
  <c r="T10" i="111" s="1"/>
  <c r="T12" i="111" s="1"/>
  <c r="O27" i="112" l="1"/>
  <c r="O33" i="111"/>
  <c r="B6" i="76"/>
  <c r="D6" i="76" s="1" a="1"/>
  <c r="D6" i="76" s="1"/>
  <c r="F27" i="95"/>
  <c r="F26" i="95"/>
  <c r="G27" i="95"/>
  <c r="G26" i="95"/>
  <c r="O28" i="112" l="1"/>
  <c r="I29" i="113"/>
  <c r="H30" i="113"/>
  <c r="I30" i="113"/>
  <c r="I34" i="113"/>
  <c r="H35" i="113"/>
  <c r="I35" i="113"/>
  <c r="B6" i="78"/>
  <c r="G37" i="95"/>
  <c r="G36" i="95"/>
  <c r="G32" i="95"/>
  <c r="G31" i="95"/>
  <c r="G22" i="95"/>
  <c r="G21" i="95"/>
  <c r="C37" i="46"/>
  <c r="D6" i="78" l="1" a="1"/>
  <c r="D6" i="78" s="1"/>
  <c r="B6" i="42"/>
  <c r="E6" i="42" s="1"/>
  <c r="C6" i="42" l="1"/>
  <c r="D6" i="42"/>
  <c r="Q14" i="42"/>
  <c r="Q19" i="42"/>
  <c r="Q18" i="42"/>
  <c r="Q17" i="42"/>
  <c r="Q16" i="42"/>
  <c r="D37" i="46"/>
  <c r="E37" i="46" s="1"/>
  <c r="O21" i="75"/>
  <c r="J7" i="80"/>
  <c r="K7" i="80"/>
  <c r="L7" i="80"/>
  <c r="M7" i="80"/>
  <c r="I7" i="80"/>
  <c r="J6" i="113"/>
  <c r="K6" i="113"/>
  <c r="L6" i="113"/>
  <c r="M6" i="113"/>
  <c r="I6" i="113"/>
  <c r="C7" i="46"/>
  <c r="N7" i="46" s="1"/>
  <c r="Q15" i="42" l="1"/>
  <c r="P22" i="42"/>
  <c r="Q22" i="42"/>
  <c r="H16" i="113"/>
  <c r="H15" i="113"/>
  <c r="I11" i="113"/>
  <c r="AB7" i="113"/>
  <c r="Q7" i="113"/>
  <c r="B6" i="113"/>
  <c r="G15" i="100"/>
  <c r="H15" i="100"/>
  <c r="I15" i="100"/>
  <c r="J15" i="100"/>
  <c r="J10" i="30"/>
  <c r="K10" i="30"/>
  <c r="L10" i="30"/>
  <c r="M10" i="30"/>
  <c r="D43" i="28"/>
  <c r="D38" i="28"/>
  <c r="D39" i="28"/>
  <c r="C39" i="28"/>
  <c r="C38" i="28"/>
  <c r="I12" i="80"/>
  <c r="B6" i="80"/>
  <c r="H24" i="80"/>
  <c r="E25" i="100"/>
  <c r="E26" i="100"/>
  <c r="E24" i="100"/>
  <c r="I12" i="30"/>
  <c r="F15" i="100"/>
  <c r="I10" i="30"/>
  <c r="D15" i="100"/>
  <c r="J29" i="113" l="1"/>
  <c r="J34" i="113" s="1"/>
  <c r="K29" i="113"/>
  <c r="L29" i="113"/>
  <c r="M29" i="113"/>
  <c r="N29" i="113"/>
  <c r="B7" i="113"/>
  <c r="Q8" i="113"/>
  <c r="AB8" i="113"/>
  <c r="AC7" i="113"/>
  <c r="O15" i="100"/>
  <c r="N15" i="100"/>
  <c r="M15" i="100"/>
  <c r="L15" i="100"/>
  <c r="I23" i="80"/>
  <c r="I24" i="80"/>
  <c r="D24" i="100"/>
  <c r="D25" i="100"/>
  <c r="D26" i="100"/>
  <c r="D23" i="100"/>
  <c r="J23" i="100" l="1"/>
  <c r="I23" i="100"/>
  <c r="H23" i="100"/>
  <c r="G23" i="100"/>
  <c r="J24" i="80"/>
  <c r="J23" i="80"/>
  <c r="K24" i="80"/>
  <c r="K23" i="80"/>
  <c r="L24" i="80"/>
  <c r="L23" i="80"/>
  <c r="M24" i="80"/>
  <c r="M23" i="80"/>
  <c r="N30" i="113"/>
  <c r="N35" i="113" s="1"/>
  <c r="N34" i="113"/>
  <c r="M30" i="113"/>
  <c r="M35" i="113" s="1"/>
  <c r="M34" i="113"/>
  <c r="L30" i="113"/>
  <c r="L35" i="113" s="1"/>
  <c r="L34" i="113"/>
  <c r="K30" i="113"/>
  <c r="K35" i="113" s="1"/>
  <c r="K34" i="113"/>
  <c r="J30" i="113"/>
  <c r="AB9" i="113"/>
  <c r="AC8" i="113"/>
  <c r="Q9" i="113"/>
  <c r="B8" i="113"/>
  <c r="J35" i="113" l="1"/>
  <c r="S7" i="113" a="1"/>
  <c r="S7" i="113" s="1"/>
  <c r="B9" i="113"/>
  <c r="Q10" i="113"/>
  <c r="AB10" i="113"/>
  <c r="AC9" i="113"/>
  <c r="H13" i="80"/>
  <c r="H12" i="80"/>
  <c r="P7" i="80" s="1"/>
  <c r="Q7" i="80" l="1"/>
  <c r="P8" i="80"/>
  <c r="AB11" i="113"/>
  <c r="AC10" i="113"/>
  <c r="Q11" i="113"/>
  <c r="B10" i="113"/>
  <c r="AA7" i="80"/>
  <c r="I13" i="80"/>
  <c r="I37" i="30"/>
  <c r="I36" i="30"/>
  <c r="I30" i="30"/>
  <c r="I29" i="30"/>
  <c r="H37" i="30"/>
  <c r="I16" i="30"/>
  <c r="I17" i="30"/>
  <c r="H17" i="30"/>
  <c r="H16" i="30"/>
  <c r="B5" i="75"/>
  <c r="AB21" i="79"/>
  <c r="V5" i="79" s="1"/>
  <c r="N31" i="30" l="1"/>
  <c r="N32" i="30" s="1"/>
  <c r="M31" i="30"/>
  <c r="M32" i="30" s="1"/>
  <c r="L31" i="30"/>
  <c r="L32" i="30" s="1"/>
  <c r="K31" i="30"/>
  <c r="K32" i="30" s="1"/>
  <c r="J31" i="30"/>
  <c r="J32" i="30" s="1"/>
  <c r="K29" i="30"/>
  <c r="K36" i="30" s="1"/>
  <c r="K30" i="30"/>
  <c r="J18" i="80"/>
  <c r="Q8" i="80"/>
  <c r="P9" i="80"/>
  <c r="D5" i="75"/>
  <c r="E5" i="75"/>
  <c r="I5" i="75"/>
  <c r="AB7" i="80"/>
  <c r="B11" i="113"/>
  <c r="Q12" i="113"/>
  <c r="AB12" i="113"/>
  <c r="AC11" i="113"/>
  <c r="N29" i="30"/>
  <c r="M29" i="30"/>
  <c r="L29" i="30"/>
  <c r="AA8" i="80"/>
  <c r="K12" i="80"/>
  <c r="I14" i="80"/>
  <c r="J13" i="80" s="1"/>
  <c r="J14" i="80" s="1"/>
  <c r="Q7" i="30"/>
  <c r="B6" i="79"/>
  <c r="U12" i="79"/>
  <c r="U13" i="79" s="1"/>
  <c r="U14" i="79" s="1"/>
  <c r="U15" i="79" s="1"/>
  <c r="U16" i="79" s="1"/>
  <c r="U17" i="79" s="1"/>
  <c r="U18" i="79" s="1"/>
  <c r="U19" i="79" s="1"/>
  <c r="U20" i="79" s="1"/>
  <c r="U21" i="79" s="1"/>
  <c r="U22" i="79" s="1"/>
  <c r="U23" i="79" s="1"/>
  <c r="U24" i="79" s="1"/>
  <c r="U25" i="79" s="1"/>
  <c r="U26" i="79" s="1"/>
  <c r="U27" i="79" s="1"/>
  <c r="U28" i="79" s="1"/>
  <c r="U29" i="79" s="1"/>
  <c r="U30" i="79" s="1"/>
  <c r="U31" i="79" s="1"/>
  <c r="U32" i="79" s="1"/>
  <c r="U33" i="79" s="1"/>
  <c r="U34" i="79" s="1"/>
  <c r="U35" i="79" s="1"/>
  <c r="U36" i="79" s="1"/>
  <c r="U37" i="79" s="1"/>
  <c r="U38" i="79" s="1"/>
  <c r="U39" i="79" s="1"/>
  <c r="U40" i="79" s="1"/>
  <c r="U41" i="79" s="1"/>
  <c r="U42" i="79" s="1"/>
  <c r="U43" i="79" s="1"/>
  <c r="U44" i="79" s="1"/>
  <c r="U45" i="79" s="1"/>
  <c r="U46" i="79" s="1"/>
  <c r="U47" i="79" s="1"/>
  <c r="U48" i="79" s="1"/>
  <c r="U49" i="79" s="1"/>
  <c r="U50" i="79" s="1"/>
  <c r="B6" i="112"/>
  <c r="B7" i="111"/>
  <c r="O24" i="112"/>
  <c r="O23" i="112"/>
  <c r="N23" i="112"/>
  <c r="N24" i="112" s="1"/>
  <c r="N28" i="111"/>
  <c r="N19" i="112"/>
  <c r="N18" i="112"/>
  <c r="O7" i="112"/>
  <c r="O6" i="112"/>
  <c r="N24" i="111"/>
  <c r="N23" i="111"/>
  <c r="O16" i="111"/>
  <c r="O15" i="111"/>
  <c r="O8" i="111"/>
  <c r="O7" i="111"/>
  <c r="O7" i="78"/>
  <c r="O6" i="78"/>
  <c r="O7" i="76"/>
  <c r="O6" i="76"/>
  <c r="N19" i="78"/>
  <c r="N18" i="78"/>
  <c r="D12" i="28"/>
  <c r="N23" i="76"/>
  <c r="N22" i="76"/>
  <c r="D15" i="95"/>
  <c r="I16" i="113" s="1"/>
  <c r="D72" i="46"/>
  <c r="D64" i="46"/>
  <c r="T7" i="30" l="1" a="1"/>
  <c r="T7" i="30" s="1"/>
  <c r="K18" i="80"/>
  <c r="L36" i="30"/>
  <c r="L18" i="80"/>
  <c r="M36" i="30"/>
  <c r="M18" i="80"/>
  <c r="N36" i="30"/>
  <c r="J19" i="80"/>
  <c r="K37" i="30"/>
  <c r="J36" i="30"/>
  <c r="J30" i="30"/>
  <c r="AF15" i="80" a="1"/>
  <c r="AF15" i="80" s="1"/>
  <c r="AF16" i="80" a="1"/>
  <c r="AF16" i="80" s="1"/>
  <c r="Q9" i="80"/>
  <c r="P10" i="80"/>
  <c r="R8" i="80" a="1"/>
  <c r="R8" i="80" s="1"/>
  <c r="S8" i="80" a="1"/>
  <c r="S8" i="80" s="1"/>
  <c r="T8" i="80" a="1"/>
  <c r="T8" i="80" s="1"/>
  <c r="U8" i="80" a="1"/>
  <c r="U8" i="80" s="1"/>
  <c r="V8" i="80" a="1"/>
  <c r="V8" i="80" s="1"/>
  <c r="AH7" i="113" a="1"/>
  <c r="AH7" i="113" s="1"/>
  <c r="AG7" i="113" a="1"/>
  <c r="AG7" i="113" s="1"/>
  <c r="AF7" i="113" a="1"/>
  <c r="AF7" i="113" s="1"/>
  <c r="AE7" i="113" a="1"/>
  <c r="AE7" i="113" s="1"/>
  <c r="AD7" i="113" a="1"/>
  <c r="AD7" i="113" s="1"/>
  <c r="W7" i="113" a="1"/>
  <c r="W7" i="113" s="1"/>
  <c r="V7" i="113" a="1"/>
  <c r="V7" i="113" s="1"/>
  <c r="U7" i="113" a="1"/>
  <c r="U7" i="113" s="1"/>
  <c r="T7" i="113" a="1"/>
  <c r="T7" i="113" s="1"/>
  <c r="W8" i="113" a="1"/>
  <c r="W8" i="113" s="1"/>
  <c r="V8" i="113" a="1"/>
  <c r="V8" i="113" s="1"/>
  <c r="U8" i="113" a="1"/>
  <c r="U8" i="113" s="1"/>
  <c r="T8" i="113" a="1"/>
  <c r="T8" i="113" s="1"/>
  <c r="S8" i="113" a="1"/>
  <c r="S8" i="113" s="1"/>
  <c r="AH8" i="113" a="1"/>
  <c r="AH8" i="113" s="1"/>
  <c r="AG8" i="113" a="1"/>
  <c r="AG8" i="113" s="1"/>
  <c r="AF8" i="113" a="1"/>
  <c r="AF8" i="113" s="1"/>
  <c r="AE8" i="113" a="1"/>
  <c r="AE8" i="113" s="1"/>
  <c r="AD8" i="113" a="1"/>
  <c r="AD8" i="113" s="1"/>
  <c r="AH9" i="113" a="1"/>
  <c r="AH9" i="113" s="1"/>
  <c r="AG9" i="113" a="1"/>
  <c r="AG9" i="113" s="1"/>
  <c r="AF9" i="113" a="1"/>
  <c r="AF9" i="113" s="1"/>
  <c r="AE9" i="113" a="1"/>
  <c r="AE9" i="113" s="1"/>
  <c r="AD9" i="113" a="1"/>
  <c r="AD9" i="113" s="1"/>
  <c r="W9" i="113" a="1"/>
  <c r="W9" i="113" s="1"/>
  <c r="V9" i="113" a="1"/>
  <c r="V9" i="113" s="1"/>
  <c r="U9" i="113" a="1"/>
  <c r="U9" i="113" s="1"/>
  <c r="T9" i="113" a="1"/>
  <c r="T9" i="113" s="1"/>
  <c r="S9" i="113" a="1"/>
  <c r="S9" i="113" s="1"/>
  <c r="W10" i="113" a="1"/>
  <c r="W10" i="113" s="1"/>
  <c r="V10" i="113" a="1"/>
  <c r="V10" i="113" s="1"/>
  <c r="U10" i="113" a="1"/>
  <c r="U10" i="113" s="1"/>
  <c r="T10" i="113" a="1"/>
  <c r="T10" i="113" s="1"/>
  <c r="S10" i="113" a="1"/>
  <c r="S10" i="113" s="1"/>
  <c r="AH10" i="113" a="1"/>
  <c r="AH10" i="113" s="1"/>
  <c r="AG10" i="113" a="1"/>
  <c r="AG10" i="113" s="1"/>
  <c r="AF10" i="113" a="1"/>
  <c r="AF10" i="113" s="1"/>
  <c r="AE10" i="113" a="1"/>
  <c r="AE10" i="113" s="1"/>
  <c r="AD10" i="113" a="1"/>
  <c r="AD10" i="113" s="1"/>
  <c r="AB8" i="80"/>
  <c r="AH11" i="113" a="1"/>
  <c r="AH11" i="113" s="1"/>
  <c r="AG11" i="113" a="1"/>
  <c r="AG11" i="113" s="1"/>
  <c r="AF11" i="113" a="1"/>
  <c r="AF11" i="113" s="1"/>
  <c r="AE11" i="113" a="1"/>
  <c r="AE11" i="113" s="1"/>
  <c r="AD11" i="113" a="1"/>
  <c r="AD11" i="113" s="1"/>
  <c r="AB13" i="113"/>
  <c r="AC12" i="113"/>
  <c r="W11" i="113" a="1"/>
  <c r="W11" i="113" s="1"/>
  <c r="V11" i="113" a="1"/>
  <c r="V11" i="113" s="1"/>
  <c r="U11" i="113" a="1"/>
  <c r="U11" i="113" s="1"/>
  <c r="T11" i="113" a="1"/>
  <c r="T11" i="113" s="1"/>
  <c r="S11" i="113" a="1"/>
  <c r="S11" i="113" s="1"/>
  <c r="Q13" i="113"/>
  <c r="B12" i="113"/>
  <c r="L30" i="30"/>
  <c r="M30" i="30"/>
  <c r="N30" i="30"/>
  <c r="AA9" i="80"/>
  <c r="K13" i="80"/>
  <c r="Q8" i="30"/>
  <c r="N29" i="111"/>
  <c r="D40" i="28"/>
  <c r="S8" i="30" l="1" a="1"/>
  <c r="S8" i="30" s="1"/>
  <c r="T8" i="30" a="1"/>
  <c r="T8" i="30" s="1"/>
  <c r="U8" i="30" a="1"/>
  <c r="U8" i="30" s="1"/>
  <c r="V8" i="30" a="1"/>
  <c r="V8" i="30" s="1"/>
  <c r="W8" i="30" a="1"/>
  <c r="W8" i="30" s="1"/>
  <c r="N37" i="30"/>
  <c r="W7" i="30" a="1"/>
  <c r="W7" i="30" s="1"/>
  <c r="M37" i="30"/>
  <c r="V7" i="30" a="1"/>
  <c r="V7" i="30" s="1"/>
  <c r="L37" i="30"/>
  <c r="U7" i="30" a="1"/>
  <c r="U7" i="30" s="1"/>
  <c r="I19" i="80"/>
  <c r="M19" i="80"/>
  <c r="L19" i="80"/>
  <c r="K19" i="80"/>
  <c r="Q10" i="80"/>
  <c r="P11" i="80"/>
  <c r="R9" i="80" a="1"/>
  <c r="R9" i="80" s="1"/>
  <c r="S9" i="80" a="1"/>
  <c r="S9" i="80" s="1"/>
  <c r="T9" i="80" a="1"/>
  <c r="T9" i="80" s="1"/>
  <c r="U9" i="80" a="1"/>
  <c r="U9" i="80" s="1"/>
  <c r="V9" i="80" a="1"/>
  <c r="V9" i="80" s="1"/>
  <c r="AB9" i="80"/>
  <c r="B13" i="113"/>
  <c r="W12" i="113" a="1"/>
  <c r="W12" i="113" s="1"/>
  <c r="V12" i="113" a="1"/>
  <c r="V12" i="113" s="1"/>
  <c r="U12" i="113" a="1"/>
  <c r="U12" i="113" s="1"/>
  <c r="T12" i="113" a="1"/>
  <c r="T12" i="113" s="1"/>
  <c r="S12" i="113" a="1"/>
  <c r="S12" i="113" s="1"/>
  <c r="Q14" i="113"/>
  <c r="AH12" i="113" a="1"/>
  <c r="AH12" i="113" s="1"/>
  <c r="AG12" i="113" a="1"/>
  <c r="AG12" i="113" s="1"/>
  <c r="AF12" i="113" a="1"/>
  <c r="AF12" i="113" s="1"/>
  <c r="AE12" i="113" a="1"/>
  <c r="AE12" i="113" s="1"/>
  <c r="AD12" i="113" a="1"/>
  <c r="AD12" i="113" s="1"/>
  <c r="AB14" i="113"/>
  <c r="AC13" i="113"/>
  <c r="AA10" i="80"/>
  <c r="K14" i="80"/>
  <c r="AG15" i="80" l="1" a="1"/>
  <c r="AG15" i="80" s="1"/>
  <c r="AG16" i="80" a="1"/>
  <c r="AG16" i="80" s="1"/>
  <c r="AH15" i="80" a="1"/>
  <c r="AH15" i="80" s="1"/>
  <c r="AH16" i="80" a="1"/>
  <c r="AH16" i="80" s="1"/>
  <c r="AI15" i="80" a="1"/>
  <c r="AI15" i="80" s="1"/>
  <c r="AI16" i="80" a="1"/>
  <c r="AI16" i="80" s="1"/>
  <c r="AE15" i="80" a="1"/>
  <c r="AE15" i="80" s="1"/>
  <c r="AE16" i="80" a="1"/>
  <c r="AE16" i="80" s="1"/>
  <c r="Q11" i="80"/>
  <c r="P12" i="80"/>
  <c r="R10" i="80" a="1"/>
  <c r="R10" i="80" s="1"/>
  <c r="S10" i="80" a="1"/>
  <c r="S10" i="80" s="1"/>
  <c r="T10" i="80" a="1"/>
  <c r="T10" i="80" s="1"/>
  <c r="U10" i="80" a="1"/>
  <c r="U10" i="80" s="1"/>
  <c r="V10" i="80" a="1"/>
  <c r="V10" i="80" s="1"/>
  <c r="AB10" i="80"/>
  <c r="AH13" i="113" a="1"/>
  <c r="AH13" i="113" s="1"/>
  <c r="AG13" i="113" a="1"/>
  <c r="AG13" i="113" s="1"/>
  <c r="AF13" i="113" a="1"/>
  <c r="AF13" i="113" s="1"/>
  <c r="AE13" i="113" a="1"/>
  <c r="AE13" i="113" s="1"/>
  <c r="AD13" i="113" a="1"/>
  <c r="AD13" i="113" s="1"/>
  <c r="AB15" i="113"/>
  <c r="AC14" i="113"/>
  <c r="W13" i="113" a="1"/>
  <c r="W13" i="113" s="1"/>
  <c r="V13" i="113" a="1"/>
  <c r="V13" i="113" s="1"/>
  <c r="U13" i="113" a="1"/>
  <c r="U13" i="113" s="1"/>
  <c r="T13" i="113" a="1"/>
  <c r="T13" i="113" s="1"/>
  <c r="S13" i="113" a="1"/>
  <c r="S13" i="113" s="1"/>
  <c r="Q15" i="113"/>
  <c r="B14" i="113"/>
  <c r="AA11" i="80"/>
  <c r="Q12" i="80" l="1"/>
  <c r="P13" i="80"/>
  <c r="R11" i="80" a="1"/>
  <c r="R11" i="80" s="1"/>
  <c r="S11" i="80" a="1"/>
  <c r="S11" i="80" s="1"/>
  <c r="T11" i="80" a="1"/>
  <c r="T11" i="80" s="1"/>
  <c r="U11" i="80" a="1"/>
  <c r="U11" i="80" s="1"/>
  <c r="V11" i="80" a="1"/>
  <c r="V11" i="80" s="1"/>
  <c r="AB11" i="80"/>
  <c r="B15" i="113"/>
  <c r="W14" i="113" a="1"/>
  <c r="W14" i="113" s="1"/>
  <c r="V14" i="113" a="1"/>
  <c r="V14" i="113" s="1"/>
  <c r="U14" i="113" a="1"/>
  <c r="U14" i="113" s="1"/>
  <c r="T14" i="113" a="1"/>
  <c r="T14" i="113" s="1"/>
  <c r="S14" i="113" a="1"/>
  <c r="S14" i="113" s="1"/>
  <c r="Q16" i="113"/>
  <c r="AH14" i="113" a="1"/>
  <c r="AH14" i="113" s="1"/>
  <c r="AG14" i="113" a="1"/>
  <c r="AG14" i="113" s="1"/>
  <c r="AF14" i="113" a="1"/>
  <c r="AF14" i="113" s="1"/>
  <c r="AE14" i="113" a="1"/>
  <c r="AE14" i="113" s="1"/>
  <c r="AD14" i="113" a="1"/>
  <c r="AD14" i="113" s="1"/>
  <c r="AB16" i="113"/>
  <c r="AC15" i="113"/>
  <c r="AA12" i="80"/>
  <c r="Q13" i="80" l="1"/>
  <c r="P14" i="80"/>
  <c r="R12" i="80" a="1"/>
  <c r="R12" i="80" s="1"/>
  <c r="S12" i="80" a="1"/>
  <c r="S12" i="80" s="1"/>
  <c r="T12" i="80" a="1"/>
  <c r="T12" i="80" s="1"/>
  <c r="U12" i="80" a="1"/>
  <c r="U12" i="80" s="1"/>
  <c r="V12" i="80" a="1"/>
  <c r="V12" i="80" s="1"/>
  <c r="AB12" i="80"/>
  <c r="AH15" i="113" a="1"/>
  <c r="AH15" i="113" s="1"/>
  <c r="AG15" i="113" a="1"/>
  <c r="AG15" i="113" s="1"/>
  <c r="AF15" i="113" a="1"/>
  <c r="AF15" i="113" s="1"/>
  <c r="AE15" i="113" a="1"/>
  <c r="AE15" i="113" s="1"/>
  <c r="AD15" i="113" a="1"/>
  <c r="AD15" i="113" s="1"/>
  <c r="AB17" i="113"/>
  <c r="AC16" i="113"/>
  <c r="W15" i="113" a="1"/>
  <c r="W15" i="113" s="1"/>
  <c r="V15" i="113" a="1"/>
  <c r="V15" i="113" s="1"/>
  <c r="U15" i="113" a="1"/>
  <c r="U15" i="113" s="1"/>
  <c r="T15" i="113" a="1"/>
  <c r="T15" i="113" s="1"/>
  <c r="S15" i="113" a="1"/>
  <c r="S15" i="113" s="1"/>
  <c r="Q17" i="113"/>
  <c r="B16" i="113"/>
  <c r="AA13" i="80"/>
  <c r="Q14" i="80" l="1"/>
  <c r="P15" i="80"/>
  <c r="R13" i="80" a="1"/>
  <c r="R13" i="80" s="1"/>
  <c r="S13" i="80" a="1"/>
  <c r="S13" i="80" s="1"/>
  <c r="T13" i="80" a="1"/>
  <c r="T13" i="80" s="1"/>
  <c r="U13" i="80" a="1"/>
  <c r="U13" i="80" s="1"/>
  <c r="V13" i="80" a="1"/>
  <c r="V13" i="80" s="1"/>
  <c r="AB13" i="80"/>
  <c r="B17" i="113"/>
  <c r="W16" i="113" a="1"/>
  <c r="W16" i="113" s="1"/>
  <c r="V16" i="113" a="1"/>
  <c r="V16" i="113" s="1"/>
  <c r="U16" i="113" a="1"/>
  <c r="U16" i="113" s="1"/>
  <c r="T16" i="113" a="1"/>
  <c r="T16" i="113" s="1"/>
  <c r="S16" i="113" a="1"/>
  <c r="S16" i="113" s="1"/>
  <c r="Q18" i="113"/>
  <c r="AH16" i="113" a="1"/>
  <c r="AH16" i="113" s="1"/>
  <c r="AG16" i="113" a="1"/>
  <c r="AG16" i="113" s="1"/>
  <c r="AF16" i="113" a="1"/>
  <c r="AF16" i="113" s="1"/>
  <c r="AE16" i="113" a="1"/>
  <c r="AE16" i="113" s="1"/>
  <c r="AD16" i="113" a="1"/>
  <c r="AD16" i="113" s="1"/>
  <c r="AB18" i="113"/>
  <c r="AC17" i="113"/>
  <c r="AA14" i="80"/>
  <c r="Q15" i="80" l="1"/>
  <c r="P16" i="80"/>
  <c r="R14" i="80" a="1"/>
  <c r="R14" i="80" s="1"/>
  <c r="S14" i="80" a="1"/>
  <c r="S14" i="80" s="1"/>
  <c r="T14" i="80" a="1"/>
  <c r="T14" i="80" s="1"/>
  <c r="U14" i="80" a="1"/>
  <c r="U14" i="80" s="1"/>
  <c r="V14" i="80" a="1"/>
  <c r="V14" i="80" s="1"/>
  <c r="AB14" i="80"/>
  <c r="AH17" i="113" a="1"/>
  <c r="AH17" i="113" s="1"/>
  <c r="AG17" i="113" a="1"/>
  <c r="AG17" i="113" s="1"/>
  <c r="AF17" i="113" a="1"/>
  <c r="AF17" i="113" s="1"/>
  <c r="AE17" i="113" a="1"/>
  <c r="AE17" i="113" s="1"/>
  <c r="AD17" i="113" a="1"/>
  <c r="AD17" i="113" s="1"/>
  <c r="AB19" i="113"/>
  <c r="AC18" i="113"/>
  <c r="W17" i="113" a="1"/>
  <c r="W17" i="113" s="1"/>
  <c r="V17" i="113" a="1"/>
  <c r="V17" i="113" s="1"/>
  <c r="U17" i="113" a="1"/>
  <c r="U17" i="113" s="1"/>
  <c r="T17" i="113" a="1"/>
  <c r="T17" i="113" s="1"/>
  <c r="S17" i="113" a="1"/>
  <c r="S17" i="113" s="1"/>
  <c r="Q19" i="113"/>
  <c r="B18" i="113"/>
  <c r="AA15" i="80"/>
  <c r="Q16" i="80" l="1"/>
  <c r="P17" i="80"/>
  <c r="R15" i="80" a="1"/>
  <c r="R15" i="80" s="1"/>
  <c r="S15" i="80" a="1"/>
  <c r="S15" i="80" s="1"/>
  <c r="T15" i="80" a="1"/>
  <c r="T15" i="80" s="1"/>
  <c r="U15" i="80" a="1"/>
  <c r="U15" i="80" s="1"/>
  <c r="V15" i="80" a="1"/>
  <c r="V15" i="80" s="1"/>
  <c r="AB15" i="80"/>
  <c r="B19" i="113"/>
  <c r="W18" i="113" a="1"/>
  <c r="W18" i="113" s="1"/>
  <c r="V18" i="113" a="1"/>
  <c r="V18" i="113" s="1"/>
  <c r="U18" i="113" a="1"/>
  <c r="U18" i="113" s="1"/>
  <c r="T18" i="113" a="1"/>
  <c r="T18" i="113" s="1"/>
  <c r="S18" i="113" a="1"/>
  <c r="S18" i="113" s="1"/>
  <c r="Q20" i="113"/>
  <c r="AH18" i="113" a="1"/>
  <c r="AH18" i="113" s="1"/>
  <c r="AG18" i="113" a="1"/>
  <c r="AG18" i="113" s="1"/>
  <c r="AF18" i="113" a="1"/>
  <c r="AF18" i="113" s="1"/>
  <c r="AE18" i="113" a="1"/>
  <c r="AE18" i="113" s="1"/>
  <c r="AD18" i="113" a="1"/>
  <c r="AD18" i="113" s="1"/>
  <c r="AB20" i="113"/>
  <c r="AC19" i="113"/>
  <c r="AA16" i="80"/>
  <c r="Q17" i="80" l="1"/>
  <c r="P18" i="80"/>
  <c r="R16" i="80" a="1"/>
  <c r="R16" i="80" s="1"/>
  <c r="S16" i="80" a="1"/>
  <c r="S16" i="80" s="1"/>
  <c r="T16" i="80" a="1"/>
  <c r="T16" i="80" s="1"/>
  <c r="U16" i="80" a="1"/>
  <c r="U16" i="80" s="1"/>
  <c r="V16" i="80" a="1"/>
  <c r="V16" i="80" s="1"/>
  <c r="AB16" i="80"/>
  <c r="AH19" i="113" a="1"/>
  <c r="AH19" i="113" s="1"/>
  <c r="AG19" i="113" a="1"/>
  <c r="AG19" i="113" s="1"/>
  <c r="AF19" i="113" a="1"/>
  <c r="AF19" i="113" s="1"/>
  <c r="AE19" i="113" a="1"/>
  <c r="AE19" i="113" s="1"/>
  <c r="AD19" i="113" a="1"/>
  <c r="AD19" i="113" s="1"/>
  <c r="AB21" i="113"/>
  <c r="AC20" i="113"/>
  <c r="W19" i="113" a="1"/>
  <c r="W19" i="113" s="1"/>
  <c r="V19" i="113" a="1"/>
  <c r="V19" i="113" s="1"/>
  <c r="U19" i="113" a="1"/>
  <c r="U19" i="113" s="1"/>
  <c r="T19" i="113" a="1"/>
  <c r="T19" i="113" s="1"/>
  <c r="S19" i="113" a="1"/>
  <c r="S19" i="113" s="1"/>
  <c r="Q21" i="113"/>
  <c r="B20" i="113"/>
  <c r="AA17" i="80"/>
  <c r="Q18" i="80" l="1"/>
  <c r="P19" i="80"/>
  <c r="R17" i="80" a="1"/>
  <c r="R17" i="80" s="1"/>
  <c r="S17" i="80" a="1"/>
  <c r="S17" i="80" s="1"/>
  <c r="T17" i="80" a="1"/>
  <c r="T17" i="80" s="1"/>
  <c r="U17" i="80" a="1"/>
  <c r="U17" i="80" s="1"/>
  <c r="V17" i="80" a="1"/>
  <c r="V17" i="80" s="1"/>
  <c r="AB17" i="80"/>
  <c r="B21" i="113"/>
  <c r="W20" i="113" a="1"/>
  <c r="W20" i="113" s="1"/>
  <c r="V20" i="113" a="1"/>
  <c r="V20" i="113" s="1"/>
  <c r="U20" i="113" a="1"/>
  <c r="U20" i="113" s="1"/>
  <c r="T20" i="113" a="1"/>
  <c r="T20" i="113" s="1"/>
  <c r="S20" i="113" a="1"/>
  <c r="S20" i="113" s="1"/>
  <c r="Q22" i="113"/>
  <c r="AH20" i="113" a="1"/>
  <c r="AH20" i="113" s="1"/>
  <c r="AG20" i="113" a="1"/>
  <c r="AG20" i="113" s="1"/>
  <c r="AF20" i="113" a="1"/>
  <c r="AF20" i="113" s="1"/>
  <c r="AE20" i="113" a="1"/>
  <c r="AE20" i="113" s="1"/>
  <c r="AD20" i="113" a="1"/>
  <c r="AD20" i="113" s="1"/>
  <c r="AB22" i="113"/>
  <c r="AC21" i="113"/>
  <c r="AA18" i="80"/>
  <c r="Q19" i="80" l="1"/>
  <c r="P20" i="80"/>
  <c r="R18" i="80" a="1"/>
  <c r="R18" i="80" s="1"/>
  <c r="S18" i="80" a="1"/>
  <c r="S18" i="80" s="1"/>
  <c r="T18" i="80" a="1"/>
  <c r="T18" i="80" s="1"/>
  <c r="U18" i="80" a="1"/>
  <c r="U18" i="80" s="1"/>
  <c r="V18" i="80" a="1"/>
  <c r="V18" i="80" s="1"/>
  <c r="AB18" i="80"/>
  <c r="AH21" i="113" a="1"/>
  <c r="AH21" i="113" s="1"/>
  <c r="AG21" i="113" a="1"/>
  <c r="AG21" i="113" s="1"/>
  <c r="AF21" i="113" a="1"/>
  <c r="AF21" i="113" s="1"/>
  <c r="AE21" i="113" a="1"/>
  <c r="AE21" i="113" s="1"/>
  <c r="AD21" i="113" a="1"/>
  <c r="AD21" i="113" s="1"/>
  <c r="AB23" i="113"/>
  <c r="AC22" i="113"/>
  <c r="W21" i="113" a="1"/>
  <c r="W21" i="113" s="1"/>
  <c r="V21" i="113" a="1"/>
  <c r="V21" i="113" s="1"/>
  <c r="U21" i="113" a="1"/>
  <c r="U21" i="113" s="1"/>
  <c r="T21" i="113" a="1"/>
  <c r="T21" i="113" s="1"/>
  <c r="S21" i="113" a="1"/>
  <c r="S21" i="113" s="1"/>
  <c r="Q23" i="113"/>
  <c r="B22" i="113"/>
  <c r="AA19" i="80"/>
  <c r="Q20" i="80" l="1"/>
  <c r="P21" i="80"/>
  <c r="R19" i="80" a="1"/>
  <c r="R19" i="80" s="1"/>
  <c r="S19" i="80" a="1"/>
  <c r="S19" i="80" s="1"/>
  <c r="T19" i="80" a="1"/>
  <c r="T19" i="80" s="1"/>
  <c r="U19" i="80" a="1"/>
  <c r="U19" i="80" s="1"/>
  <c r="V19" i="80" a="1"/>
  <c r="V19" i="80" s="1"/>
  <c r="AB19" i="80"/>
  <c r="B23" i="113"/>
  <c r="W22" i="113" a="1"/>
  <c r="W22" i="113" s="1"/>
  <c r="V22" i="113" a="1"/>
  <c r="V22" i="113" s="1"/>
  <c r="U22" i="113" a="1"/>
  <c r="U22" i="113" s="1"/>
  <c r="T22" i="113" a="1"/>
  <c r="T22" i="113" s="1"/>
  <c r="S22" i="113" a="1"/>
  <c r="S22" i="113" s="1"/>
  <c r="Q24" i="113"/>
  <c r="AH22" i="113" a="1"/>
  <c r="AH22" i="113" s="1"/>
  <c r="AG22" i="113" a="1"/>
  <c r="AG22" i="113" s="1"/>
  <c r="AF22" i="113" a="1"/>
  <c r="AF22" i="113" s="1"/>
  <c r="AE22" i="113" a="1"/>
  <c r="AE22" i="113" s="1"/>
  <c r="AD22" i="113" a="1"/>
  <c r="AD22" i="113" s="1"/>
  <c r="AB24" i="113"/>
  <c r="AC23" i="113"/>
  <c r="AA20" i="80"/>
  <c r="D15" i="28"/>
  <c r="Q21" i="80" l="1"/>
  <c r="P22" i="80"/>
  <c r="R20" i="80" a="1"/>
  <c r="R20" i="80" s="1"/>
  <c r="S20" i="80" a="1"/>
  <c r="S20" i="80" s="1"/>
  <c r="T20" i="80" a="1"/>
  <c r="T20" i="80" s="1"/>
  <c r="U20" i="80" a="1"/>
  <c r="U20" i="80" s="1"/>
  <c r="V20" i="80" a="1"/>
  <c r="V20" i="80" s="1"/>
  <c r="F6" i="42"/>
  <c r="H5" i="75"/>
  <c r="C5" i="75"/>
  <c r="G5" i="75"/>
  <c r="F5" i="75"/>
  <c r="AB20" i="80"/>
  <c r="AH23" i="113" a="1"/>
  <c r="AH23" i="113" s="1"/>
  <c r="AG23" i="113" a="1"/>
  <c r="AG23" i="113" s="1"/>
  <c r="AF23" i="113" a="1"/>
  <c r="AF23" i="113" s="1"/>
  <c r="AE23" i="113" a="1"/>
  <c r="AE23" i="113" s="1"/>
  <c r="AD23" i="113" a="1"/>
  <c r="AD23" i="113" s="1"/>
  <c r="AB25" i="113"/>
  <c r="AB26" i="113" s="1"/>
  <c r="AC24" i="113"/>
  <c r="W23" i="113" a="1"/>
  <c r="W23" i="113" s="1"/>
  <c r="V23" i="113" a="1"/>
  <c r="V23" i="113" s="1"/>
  <c r="U23" i="113" a="1"/>
  <c r="U23" i="113" s="1"/>
  <c r="T23" i="113" a="1"/>
  <c r="T23" i="113" s="1"/>
  <c r="S23" i="113" a="1"/>
  <c r="S23" i="113" s="1"/>
  <c r="Q25" i="113"/>
  <c r="Q26" i="113" s="1"/>
  <c r="B24" i="113"/>
  <c r="AA21" i="80"/>
  <c r="Q22" i="80" l="1"/>
  <c r="P23" i="80"/>
  <c r="R21" i="80" a="1"/>
  <c r="R21" i="80" s="1"/>
  <c r="S21" i="80" a="1"/>
  <c r="S21" i="80" s="1"/>
  <c r="T21" i="80" a="1"/>
  <c r="T21" i="80" s="1"/>
  <c r="U21" i="80" a="1"/>
  <c r="U21" i="80" s="1"/>
  <c r="V21" i="80" a="1"/>
  <c r="V21" i="80" s="1"/>
  <c r="J5" i="75"/>
  <c r="Q27" i="113"/>
  <c r="AC26" i="113"/>
  <c r="AB27" i="113"/>
  <c r="AB21" i="80"/>
  <c r="B25" i="113"/>
  <c r="W24" i="113" a="1"/>
  <c r="W24" i="113" s="1"/>
  <c r="V24" i="113" a="1"/>
  <c r="V24" i="113" s="1"/>
  <c r="U24" i="113" a="1"/>
  <c r="U24" i="113" s="1"/>
  <c r="T24" i="113" a="1"/>
  <c r="T24" i="113" s="1"/>
  <c r="S24" i="113" a="1"/>
  <c r="S24" i="113" s="1"/>
  <c r="AH24" i="113" a="1"/>
  <c r="AH24" i="113" s="1"/>
  <c r="AG24" i="113" a="1"/>
  <c r="AG24" i="113" s="1"/>
  <c r="AF24" i="113" a="1"/>
  <c r="AF24" i="113" s="1"/>
  <c r="AE24" i="113" a="1"/>
  <c r="AE24" i="113" s="1"/>
  <c r="AD24" i="113" a="1"/>
  <c r="AD24" i="113" s="1"/>
  <c r="AC25" i="113"/>
  <c r="AA22" i="80"/>
  <c r="Q23" i="80" l="1"/>
  <c r="P24" i="80"/>
  <c r="R22" i="80" a="1"/>
  <c r="R22" i="80" s="1"/>
  <c r="S22" i="80" a="1"/>
  <c r="S22" i="80" s="1"/>
  <c r="T22" i="80" a="1"/>
  <c r="T22" i="80" s="1"/>
  <c r="U22" i="80" a="1"/>
  <c r="U22" i="80" s="1"/>
  <c r="V22" i="80" a="1"/>
  <c r="V22" i="80" s="1"/>
  <c r="AC27" i="113"/>
  <c r="AB28" i="113"/>
  <c r="AD26" i="113" a="1"/>
  <c r="AD26" i="113" s="1"/>
  <c r="AE26" i="113" a="1"/>
  <c r="AE26" i="113" s="1"/>
  <c r="AF26" i="113" a="1"/>
  <c r="AF26" i="113" s="1"/>
  <c r="AG26" i="113" a="1"/>
  <c r="AG26" i="113" s="1"/>
  <c r="AH26" i="113" a="1"/>
  <c r="AH26" i="113" s="1"/>
  <c r="Q28" i="113"/>
  <c r="S26" i="113" a="1"/>
  <c r="S26" i="113" s="1"/>
  <c r="T26" i="113" a="1"/>
  <c r="T26" i="113" s="1"/>
  <c r="U26" i="113" a="1"/>
  <c r="U26" i="113" s="1"/>
  <c r="V26" i="113" a="1"/>
  <c r="V26" i="113" s="1"/>
  <c r="W26" i="113" a="1"/>
  <c r="W26" i="113" s="1"/>
  <c r="AB22" i="80"/>
  <c r="AH25" i="113" a="1"/>
  <c r="AH25" i="113" s="1"/>
  <c r="AG25" i="113" a="1"/>
  <c r="AG25" i="113" s="1"/>
  <c r="AF25" i="113" a="1"/>
  <c r="AF25" i="113" s="1"/>
  <c r="AE25" i="113" a="1"/>
  <c r="AE25" i="113" s="1"/>
  <c r="AD25" i="113" a="1"/>
  <c r="AD25" i="113" s="1"/>
  <c r="W25" i="113" a="1"/>
  <c r="W25" i="113" s="1"/>
  <c r="V25" i="113" a="1"/>
  <c r="V25" i="113" s="1"/>
  <c r="U25" i="113" a="1"/>
  <c r="U25" i="113" s="1"/>
  <c r="T25" i="113" a="1"/>
  <c r="T25" i="113" s="1"/>
  <c r="S25" i="113" a="1"/>
  <c r="S25" i="113" s="1"/>
  <c r="AA23" i="80"/>
  <c r="B7" i="112"/>
  <c r="B8" i="111"/>
  <c r="Q24" i="80" l="1"/>
  <c r="P25" i="80"/>
  <c r="R23" i="80" a="1"/>
  <c r="R23" i="80" s="1"/>
  <c r="S23" i="80" a="1"/>
  <c r="S23" i="80" s="1"/>
  <c r="T23" i="80" a="1"/>
  <c r="T23" i="80" s="1"/>
  <c r="U23" i="80" a="1"/>
  <c r="U23" i="80" s="1"/>
  <c r="V23" i="80" a="1"/>
  <c r="V23" i="80" s="1"/>
  <c r="Q29" i="113"/>
  <c r="S27" i="113" a="1"/>
  <c r="S27" i="113" s="1"/>
  <c r="T27" i="113" a="1"/>
  <c r="T27" i="113" s="1"/>
  <c r="U27" i="113" a="1"/>
  <c r="U27" i="113" s="1"/>
  <c r="V27" i="113" a="1"/>
  <c r="V27" i="113" s="1"/>
  <c r="W27" i="113" a="1"/>
  <c r="W27" i="113" s="1"/>
  <c r="AC28" i="113"/>
  <c r="AB29" i="113"/>
  <c r="AD27" i="113" a="1"/>
  <c r="AD27" i="113" s="1"/>
  <c r="AE27" i="113" a="1"/>
  <c r="AE27" i="113" s="1"/>
  <c r="AF27" i="113" a="1"/>
  <c r="AF27" i="113" s="1"/>
  <c r="AG27" i="113" a="1"/>
  <c r="AG27" i="113" s="1"/>
  <c r="AH27" i="113" a="1"/>
  <c r="AH27" i="113" s="1"/>
  <c r="AB23" i="80"/>
  <c r="AA24" i="80"/>
  <c r="Q25" i="80" l="1"/>
  <c r="P26" i="80"/>
  <c r="R24" i="80" a="1"/>
  <c r="R24" i="80" s="1"/>
  <c r="S24" i="80" a="1"/>
  <c r="S24" i="80" s="1"/>
  <c r="T24" i="80" a="1"/>
  <c r="T24" i="80" s="1"/>
  <c r="U24" i="80" a="1"/>
  <c r="U24" i="80" s="1"/>
  <c r="V24" i="80" a="1"/>
  <c r="V24" i="80" s="1"/>
  <c r="AC29" i="113"/>
  <c r="AB30" i="113"/>
  <c r="AD28" i="113" a="1"/>
  <c r="AD28" i="113" s="1"/>
  <c r="AE28" i="113" a="1"/>
  <c r="AE28" i="113" s="1"/>
  <c r="AF28" i="113" a="1"/>
  <c r="AF28" i="113" s="1"/>
  <c r="AG28" i="113" a="1"/>
  <c r="AG28" i="113" s="1"/>
  <c r="AH28" i="113" a="1"/>
  <c r="AH28" i="113" s="1"/>
  <c r="Q30" i="113"/>
  <c r="S28" i="113" a="1"/>
  <c r="S28" i="113" s="1"/>
  <c r="T28" i="113" a="1"/>
  <c r="T28" i="113" s="1"/>
  <c r="U28" i="113" a="1"/>
  <c r="U28" i="113" s="1"/>
  <c r="V28" i="113" a="1"/>
  <c r="V28" i="113" s="1"/>
  <c r="W28" i="113" a="1"/>
  <c r="W28" i="113" s="1"/>
  <c r="AB24" i="80"/>
  <c r="AA25" i="80"/>
  <c r="Q26" i="80" l="1"/>
  <c r="P27" i="80"/>
  <c r="R25" i="80" a="1"/>
  <c r="R25" i="80" s="1"/>
  <c r="S25" i="80" a="1"/>
  <c r="S25" i="80" s="1"/>
  <c r="T25" i="80" a="1"/>
  <c r="T25" i="80" s="1"/>
  <c r="U25" i="80" a="1"/>
  <c r="U25" i="80" s="1"/>
  <c r="V25" i="80" a="1"/>
  <c r="V25" i="80" s="1"/>
  <c r="Q31" i="113"/>
  <c r="S29" i="113" a="1"/>
  <c r="S29" i="113" s="1"/>
  <c r="T29" i="113" a="1"/>
  <c r="T29" i="113" s="1"/>
  <c r="U29" i="113" a="1"/>
  <c r="U29" i="113" s="1"/>
  <c r="V29" i="113" a="1"/>
  <c r="V29" i="113" s="1"/>
  <c r="W29" i="113" a="1"/>
  <c r="W29" i="113" s="1"/>
  <c r="AC30" i="113"/>
  <c r="AB31" i="113"/>
  <c r="AD29" i="113" a="1"/>
  <c r="AD29" i="113" s="1"/>
  <c r="AE29" i="113" a="1"/>
  <c r="AE29" i="113" s="1"/>
  <c r="AF29" i="113" a="1"/>
  <c r="AF29" i="113" s="1"/>
  <c r="AG29" i="113" a="1"/>
  <c r="AG29" i="113" s="1"/>
  <c r="AH29" i="113" a="1"/>
  <c r="AH29" i="113" s="1"/>
  <c r="AB25" i="80"/>
  <c r="AA26" i="80"/>
  <c r="E15" i="100"/>
  <c r="E23" i="100" s="1"/>
  <c r="Q27" i="80" l="1"/>
  <c r="P28" i="80"/>
  <c r="R26" i="80" a="1"/>
  <c r="R26" i="80" s="1"/>
  <c r="S26" i="80" a="1"/>
  <c r="S26" i="80" s="1"/>
  <c r="T26" i="80" a="1"/>
  <c r="T26" i="80" s="1"/>
  <c r="U26" i="80" a="1"/>
  <c r="U26" i="80" s="1"/>
  <c r="V26" i="80" a="1"/>
  <c r="V26" i="80" s="1"/>
  <c r="AC31" i="113"/>
  <c r="AB32" i="113"/>
  <c r="AD30" i="113" a="1"/>
  <c r="AD30" i="113" s="1"/>
  <c r="AE30" i="113" a="1"/>
  <c r="AE30" i="113" s="1"/>
  <c r="AF30" i="113" a="1"/>
  <c r="AF30" i="113" s="1"/>
  <c r="AG30" i="113" a="1"/>
  <c r="AG30" i="113" s="1"/>
  <c r="AH30" i="113" a="1"/>
  <c r="AH30" i="113" s="1"/>
  <c r="Q32" i="113"/>
  <c r="S30" i="113" a="1"/>
  <c r="S30" i="113" s="1"/>
  <c r="T30" i="113" a="1"/>
  <c r="T30" i="113" s="1"/>
  <c r="U30" i="113" a="1"/>
  <c r="U30" i="113" s="1"/>
  <c r="V30" i="113" a="1"/>
  <c r="V30" i="113" s="1"/>
  <c r="W30" i="113" a="1"/>
  <c r="W30" i="113" s="1"/>
  <c r="AB26" i="80"/>
  <c r="AA27" i="80"/>
  <c r="Q28" i="80" l="1"/>
  <c r="P29" i="80"/>
  <c r="R27" i="80" a="1"/>
  <c r="R27" i="80" s="1"/>
  <c r="S27" i="80" a="1"/>
  <c r="S27" i="80" s="1"/>
  <c r="T27" i="80" a="1"/>
  <c r="T27" i="80" s="1"/>
  <c r="U27" i="80" a="1"/>
  <c r="U27" i="80" s="1"/>
  <c r="V27" i="80" a="1"/>
  <c r="V27" i="80" s="1"/>
  <c r="Q33" i="113"/>
  <c r="S31" i="113" a="1"/>
  <c r="S31" i="113" s="1"/>
  <c r="T31" i="113" a="1"/>
  <c r="T31" i="113" s="1"/>
  <c r="U31" i="113" a="1"/>
  <c r="U31" i="113" s="1"/>
  <c r="V31" i="113" a="1"/>
  <c r="V31" i="113" s="1"/>
  <c r="W31" i="113" a="1"/>
  <c r="W31" i="113" s="1"/>
  <c r="AC32" i="113"/>
  <c r="AB33" i="113"/>
  <c r="AD31" i="113" a="1"/>
  <c r="AD31" i="113" s="1"/>
  <c r="AE31" i="113" a="1"/>
  <c r="AE31" i="113" s="1"/>
  <c r="AF31" i="113" a="1"/>
  <c r="AF31" i="113" s="1"/>
  <c r="AG31" i="113" a="1"/>
  <c r="AG31" i="113" s="1"/>
  <c r="AH31" i="113" a="1"/>
  <c r="AH31" i="113" s="1"/>
  <c r="AB27" i="80"/>
  <c r="AA28" i="80"/>
  <c r="Q29" i="80" l="1"/>
  <c r="P30" i="80"/>
  <c r="R28" i="80" a="1"/>
  <c r="R28" i="80" s="1"/>
  <c r="S28" i="80" a="1"/>
  <c r="S28" i="80" s="1"/>
  <c r="T28" i="80" a="1"/>
  <c r="T28" i="80" s="1"/>
  <c r="U28" i="80" a="1"/>
  <c r="U28" i="80" s="1"/>
  <c r="V28" i="80" a="1"/>
  <c r="V28" i="80" s="1"/>
  <c r="AC33" i="113"/>
  <c r="AB34" i="113"/>
  <c r="AD32" i="113" a="1"/>
  <c r="AD32" i="113" s="1"/>
  <c r="AE32" i="113" a="1"/>
  <c r="AE32" i="113" s="1"/>
  <c r="AF32" i="113" a="1"/>
  <c r="AF32" i="113" s="1"/>
  <c r="AG32" i="113" a="1"/>
  <c r="AG32" i="113" s="1"/>
  <c r="AH32" i="113" a="1"/>
  <c r="AH32" i="113" s="1"/>
  <c r="Q34" i="113"/>
  <c r="S32" i="113" a="1"/>
  <c r="S32" i="113" s="1"/>
  <c r="T32" i="113" a="1"/>
  <c r="T32" i="113" s="1"/>
  <c r="U32" i="113" a="1"/>
  <c r="U32" i="113" s="1"/>
  <c r="V32" i="113" a="1"/>
  <c r="V32" i="113" s="1"/>
  <c r="W32" i="113" a="1"/>
  <c r="W32" i="113" s="1"/>
  <c r="AB28" i="80"/>
  <c r="AA29" i="80"/>
  <c r="Q30" i="80" l="1"/>
  <c r="P31" i="80"/>
  <c r="R29" i="80" a="1"/>
  <c r="R29" i="80" s="1"/>
  <c r="S29" i="80" a="1"/>
  <c r="S29" i="80" s="1"/>
  <c r="T29" i="80" a="1"/>
  <c r="T29" i="80" s="1"/>
  <c r="U29" i="80" a="1"/>
  <c r="U29" i="80" s="1"/>
  <c r="V29" i="80" a="1"/>
  <c r="V29" i="80" s="1"/>
  <c r="Q35" i="113"/>
  <c r="S33" i="113" a="1"/>
  <c r="S33" i="113" s="1"/>
  <c r="T33" i="113" a="1"/>
  <c r="T33" i="113" s="1"/>
  <c r="U33" i="113" a="1"/>
  <c r="U33" i="113" s="1"/>
  <c r="V33" i="113" a="1"/>
  <c r="V33" i="113" s="1"/>
  <c r="W33" i="113" a="1"/>
  <c r="W33" i="113" s="1"/>
  <c r="AC34" i="113"/>
  <c r="AB35" i="113"/>
  <c r="AD33" i="113" a="1"/>
  <c r="AD33" i="113" s="1"/>
  <c r="AE33" i="113" a="1"/>
  <c r="AE33" i="113" s="1"/>
  <c r="AF33" i="113" a="1"/>
  <c r="AF33" i="113" s="1"/>
  <c r="AG33" i="113" a="1"/>
  <c r="AG33" i="113" s="1"/>
  <c r="AH33" i="113" a="1"/>
  <c r="AH33" i="113" s="1"/>
  <c r="AB29" i="80"/>
  <c r="AA30" i="80"/>
  <c r="Q31" i="80" l="1"/>
  <c r="P32" i="80"/>
  <c r="R30" i="80" a="1"/>
  <c r="R30" i="80" s="1"/>
  <c r="S30" i="80" a="1"/>
  <c r="S30" i="80" s="1"/>
  <c r="T30" i="80" a="1"/>
  <c r="T30" i="80" s="1"/>
  <c r="U30" i="80" a="1"/>
  <c r="U30" i="80" s="1"/>
  <c r="V30" i="80" a="1"/>
  <c r="V30" i="80" s="1"/>
  <c r="AC35" i="113"/>
  <c r="AB36" i="113"/>
  <c r="AD34" i="113" a="1"/>
  <c r="AD34" i="113" s="1"/>
  <c r="AE34" i="113" a="1"/>
  <c r="AE34" i="113" s="1"/>
  <c r="AF34" i="113" a="1"/>
  <c r="AF34" i="113" s="1"/>
  <c r="AG34" i="113" a="1"/>
  <c r="AG34" i="113" s="1"/>
  <c r="AH34" i="113" a="1"/>
  <c r="AH34" i="113" s="1"/>
  <c r="Q36" i="113"/>
  <c r="S34" i="113" a="1"/>
  <c r="S34" i="113" s="1"/>
  <c r="T34" i="113" a="1"/>
  <c r="T34" i="113" s="1"/>
  <c r="U34" i="113" a="1"/>
  <c r="U34" i="113" s="1"/>
  <c r="V34" i="113" a="1"/>
  <c r="V34" i="113" s="1"/>
  <c r="W34" i="113" a="1"/>
  <c r="W34" i="113" s="1"/>
  <c r="AB30" i="80"/>
  <c r="AA31" i="80"/>
  <c r="Q32" i="80" l="1"/>
  <c r="P33" i="80"/>
  <c r="R31" i="80" a="1"/>
  <c r="R31" i="80" s="1"/>
  <c r="S31" i="80" a="1"/>
  <c r="S31" i="80" s="1"/>
  <c r="T31" i="80" a="1"/>
  <c r="T31" i="80" s="1"/>
  <c r="U31" i="80" a="1"/>
  <c r="U31" i="80" s="1"/>
  <c r="V31" i="80" a="1"/>
  <c r="V31" i="80" s="1"/>
  <c r="S35" i="113" a="1"/>
  <c r="S35" i="113" s="1"/>
  <c r="T35" i="113" a="1"/>
  <c r="T35" i="113" s="1"/>
  <c r="U35" i="113" a="1"/>
  <c r="U35" i="113" s="1"/>
  <c r="V35" i="113" a="1"/>
  <c r="V35" i="113" s="1"/>
  <c r="W35" i="113" a="1"/>
  <c r="W35" i="113" s="1"/>
  <c r="AC36" i="113"/>
  <c r="AD35" i="113" a="1"/>
  <c r="AD35" i="113" s="1"/>
  <c r="AE35" i="113" a="1"/>
  <c r="AE35" i="113" s="1"/>
  <c r="AF35" i="113" a="1"/>
  <c r="AF35" i="113" s="1"/>
  <c r="AG35" i="113" a="1"/>
  <c r="AG35" i="113" s="1"/>
  <c r="AH35" i="113" a="1"/>
  <c r="AH35" i="113" s="1"/>
  <c r="AB31" i="80"/>
  <c r="AA32" i="80"/>
  <c r="Q33" i="80" l="1"/>
  <c r="P34" i="80"/>
  <c r="R32" i="80" a="1"/>
  <c r="R32" i="80" s="1"/>
  <c r="S32" i="80" a="1"/>
  <c r="S32" i="80" s="1"/>
  <c r="T32" i="80" a="1"/>
  <c r="T32" i="80" s="1"/>
  <c r="U32" i="80" a="1"/>
  <c r="U32" i="80" s="1"/>
  <c r="V32" i="80" a="1"/>
  <c r="V32" i="80" s="1"/>
  <c r="AD36" i="113" a="1"/>
  <c r="AD36" i="113" s="1"/>
  <c r="AE36" i="113" a="1"/>
  <c r="AE36" i="113" s="1"/>
  <c r="AF36" i="113" a="1"/>
  <c r="AF36" i="113" s="1"/>
  <c r="AG36" i="113" a="1"/>
  <c r="AG36" i="113" s="1"/>
  <c r="AH36" i="113" a="1"/>
  <c r="AH36" i="113" s="1"/>
  <c r="S36" i="113" a="1"/>
  <c r="S36" i="113" s="1"/>
  <c r="T36" i="113" a="1"/>
  <c r="T36" i="113" s="1"/>
  <c r="U36" i="113" a="1"/>
  <c r="U36" i="113" s="1"/>
  <c r="V36" i="113" a="1"/>
  <c r="V36" i="113" s="1"/>
  <c r="W36" i="113" a="1"/>
  <c r="W36" i="113" s="1"/>
  <c r="AB32" i="80"/>
  <c r="AB37" i="113"/>
  <c r="Q37" i="113"/>
  <c r="AA33" i="80"/>
  <c r="Q34" i="80" l="1"/>
  <c r="P35" i="80"/>
  <c r="R33" i="80" a="1"/>
  <c r="R33" i="80" s="1"/>
  <c r="S33" i="80" a="1"/>
  <c r="S33" i="80" s="1"/>
  <c r="T33" i="80" a="1"/>
  <c r="T33" i="80" s="1"/>
  <c r="U33" i="80" a="1"/>
  <c r="U33" i="80" s="1"/>
  <c r="V33" i="80" a="1"/>
  <c r="V33" i="80" s="1"/>
  <c r="L7" i="46"/>
  <c r="AB33" i="80"/>
  <c r="Q38" i="113"/>
  <c r="X37" i="113"/>
  <c r="AB38" i="113"/>
  <c r="AI37" i="113"/>
  <c r="AC37" i="113"/>
  <c r="AA34" i="80"/>
  <c r="Q35" i="80" l="1"/>
  <c r="P36" i="80"/>
  <c r="R34" i="80" a="1"/>
  <c r="R34" i="80" s="1"/>
  <c r="S34" i="80" a="1"/>
  <c r="S34" i="80" s="1"/>
  <c r="T34" i="80" a="1"/>
  <c r="T34" i="80" s="1"/>
  <c r="U34" i="80" a="1"/>
  <c r="U34" i="80" s="1"/>
  <c r="V34" i="80" a="1"/>
  <c r="V34" i="80" s="1"/>
  <c r="AB34" i="80"/>
  <c r="AH37" i="113" a="1"/>
  <c r="AH37" i="113" s="1"/>
  <c r="AG37" i="113" a="1"/>
  <c r="AG37" i="113" s="1"/>
  <c r="AF37" i="113" a="1"/>
  <c r="AF37" i="113" s="1"/>
  <c r="AE37" i="113" a="1"/>
  <c r="AE37" i="113" s="1"/>
  <c r="AD37" i="113" a="1"/>
  <c r="AD37" i="113" s="1"/>
  <c r="AB39" i="113"/>
  <c r="AI38" i="113"/>
  <c r="AC38" i="113"/>
  <c r="W37" i="113" a="1"/>
  <c r="W37" i="113" s="1"/>
  <c r="V37" i="113" a="1"/>
  <c r="V37" i="113" s="1"/>
  <c r="U37" i="113" a="1"/>
  <c r="U37" i="113" s="1"/>
  <c r="T37" i="113" a="1"/>
  <c r="T37" i="113" s="1"/>
  <c r="S37" i="113" a="1"/>
  <c r="S37" i="113" s="1"/>
  <c r="Q39" i="113"/>
  <c r="X38" i="113"/>
  <c r="AA35" i="80"/>
  <c r="Q36" i="80" l="1"/>
  <c r="P37" i="80"/>
  <c r="R35" i="80" a="1"/>
  <c r="R35" i="80" s="1"/>
  <c r="S35" i="80" a="1"/>
  <c r="S35" i="80" s="1"/>
  <c r="T35" i="80" a="1"/>
  <c r="T35" i="80" s="1"/>
  <c r="U35" i="80" a="1"/>
  <c r="U35" i="80" s="1"/>
  <c r="V35" i="80" a="1"/>
  <c r="V35" i="80" s="1"/>
  <c r="AB35" i="80"/>
  <c r="W38" i="113" a="1"/>
  <c r="W38" i="113" s="1"/>
  <c r="V38" i="113" a="1"/>
  <c r="V38" i="113" s="1"/>
  <c r="U38" i="113" a="1"/>
  <c r="U38" i="113" s="1"/>
  <c r="T38" i="113" a="1"/>
  <c r="T38" i="113" s="1"/>
  <c r="S38" i="113" a="1"/>
  <c r="S38" i="113" s="1"/>
  <c r="Q40" i="113"/>
  <c r="X39" i="113"/>
  <c r="AH38" i="113" a="1"/>
  <c r="AH38" i="113" s="1"/>
  <c r="AG38" i="113" a="1"/>
  <c r="AG38" i="113" s="1"/>
  <c r="AF38" i="113" a="1"/>
  <c r="AF38" i="113" s="1"/>
  <c r="AE38" i="113" a="1"/>
  <c r="AE38" i="113" s="1"/>
  <c r="AD38" i="113" a="1"/>
  <c r="AD38" i="113" s="1"/>
  <c r="AB40" i="113"/>
  <c r="AI39" i="113"/>
  <c r="AC39" i="113"/>
  <c r="AA36" i="80"/>
  <c r="Q37" i="80" l="1"/>
  <c r="W37" i="80"/>
  <c r="P38" i="80"/>
  <c r="R36" i="80" a="1"/>
  <c r="R36" i="80" s="1"/>
  <c r="S36" i="80" a="1"/>
  <c r="S36" i="80" s="1"/>
  <c r="T36" i="80" a="1"/>
  <c r="T36" i="80" s="1"/>
  <c r="U36" i="80" a="1"/>
  <c r="U36" i="80" s="1"/>
  <c r="V36" i="80" a="1"/>
  <c r="V36" i="80" s="1"/>
  <c r="AB36" i="80"/>
  <c r="AH39" i="113" a="1"/>
  <c r="AH39" i="113" s="1"/>
  <c r="AG39" i="113" a="1"/>
  <c r="AG39" i="113" s="1"/>
  <c r="AF39" i="113" a="1"/>
  <c r="AF39" i="113" s="1"/>
  <c r="AE39" i="113" a="1"/>
  <c r="AE39" i="113" s="1"/>
  <c r="AD39" i="113" a="1"/>
  <c r="AD39" i="113" s="1"/>
  <c r="AB41" i="113"/>
  <c r="AI40" i="113"/>
  <c r="AC40" i="113"/>
  <c r="W39" i="113" a="1"/>
  <c r="W39" i="113" s="1"/>
  <c r="V39" i="113" a="1"/>
  <c r="V39" i="113" s="1"/>
  <c r="U39" i="113" a="1"/>
  <c r="U39" i="113" s="1"/>
  <c r="T39" i="113" a="1"/>
  <c r="T39" i="113" s="1"/>
  <c r="S39" i="113" a="1"/>
  <c r="S39" i="113" s="1"/>
  <c r="Q41" i="113"/>
  <c r="X40" i="113"/>
  <c r="AA37" i="80"/>
  <c r="Q38" i="80" l="1"/>
  <c r="W38" i="80"/>
  <c r="P39" i="80"/>
  <c r="R37" i="80" a="1"/>
  <c r="R37" i="80" s="1"/>
  <c r="S37" i="80" a="1"/>
  <c r="S37" i="80" s="1"/>
  <c r="T37" i="80" a="1"/>
  <c r="T37" i="80" s="1"/>
  <c r="U37" i="80" a="1"/>
  <c r="U37" i="80" s="1"/>
  <c r="V37" i="80" a="1"/>
  <c r="V37" i="80" s="1"/>
  <c r="AB37" i="80"/>
  <c r="AJ37" i="80"/>
  <c r="W40" i="113" a="1"/>
  <c r="W40" i="113" s="1"/>
  <c r="V40" i="113" a="1"/>
  <c r="V40" i="113" s="1"/>
  <c r="U40" i="113" a="1"/>
  <c r="U40" i="113" s="1"/>
  <c r="T40" i="113" a="1"/>
  <c r="T40" i="113" s="1"/>
  <c r="S40" i="113" a="1"/>
  <c r="S40" i="113" s="1"/>
  <c r="Q42" i="113"/>
  <c r="X41" i="113"/>
  <c r="AH40" i="113" a="1"/>
  <c r="AH40" i="113" s="1"/>
  <c r="AG40" i="113" a="1"/>
  <c r="AG40" i="113" s="1"/>
  <c r="AF40" i="113" a="1"/>
  <c r="AF40" i="113" s="1"/>
  <c r="AE40" i="113" a="1"/>
  <c r="AE40" i="113" s="1"/>
  <c r="AD40" i="113" a="1"/>
  <c r="AD40" i="113" s="1"/>
  <c r="AB42" i="113"/>
  <c r="AI41" i="113"/>
  <c r="AC41" i="113"/>
  <c r="AA38" i="80"/>
  <c r="Q39" i="80" l="1"/>
  <c r="W39" i="80"/>
  <c r="P40" i="80"/>
  <c r="R38" i="80" a="1"/>
  <c r="R38" i="80" s="1"/>
  <c r="S38" i="80" a="1"/>
  <c r="S38" i="80" s="1"/>
  <c r="T38" i="80" a="1"/>
  <c r="T38" i="80" s="1"/>
  <c r="U38" i="80" a="1"/>
  <c r="U38" i="80" s="1"/>
  <c r="V38" i="80" a="1"/>
  <c r="V38" i="80" s="1"/>
  <c r="AB38" i="80"/>
  <c r="AJ38" i="80"/>
  <c r="AH41" i="113" a="1"/>
  <c r="AH41" i="113" s="1"/>
  <c r="AG41" i="113" a="1"/>
  <c r="AG41" i="113" s="1"/>
  <c r="AF41" i="113" a="1"/>
  <c r="AF41" i="113" s="1"/>
  <c r="AE41" i="113" a="1"/>
  <c r="AE41" i="113" s="1"/>
  <c r="AD41" i="113" a="1"/>
  <c r="AD41" i="113" s="1"/>
  <c r="AB43" i="113"/>
  <c r="AI42" i="113"/>
  <c r="AC42" i="113"/>
  <c r="W41" i="113" a="1"/>
  <c r="W41" i="113" s="1"/>
  <c r="V41" i="113" a="1"/>
  <c r="V41" i="113" s="1"/>
  <c r="U41" i="113" a="1"/>
  <c r="U41" i="113" s="1"/>
  <c r="T41" i="113" a="1"/>
  <c r="T41" i="113" s="1"/>
  <c r="S41" i="113" a="1"/>
  <c r="S41" i="113" s="1"/>
  <c r="Q43" i="113"/>
  <c r="X42" i="113"/>
  <c r="AA39" i="80"/>
  <c r="B7" i="42"/>
  <c r="E7" i="42" l="1"/>
  <c r="C7" i="42"/>
  <c r="Q40" i="80"/>
  <c r="W40" i="80"/>
  <c r="P41" i="80"/>
  <c r="R39" i="80" a="1"/>
  <c r="R39" i="80" s="1"/>
  <c r="S39" i="80" a="1"/>
  <c r="S39" i="80" s="1"/>
  <c r="T39" i="80" a="1"/>
  <c r="T39" i="80" s="1"/>
  <c r="U39" i="80" a="1"/>
  <c r="U39" i="80" s="1"/>
  <c r="V39" i="80" a="1"/>
  <c r="V39" i="80" s="1"/>
  <c r="AB39" i="80"/>
  <c r="AJ39" i="80"/>
  <c r="F7" i="42"/>
  <c r="W42" i="113" a="1"/>
  <c r="W42" i="113" s="1"/>
  <c r="V42" i="113" a="1"/>
  <c r="V42" i="113" s="1"/>
  <c r="U42" i="113" a="1"/>
  <c r="U42" i="113" s="1"/>
  <c r="T42" i="113" a="1"/>
  <c r="T42" i="113" s="1"/>
  <c r="S42" i="113" a="1"/>
  <c r="S42" i="113" s="1"/>
  <c r="Q44" i="113"/>
  <c r="X43" i="113"/>
  <c r="AH42" i="113" a="1"/>
  <c r="AH42" i="113" s="1"/>
  <c r="AG42" i="113" a="1"/>
  <c r="AG42" i="113" s="1"/>
  <c r="AF42" i="113" a="1"/>
  <c r="AF42" i="113" s="1"/>
  <c r="AE42" i="113" a="1"/>
  <c r="AE42" i="113" s="1"/>
  <c r="AD42" i="113" a="1"/>
  <c r="AD42" i="113" s="1"/>
  <c r="AB44" i="113"/>
  <c r="AI43" i="113"/>
  <c r="AC43" i="113"/>
  <c r="AA40" i="80"/>
  <c r="B8" i="42"/>
  <c r="E8" i="42" l="1"/>
  <c r="C8" i="42"/>
  <c r="D8" i="42" s="1"/>
  <c r="Q41" i="80"/>
  <c r="W41" i="80"/>
  <c r="P42" i="80"/>
  <c r="R40" i="80" a="1"/>
  <c r="R40" i="80" s="1"/>
  <c r="S40" i="80" a="1"/>
  <c r="S40" i="80" s="1"/>
  <c r="T40" i="80" a="1"/>
  <c r="T40" i="80" s="1"/>
  <c r="U40" i="80" a="1"/>
  <c r="U40" i="80" s="1"/>
  <c r="V40" i="80" a="1"/>
  <c r="V40" i="80" s="1"/>
  <c r="AB40" i="80"/>
  <c r="AJ40" i="80"/>
  <c r="F8" i="42"/>
  <c r="AH43" i="113" a="1"/>
  <c r="AH43" i="113" s="1"/>
  <c r="AG43" i="113" a="1"/>
  <c r="AG43" i="113" s="1"/>
  <c r="AF43" i="113" a="1"/>
  <c r="AF43" i="113" s="1"/>
  <c r="AE43" i="113" a="1"/>
  <c r="AE43" i="113" s="1"/>
  <c r="AD43" i="113" a="1"/>
  <c r="AD43" i="113" s="1"/>
  <c r="AB45" i="113"/>
  <c r="AI44" i="113"/>
  <c r="AC44" i="113"/>
  <c r="W43" i="113" a="1"/>
  <c r="W43" i="113" s="1"/>
  <c r="V43" i="113" a="1"/>
  <c r="V43" i="113" s="1"/>
  <c r="U43" i="113" a="1"/>
  <c r="U43" i="113" s="1"/>
  <c r="T43" i="113" a="1"/>
  <c r="T43" i="113" s="1"/>
  <c r="S43" i="113" a="1"/>
  <c r="S43" i="113" s="1"/>
  <c r="Q45" i="113"/>
  <c r="X44" i="113"/>
  <c r="AA41" i="80"/>
  <c r="B9" i="42"/>
  <c r="E9" i="42" l="1"/>
  <c r="C9" i="42"/>
  <c r="Q42" i="80"/>
  <c r="W42" i="80"/>
  <c r="P43" i="80"/>
  <c r="R41" i="80" a="1"/>
  <c r="R41" i="80" s="1"/>
  <c r="S41" i="80" a="1"/>
  <c r="S41" i="80" s="1"/>
  <c r="T41" i="80" a="1"/>
  <c r="T41" i="80" s="1"/>
  <c r="U41" i="80" a="1"/>
  <c r="U41" i="80" s="1"/>
  <c r="V41" i="80" a="1"/>
  <c r="V41" i="80" s="1"/>
  <c r="P7" i="46"/>
  <c r="AB41" i="80"/>
  <c r="AJ41" i="80"/>
  <c r="F9" i="42"/>
  <c r="W44" i="113" a="1"/>
  <c r="W44" i="113" s="1"/>
  <c r="V44" i="113" a="1"/>
  <c r="V44" i="113" s="1"/>
  <c r="U44" i="113" a="1"/>
  <c r="U44" i="113" s="1"/>
  <c r="T44" i="113" a="1"/>
  <c r="T44" i="113" s="1"/>
  <c r="S44" i="113" a="1"/>
  <c r="S44" i="113" s="1"/>
  <c r="Q46" i="113"/>
  <c r="X45" i="113"/>
  <c r="AH44" i="113" a="1"/>
  <c r="AH44" i="113" s="1"/>
  <c r="AG44" i="113" a="1"/>
  <c r="AG44" i="113" s="1"/>
  <c r="AF44" i="113" a="1"/>
  <c r="AF44" i="113" s="1"/>
  <c r="AE44" i="113" a="1"/>
  <c r="AE44" i="113" s="1"/>
  <c r="AD44" i="113" a="1"/>
  <c r="AD44" i="113" s="1"/>
  <c r="AB46" i="113"/>
  <c r="AI45" i="113"/>
  <c r="AC45" i="113"/>
  <c r="AA42" i="80"/>
  <c r="B10" i="42"/>
  <c r="E10" i="42" l="1"/>
  <c r="C10" i="42"/>
  <c r="Q43" i="80"/>
  <c r="W43" i="80"/>
  <c r="P44" i="80"/>
  <c r="R42" i="80" a="1"/>
  <c r="R42" i="80" s="1"/>
  <c r="S42" i="80" a="1"/>
  <c r="S42" i="80" s="1"/>
  <c r="T42" i="80" a="1"/>
  <c r="T42" i="80" s="1"/>
  <c r="U42" i="80" a="1"/>
  <c r="U42" i="80" s="1"/>
  <c r="V42" i="80" a="1"/>
  <c r="V42" i="80" s="1"/>
  <c r="AB42" i="80"/>
  <c r="AJ42" i="80"/>
  <c r="F10" i="42"/>
  <c r="AH45" i="113" a="1"/>
  <c r="AH45" i="113" s="1"/>
  <c r="AG45" i="113" a="1"/>
  <c r="AG45" i="113" s="1"/>
  <c r="AF45" i="113" a="1"/>
  <c r="AF45" i="113" s="1"/>
  <c r="AE45" i="113" a="1"/>
  <c r="AE45" i="113" s="1"/>
  <c r="AD45" i="113" a="1"/>
  <c r="AD45" i="113" s="1"/>
  <c r="AB47" i="113"/>
  <c r="AI46" i="113"/>
  <c r="AC46" i="113"/>
  <c r="W45" i="113" a="1"/>
  <c r="W45" i="113" s="1"/>
  <c r="V45" i="113" a="1"/>
  <c r="V45" i="113" s="1"/>
  <c r="U45" i="113" a="1"/>
  <c r="U45" i="113" s="1"/>
  <c r="T45" i="113" a="1"/>
  <c r="T45" i="113" s="1"/>
  <c r="S45" i="113" a="1"/>
  <c r="S45" i="113" s="1"/>
  <c r="Q47" i="113"/>
  <c r="X46" i="113"/>
  <c r="AA43" i="80"/>
  <c r="B11" i="42"/>
  <c r="E11" i="42" l="1"/>
  <c r="C11" i="42"/>
  <c r="Q44" i="80"/>
  <c r="W44" i="80"/>
  <c r="P45" i="80"/>
  <c r="R43" i="80" a="1"/>
  <c r="R43" i="80" s="1"/>
  <c r="S43" i="80" a="1"/>
  <c r="S43" i="80" s="1"/>
  <c r="T43" i="80" a="1"/>
  <c r="T43" i="80" s="1"/>
  <c r="U43" i="80" a="1"/>
  <c r="U43" i="80" s="1"/>
  <c r="V43" i="80" a="1"/>
  <c r="V43" i="80" s="1"/>
  <c r="AB43" i="80"/>
  <c r="AJ43" i="80"/>
  <c r="F11" i="42"/>
  <c r="W46" i="113" a="1"/>
  <c r="W46" i="113" s="1"/>
  <c r="V46" i="113" a="1"/>
  <c r="V46" i="113" s="1"/>
  <c r="U46" i="113" a="1"/>
  <c r="U46" i="113" s="1"/>
  <c r="T46" i="113" a="1"/>
  <c r="T46" i="113" s="1"/>
  <c r="S46" i="113" a="1"/>
  <c r="S46" i="113" s="1"/>
  <c r="X47" i="113"/>
  <c r="AH46" i="113" a="1"/>
  <c r="AH46" i="113" s="1"/>
  <c r="AG46" i="113" a="1"/>
  <c r="AG46" i="113" s="1"/>
  <c r="AF46" i="113" a="1"/>
  <c r="AF46" i="113" s="1"/>
  <c r="AE46" i="113" a="1"/>
  <c r="AE46" i="113" s="1"/>
  <c r="AD46" i="113" a="1"/>
  <c r="AD46" i="113" s="1"/>
  <c r="AI47" i="113"/>
  <c r="AC47" i="113"/>
  <c r="AA44" i="80"/>
  <c r="B12" i="42"/>
  <c r="E12" i="42" l="1"/>
  <c r="C12" i="42"/>
  <c r="Q45" i="80"/>
  <c r="W45" i="80"/>
  <c r="P46" i="80"/>
  <c r="R44" i="80" a="1"/>
  <c r="R44" i="80" s="1"/>
  <c r="S44" i="80" a="1"/>
  <c r="S44" i="80" s="1"/>
  <c r="T44" i="80" a="1"/>
  <c r="T44" i="80" s="1"/>
  <c r="U44" i="80" a="1"/>
  <c r="U44" i="80" s="1"/>
  <c r="V44" i="80" a="1"/>
  <c r="V44" i="80" s="1"/>
  <c r="AB44" i="80"/>
  <c r="AJ44" i="80"/>
  <c r="F12" i="42"/>
  <c r="AH47" i="113" a="1"/>
  <c r="AH47" i="113" s="1"/>
  <c r="AG47" i="113" a="1"/>
  <c r="AG47" i="113" s="1"/>
  <c r="AF47" i="113" a="1"/>
  <c r="AF47" i="113" s="1"/>
  <c r="AE47" i="113" a="1"/>
  <c r="AE47" i="113" s="1"/>
  <c r="AD47" i="113" a="1"/>
  <c r="AD47" i="113" s="1"/>
  <c r="W47" i="113" a="1"/>
  <c r="W47" i="113" s="1"/>
  <c r="V47" i="113" a="1"/>
  <c r="V47" i="113" s="1"/>
  <c r="U47" i="113" a="1"/>
  <c r="U47" i="113" s="1"/>
  <c r="T47" i="113" a="1"/>
  <c r="T47" i="113" s="1"/>
  <c r="S47" i="113" a="1"/>
  <c r="S47" i="113" s="1"/>
  <c r="AA45" i="80"/>
  <c r="B13" i="42"/>
  <c r="E13" i="42" l="1"/>
  <c r="C13" i="42"/>
  <c r="Q46" i="80"/>
  <c r="W46" i="80"/>
  <c r="P47" i="80"/>
  <c r="R45" i="80" a="1"/>
  <c r="R45" i="80" s="1"/>
  <c r="S45" i="80" a="1"/>
  <c r="S45" i="80" s="1"/>
  <c r="T45" i="80" a="1"/>
  <c r="T45" i="80" s="1"/>
  <c r="U45" i="80" a="1"/>
  <c r="U45" i="80" s="1"/>
  <c r="V45" i="80" a="1"/>
  <c r="V45" i="80" s="1"/>
  <c r="AB45" i="80"/>
  <c r="AJ45" i="80"/>
  <c r="F13" i="42"/>
  <c r="AA46" i="80"/>
  <c r="D13" i="42"/>
  <c r="B14" i="42"/>
  <c r="E14" i="42" l="1"/>
  <c r="C14" i="42"/>
  <c r="Q47" i="80"/>
  <c r="W47" i="80"/>
  <c r="R46" i="80" a="1"/>
  <c r="R46" i="80" s="1"/>
  <c r="S46" i="80" a="1"/>
  <c r="S46" i="80" s="1"/>
  <c r="T46" i="80" a="1"/>
  <c r="T46" i="80" s="1"/>
  <c r="U46" i="80" a="1"/>
  <c r="U46" i="80" s="1"/>
  <c r="V46" i="80" a="1"/>
  <c r="V46" i="80" s="1"/>
  <c r="AB46" i="80"/>
  <c r="AJ46" i="80"/>
  <c r="F14" i="42"/>
  <c r="AA47" i="80"/>
  <c r="D14" i="42"/>
  <c r="B15" i="42"/>
  <c r="E15" i="42" l="1"/>
  <c r="C15" i="42"/>
  <c r="R47" i="80" a="1"/>
  <c r="R47" i="80" s="1"/>
  <c r="S47" i="80" a="1"/>
  <c r="S47" i="80" s="1"/>
  <c r="T47" i="80" a="1"/>
  <c r="T47" i="80" s="1"/>
  <c r="U47" i="80" a="1"/>
  <c r="U47" i="80" s="1"/>
  <c r="V47" i="80" a="1"/>
  <c r="V47" i="80" s="1"/>
  <c r="AB47" i="80"/>
  <c r="AJ47" i="80"/>
  <c r="F15" i="42"/>
  <c r="D15" i="42"/>
  <c r="B16" i="42"/>
  <c r="E16" i="42" l="1"/>
  <c r="C16" i="42"/>
  <c r="F16" i="42"/>
  <c r="D16" i="42"/>
  <c r="B17" i="42"/>
  <c r="E17" i="42" l="1"/>
  <c r="C17" i="42"/>
  <c r="F17" i="42"/>
  <c r="D17" i="42"/>
  <c r="B18" i="42"/>
  <c r="E18" i="42" l="1"/>
  <c r="C18" i="42"/>
  <c r="F18" i="42"/>
  <c r="D18" i="42"/>
  <c r="B19" i="42"/>
  <c r="E19" i="42" l="1"/>
  <c r="C19" i="42"/>
  <c r="F19" i="42"/>
  <c r="D19" i="42"/>
  <c r="B20" i="42"/>
  <c r="E20" i="42" l="1"/>
  <c r="C20" i="42"/>
  <c r="F20" i="42"/>
  <c r="D20" i="42"/>
  <c r="B21" i="42"/>
  <c r="E21" i="42" l="1"/>
  <c r="C21" i="42"/>
  <c r="F21" i="42"/>
  <c r="D21" i="42"/>
  <c r="B22" i="42"/>
  <c r="E22" i="42" l="1"/>
  <c r="C22" i="42"/>
  <c r="F22" i="42"/>
  <c r="D22" i="42"/>
  <c r="B23" i="42"/>
  <c r="E23" i="42" l="1"/>
  <c r="C23" i="42"/>
  <c r="F23" i="42"/>
  <c r="D23" i="42"/>
  <c r="B24" i="42"/>
  <c r="E24" i="42" l="1"/>
  <c r="C24" i="42"/>
  <c r="F24" i="42"/>
  <c r="D24" i="42"/>
  <c r="B25" i="42"/>
  <c r="E25" i="42" l="1"/>
  <c r="C25" i="42"/>
  <c r="F25" i="42"/>
  <c r="D25" i="42"/>
  <c r="B26" i="42"/>
  <c r="E26" i="42" l="1"/>
  <c r="C26" i="42"/>
  <c r="F26" i="42"/>
  <c r="D26" i="42"/>
  <c r="B27" i="42"/>
  <c r="E27" i="42" l="1"/>
  <c r="C27" i="42"/>
  <c r="F27" i="42"/>
  <c r="D27" i="42"/>
  <c r="B28" i="42"/>
  <c r="E28" i="42" l="1"/>
  <c r="C28" i="42"/>
  <c r="B29" i="42"/>
  <c r="F28" i="42"/>
  <c r="D28" i="42"/>
  <c r="E29" i="42" l="1"/>
  <c r="C29" i="42"/>
  <c r="D29" i="42"/>
  <c r="F29" i="42"/>
  <c r="B30" i="42"/>
  <c r="O15" i="76"/>
  <c r="O14" i="76"/>
  <c r="C30" i="42" l="1"/>
  <c r="E30" i="42"/>
  <c r="D30" i="42"/>
  <c r="F30" i="42"/>
  <c r="D12" i="42"/>
  <c r="D7" i="42"/>
  <c r="D10" i="42"/>
  <c r="D11" i="42" l="1"/>
  <c r="D9" i="42"/>
  <c r="Q9" i="30" l="1"/>
  <c r="S9" i="30" l="1" a="1"/>
  <c r="S9" i="30" s="1"/>
  <c r="T9" i="30" a="1"/>
  <c r="T9" i="30" s="1"/>
  <c r="U9" i="30" a="1"/>
  <c r="U9" i="30" s="1"/>
  <c r="V9" i="30" a="1"/>
  <c r="V9" i="30" s="1"/>
  <c r="W9" i="30" a="1"/>
  <c r="W9" i="30" s="1"/>
  <c r="X8" i="30"/>
  <c r="Q10" i="30"/>
  <c r="S10" i="30" l="1" a="1"/>
  <c r="S10" i="30" s="1"/>
  <c r="T10" i="30" a="1"/>
  <c r="T10" i="30" s="1"/>
  <c r="U10" i="30" a="1"/>
  <c r="U10" i="30" s="1"/>
  <c r="V10" i="30" a="1"/>
  <c r="V10" i="30" s="1"/>
  <c r="W10" i="30" a="1"/>
  <c r="W10" i="30" s="1"/>
  <c r="X9" i="30"/>
  <c r="Q11" i="30"/>
  <c r="S11" i="30" l="1" a="1"/>
  <c r="S11" i="30" s="1"/>
  <c r="T11" i="30" a="1"/>
  <c r="T11" i="30" s="1"/>
  <c r="U11" i="30" a="1"/>
  <c r="U11" i="30" s="1"/>
  <c r="V11" i="30" a="1"/>
  <c r="V11" i="30" s="1"/>
  <c r="W11" i="30" a="1"/>
  <c r="W11" i="30" s="1"/>
  <c r="X10" i="30"/>
  <c r="Q12" i="30"/>
  <c r="AA7" i="30"/>
  <c r="S12" i="30" l="1" a="1"/>
  <c r="S12" i="30" s="1"/>
  <c r="T12" i="30" a="1"/>
  <c r="T12" i="30" s="1"/>
  <c r="U12" i="30" a="1"/>
  <c r="U12" i="30" s="1"/>
  <c r="V12" i="30" a="1"/>
  <c r="V12" i="30" s="1"/>
  <c r="W12" i="30" a="1"/>
  <c r="W12" i="30" s="1"/>
  <c r="AB7" i="30"/>
  <c r="Q6" i="79"/>
  <c r="X11" i="30"/>
  <c r="Q13" i="30"/>
  <c r="B7" i="79"/>
  <c r="AC22" i="79"/>
  <c r="AB22" i="79"/>
  <c r="AE21" i="79"/>
  <c r="AD21" i="79"/>
  <c r="Y6" i="79"/>
  <c r="X6" i="79"/>
  <c r="V6" i="79"/>
  <c r="Y5" i="79"/>
  <c r="X5" i="79"/>
  <c r="S13" i="30" l="1" a="1"/>
  <c r="S13" i="30" s="1"/>
  <c r="T13" i="30" a="1"/>
  <c r="T13" i="30" s="1"/>
  <c r="U13" i="30" a="1"/>
  <c r="U13" i="30" s="1"/>
  <c r="V13" i="30" a="1"/>
  <c r="V13" i="30" s="1"/>
  <c r="W13" i="30" a="1"/>
  <c r="W13" i="30" s="1"/>
  <c r="AD7" i="30" a="1"/>
  <c r="AD7" i="30" s="1"/>
  <c r="AE7" i="30" a="1"/>
  <c r="AE7" i="30" s="1"/>
  <c r="AF7" i="30" a="1"/>
  <c r="AF7" i="30" s="1"/>
  <c r="AG7" i="30" a="1"/>
  <c r="AG7" i="30" s="1"/>
  <c r="Q7" i="79"/>
  <c r="X12" i="30"/>
  <c r="Q14" i="30"/>
  <c r="B7" i="80"/>
  <c r="B8" i="79"/>
  <c r="S14" i="30" l="1" a="1"/>
  <c r="S14" i="30" s="1"/>
  <c r="T14" i="30" a="1"/>
  <c r="T14" i="30" s="1"/>
  <c r="U14" i="30" a="1"/>
  <c r="U14" i="30" s="1"/>
  <c r="V14" i="30" a="1"/>
  <c r="V14" i="30" s="1"/>
  <c r="W14" i="30" a="1"/>
  <c r="W14" i="30" s="1"/>
  <c r="Q8" i="79"/>
  <c r="X13" i="30"/>
  <c r="Q15" i="30"/>
  <c r="B9" i="79"/>
  <c r="S15" i="30" l="1" a="1"/>
  <c r="S15" i="30" s="1"/>
  <c r="T15" i="30" a="1"/>
  <c r="T15" i="30" s="1"/>
  <c r="U15" i="30" a="1"/>
  <c r="U15" i="30" s="1"/>
  <c r="V15" i="30" a="1"/>
  <c r="V15" i="30" s="1"/>
  <c r="W15" i="30" a="1"/>
  <c r="W15" i="30" s="1"/>
  <c r="Q9" i="79"/>
  <c r="X14" i="30"/>
  <c r="Q16" i="30"/>
  <c r="B10" i="79"/>
  <c r="S16" i="30" l="1" a="1"/>
  <c r="S16" i="30" s="1"/>
  <c r="T16" i="30" a="1"/>
  <c r="T16" i="30" s="1"/>
  <c r="U16" i="30" a="1"/>
  <c r="U16" i="30" s="1"/>
  <c r="V16" i="30" a="1"/>
  <c r="V16" i="30" s="1"/>
  <c r="W16" i="30" a="1"/>
  <c r="W16" i="30" s="1"/>
  <c r="Q10" i="79"/>
  <c r="X15" i="30"/>
  <c r="Q17" i="30"/>
  <c r="B11" i="79"/>
  <c r="S17" i="30" l="1" a="1"/>
  <c r="S17" i="30" s="1"/>
  <c r="T17" i="30" a="1"/>
  <c r="T17" i="30" s="1"/>
  <c r="U17" i="30" a="1"/>
  <c r="U17" i="30" s="1"/>
  <c r="V17" i="30" a="1"/>
  <c r="V17" i="30" s="1"/>
  <c r="W17" i="30" a="1"/>
  <c r="W17" i="30" s="1"/>
  <c r="Q11" i="79"/>
  <c r="X16" i="30"/>
  <c r="Q18" i="30"/>
  <c r="B12" i="79"/>
  <c r="S18" i="30" l="1" a="1"/>
  <c r="S18" i="30" s="1"/>
  <c r="T18" i="30" a="1"/>
  <c r="T18" i="30" s="1"/>
  <c r="U18" i="30" a="1"/>
  <c r="U18" i="30" s="1"/>
  <c r="V18" i="30" a="1"/>
  <c r="V18" i="30" s="1"/>
  <c r="W18" i="30" a="1"/>
  <c r="W18" i="30" s="1"/>
  <c r="Q12" i="79"/>
  <c r="X17" i="30"/>
  <c r="Q19" i="30"/>
  <c r="B13" i="79"/>
  <c r="S19" i="30" l="1" a="1"/>
  <c r="S19" i="30" s="1"/>
  <c r="T19" i="30" a="1"/>
  <c r="T19" i="30" s="1"/>
  <c r="U19" i="30" a="1"/>
  <c r="U19" i="30" s="1"/>
  <c r="V19" i="30" a="1"/>
  <c r="V19" i="30" s="1"/>
  <c r="W19" i="30" a="1"/>
  <c r="W19" i="30" s="1"/>
  <c r="Q13" i="79"/>
  <c r="X18" i="30"/>
  <c r="Q20" i="30"/>
  <c r="B14" i="79"/>
  <c r="S20" i="30" l="1" a="1"/>
  <c r="S20" i="30" s="1"/>
  <c r="T20" i="30" a="1"/>
  <c r="T20" i="30" s="1"/>
  <c r="U20" i="30" a="1"/>
  <c r="U20" i="30" s="1"/>
  <c r="V20" i="30" a="1"/>
  <c r="V20" i="30" s="1"/>
  <c r="W20" i="30" a="1"/>
  <c r="W20" i="30" s="1"/>
  <c r="Q14" i="79"/>
  <c r="X19" i="30"/>
  <c r="Q21" i="30"/>
  <c r="B15" i="79"/>
  <c r="S21" i="30" l="1" a="1"/>
  <c r="S21" i="30" s="1"/>
  <c r="T21" i="30" a="1"/>
  <c r="T21" i="30" s="1"/>
  <c r="U21" i="30" a="1"/>
  <c r="U21" i="30" s="1"/>
  <c r="V21" i="30" a="1"/>
  <c r="V21" i="30" s="1"/>
  <c r="W21" i="30" a="1"/>
  <c r="W21" i="30" s="1"/>
  <c r="Q15" i="79"/>
  <c r="X20" i="30"/>
  <c r="Q22" i="30"/>
  <c r="B16" i="79"/>
  <c r="S22" i="30" l="1" a="1"/>
  <c r="S22" i="30" s="1"/>
  <c r="T22" i="30" a="1"/>
  <c r="T22" i="30" s="1"/>
  <c r="U22" i="30" a="1"/>
  <c r="U22" i="30" s="1"/>
  <c r="V22" i="30" a="1"/>
  <c r="V22" i="30" s="1"/>
  <c r="W22" i="30" a="1"/>
  <c r="W22" i="30" s="1"/>
  <c r="Q16" i="79"/>
  <c r="X21" i="30"/>
  <c r="Q23" i="30"/>
  <c r="B17" i="79"/>
  <c r="S23" i="30" l="1" a="1"/>
  <c r="S23" i="30" s="1"/>
  <c r="T23" i="30" a="1"/>
  <c r="T23" i="30" s="1"/>
  <c r="U23" i="30" a="1"/>
  <c r="U23" i="30" s="1"/>
  <c r="V23" i="30" a="1"/>
  <c r="V23" i="30" s="1"/>
  <c r="W23" i="30" a="1"/>
  <c r="W23" i="30" s="1"/>
  <c r="Q17" i="79"/>
  <c r="X22" i="30"/>
  <c r="Q24" i="30"/>
  <c r="B18" i="79"/>
  <c r="S24" i="30" l="1" a="1"/>
  <c r="S24" i="30" s="1"/>
  <c r="T24" i="30" a="1"/>
  <c r="T24" i="30" s="1"/>
  <c r="U24" i="30" a="1"/>
  <c r="U24" i="30" s="1"/>
  <c r="V24" i="30" a="1"/>
  <c r="V24" i="30" s="1"/>
  <c r="W24" i="30" a="1"/>
  <c r="W24" i="30" s="1"/>
  <c r="Q18" i="79"/>
  <c r="X23" i="30"/>
  <c r="Q25" i="30"/>
  <c r="B19" i="79"/>
  <c r="S25" i="30" l="1" a="1"/>
  <c r="S25" i="30" s="1"/>
  <c r="T25" i="30" a="1"/>
  <c r="T25" i="30" s="1"/>
  <c r="U25" i="30" a="1"/>
  <c r="U25" i="30" s="1"/>
  <c r="V25" i="30" a="1"/>
  <c r="V25" i="30" s="1"/>
  <c r="W25" i="30" a="1"/>
  <c r="W25" i="30" s="1"/>
  <c r="Q19" i="79"/>
  <c r="X24" i="30"/>
  <c r="Q26" i="30"/>
  <c r="B20" i="79"/>
  <c r="S26" i="30" l="1" a="1"/>
  <c r="S26" i="30" s="1"/>
  <c r="T26" i="30" a="1"/>
  <c r="T26" i="30" s="1"/>
  <c r="U26" i="30" a="1"/>
  <c r="U26" i="30" s="1"/>
  <c r="V26" i="30" a="1"/>
  <c r="V26" i="30" s="1"/>
  <c r="W26" i="30" a="1"/>
  <c r="W26" i="30" s="1"/>
  <c r="Q20" i="79"/>
  <c r="X25" i="30"/>
  <c r="Q27" i="30"/>
  <c r="B21" i="79"/>
  <c r="S27" i="30" l="1" a="1"/>
  <c r="S27" i="30" s="1"/>
  <c r="T27" i="30" a="1"/>
  <c r="T27" i="30" s="1"/>
  <c r="U27" i="30" a="1"/>
  <c r="U27" i="30" s="1"/>
  <c r="V27" i="30" a="1"/>
  <c r="V27" i="30" s="1"/>
  <c r="W27" i="30" a="1"/>
  <c r="W27" i="30" s="1"/>
  <c r="Q21" i="79"/>
  <c r="X26" i="30"/>
  <c r="Q28" i="30"/>
  <c r="B22" i="79"/>
  <c r="S28" i="30" l="1" a="1"/>
  <c r="S28" i="30" s="1"/>
  <c r="T28" i="30" a="1"/>
  <c r="T28" i="30" s="1"/>
  <c r="U28" i="30" a="1"/>
  <c r="U28" i="30" s="1"/>
  <c r="V28" i="30" a="1"/>
  <c r="V28" i="30" s="1"/>
  <c r="W28" i="30" a="1"/>
  <c r="W28" i="30" s="1"/>
  <c r="Q22" i="79"/>
  <c r="X27" i="30"/>
  <c r="Q29" i="30"/>
  <c r="B23" i="79"/>
  <c r="S29" i="30" l="1" a="1"/>
  <c r="S29" i="30" s="1"/>
  <c r="T29" i="30" a="1"/>
  <c r="T29" i="30" s="1"/>
  <c r="U29" i="30" a="1"/>
  <c r="U29" i="30" s="1"/>
  <c r="V29" i="30" a="1"/>
  <c r="V29" i="30" s="1"/>
  <c r="W29" i="30" a="1"/>
  <c r="W29" i="30" s="1"/>
  <c r="Q23" i="79"/>
  <c r="X28" i="30"/>
  <c r="Q30" i="30"/>
  <c r="B24" i="79"/>
  <c r="S30" i="30" l="1" a="1"/>
  <c r="S30" i="30" s="1"/>
  <c r="T30" i="30" a="1"/>
  <c r="T30" i="30" s="1"/>
  <c r="U30" i="30" a="1"/>
  <c r="U30" i="30" s="1"/>
  <c r="V30" i="30" a="1"/>
  <c r="V30" i="30" s="1"/>
  <c r="W30" i="30" a="1"/>
  <c r="W30" i="30" s="1"/>
  <c r="Q24" i="79"/>
  <c r="X29" i="30"/>
  <c r="Q31" i="30"/>
  <c r="B25" i="79"/>
  <c r="S31" i="30" l="1" a="1"/>
  <c r="S31" i="30" s="1"/>
  <c r="T31" i="30" a="1"/>
  <c r="T31" i="30" s="1"/>
  <c r="U31" i="30" a="1"/>
  <c r="U31" i="30" s="1"/>
  <c r="V31" i="30" a="1"/>
  <c r="V31" i="30" s="1"/>
  <c r="W31" i="30" a="1"/>
  <c r="W31" i="30" s="1"/>
  <c r="Q25" i="79"/>
  <c r="X30" i="30"/>
  <c r="Q32" i="30"/>
  <c r="B26" i="79"/>
  <c r="S32" i="30" l="1" a="1"/>
  <c r="S32" i="30" s="1"/>
  <c r="T32" i="30" a="1"/>
  <c r="T32" i="30" s="1"/>
  <c r="U32" i="30" a="1"/>
  <c r="U32" i="30" s="1"/>
  <c r="V32" i="30" a="1"/>
  <c r="V32" i="30" s="1"/>
  <c r="W32" i="30" a="1"/>
  <c r="W32" i="30" s="1"/>
  <c r="Q26" i="79"/>
  <c r="X31" i="30"/>
  <c r="Q33" i="30"/>
  <c r="B27" i="79"/>
  <c r="S33" i="30" l="1" a="1"/>
  <c r="S33" i="30" s="1"/>
  <c r="T33" i="30" a="1"/>
  <c r="T33" i="30" s="1"/>
  <c r="U33" i="30" a="1"/>
  <c r="U33" i="30" s="1"/>
  <c r="V33" i="30" a="1"/>
  <c r="V33" i="30" s="1"/>
  <c r="W33" i="30" a="1"/>
  <c r="W33" i="30" s="1"/>
  <c r="Q27" i="79"/>
  <c r="X32" i="30"/>
  <c r="Q34" i="30"/>
  <c r="S34" i="30" l="1" a="1"/>
  <c r="S34" i="30" s="1"/>
  <c r="T34" i="30" a="1"/>
  <c r="T34" i="30" s="1"/>
  <c r="U34" i="30" a="1"/>
  <c r="U34" i="30" s="1"/>
  <c r="V34" i="30" a="1"/>
  <c r="V34" i="30" s="1"/>
  <c r="W34" i="30" a="1"/>
  <c r="W34" i="30" s="1"/>
  <c r="Q35" i="30"/>
  <c r="S35" i="30" l="1" a="1"/>
  <c r="S35" i="30" s="1"/>
  <c r="T35" i="30" a="1"/>
  <c r="T35" i="30" s="1"/>
  <c r="U35" i="30" a="1"/>
  <c r="U35" i="30" s="1"/>
  <c r="V35" i="30" a="1"/>
  <c r="V35" i="30" s="1"/>
  <c r="W35" i="30" a="1"/>
  <c r="W35" i="30" s="1"/>
  <c r="Q36" i="30"/>
  <c r="S36" i="30" l="1" a="1"/>
  <c r="S36" i="30" s="1"/>
  <c r="T36" i="30" a="1"/>
  <c r="T36" i="30" s="1"/>
  <c r="U36" i="30" a="1"/>
  <c r="U36" i="30" s="1"/>
  <c r="V36" i="30" a="1"/>
  <c r="V36" i="30" s="1"/>
  <c r="W36" i="30" a="1"/>
  <c r="W36" i="30" s="1"/>
  <c r="Q37" i="30"/>
  <c r="S37" i="30" l="1" a="1"/>
  <c r="S37" i="30" s="1"/>
  <c r="T37" i="30" a="1"/>
  <c r="T37" i="30" s="1"/>
  <c r="U37" i="30" a="1"/>
  <c r="U37" i="30" s="1"/>
  <c r="V37" i="30" a="1"/>
  <c r="V37" i="30" s="1"/>
  <c r="W37" i="30" a="1"/>
  <c r="W37" i="30" s="1"/>
  <c r="X37" i="30"/>
  <c r="Q38" i="30"/>
  <c r="S38" i="30" l="1" a="1"/>
  <c r="S38" i="30" s="1"/>
  <c r="T38" i="30" a="1"/>
  <c r="T38" i="30" s="1"/>
  <c r="U38" i="30" a="1"/>
  <c r="U38" i="30" s="1"/>
  <c r="V38" i="30" a="1"/>
  <c r="V38" i="30" s="1"/>
  <c r="W38" i="30" a="1"/>
  <c r="W38" i="30" s="1"/>
  <c r="X38" i="30"/>
  <c r="Q39" i="30"/>
  <c r="S39" i="30" l="1" a="1"/>
  <c r="S39" i="30" s="1"/>
  <c r="T39" i="30" a="1"/>
  <c r="T39" i="30" s="1"/>
  <c r="U39" i="30" a="1"/>
  <c r="U39" i="30" s="1"/>
  <c r="V39" i="30" a="1"/>
  <c r="V39" i="30" s="1"/>
  <c r="W39" i="30" a="1"/>
  <c r="W39" i="30" s="1"/>
  <c r="X39" i="30"/>
  <c r="Q40" i="30"/>
  <c r="S40" i="30" l="1" a="1"/>
  <c r="S40" i="30" s="1"/>
  <c r="T40" i="30" a="1"/>
  <c r="T40" i="30" s="1"/>
  <c r="U40" i="30" a="1"/>
  <c r="U40" i="30" s="1"/>
  <c r="V40" i="30" a="1"/>
  <c r="V40" i="30" s="1"/>
  <c r="W40" i="30" a="1"/>
  <c r="W40" i="30" s="1"/>
  <c r="X40" i="30"/>
  <c r="Q41" i="30"/>
  <c r="S41" i="30" l="1" a="1"/>
  <c r="S41" i="30" s="1"/>
  <c r="T41" i="30" a="1"/>
  <c r="T41" i="30" s="1"/>
  <c r="U41" i="30" a="1"/>
  <c r="U41" i="30" s="1"/>
  <c r="V41" i="30" a="1"/>
  <c r="V41" i="30" s="1"/>
  <c r="W41" i="30" a="1"/>
  <c r="W41" i="30" s="1"/>
  <c r="X41" i="30"/>
  <c r="Q42" i="30"/>
  <c r="S42" i="30" l="1" a="1"/>
  <c r="S42" i="30" s="1"/>
  <c r="T42" i="30" a="1"/>
  <c r="T42" i="30" s="1"/>
  <c r="U42" i="30" a="1"/>
  <c r="U42" i="30" s="1"/>
  <c r="V42" i="30" a="1"/>
  <c r="V42" i="30" s="1"/>
  <c r="W42" i="30" a="1"/>
  <c r="W42" i="30" s="1"/>
  <c r="X42" i="30"/>
  <c r="Q43" i="30"/>
  <c r="S43" i="30" l="1" a="1"/>
  <c r="S43" i="30" s="1"/>
  <c r="T43" i="30" a="1"/>
  <c r="T43" i="30" s="1"/>
  <c r="U43" i="30" a="1"/>
  <c r="U43" i="30" s="1"/>
  <c r="V43" i="30" a="1"/>
  <c r="V43" i="30" s="1"/>
  <c r="W43" i="30" a="1"/>
  <c r="W43" i="30" s="1"/>
  <c r="X43" i="30"/>
  <c r="Q44" i="30"/>
  <c r="S44" i="30" l="1" a="1"/>
  <c r="S44" i="30" s="1"/>
  <c r="T44" i="30" a="1"/>
  <c r="T44" i="30" s="1"/>
  <c r="U44" i="30" a="1"/>
  <c r="U44" i="30" s="1"/>
  <c r="V44" i="30" a="1"/>
  <c r="V44" i="30" s="1"/>
  <c r="W44" i="30" a="1"/>
  <c r="W44" i="30" s="1"/>
  <c r="X44" i="30"/>
  <c r="Q45" i="30"/>
  <c r="B6" i="30"/>
  <c r="C6" i="30" s="1"/>
  <c r="AA8" i="30"/>
  <c r="S45" i="30" l="1" a="1"/>
  <c r="S45" i="30" s="1"/>
  <c r="T45" i="30" a="1"/>
  <c r="T45" i="30" s="1"/>
  <c r="U45" i="30" a="1"/>
  <c r="U45" i="30" s="1"/>
  <c r="V45" i="30" a="1"/>
  <c r="V45" i="30" s="1"/>
  <c r="W45" i="30" a="1"/>
  <c r="W45" i="30" s="1"/>
  <c r="AB8" i="30"/>
  <c r="X45" i="30"/>
  <c r="Q46" i="30"/>
  <c r="AA9" i="30"/>
  <c r="X46" i="30" l="1"/>
  <c r="S46" i="30" a="1"/>
  <c r="S46" i="30" s="1"/>
  <c r="T46" i="30" a="1"/>
  <c r="T46" i="30" s="1"/>
  <c r="U46" i="30" a="1"/>
  <c r="U46" i="30" s="1"/>
  <c r="V46" i="30" a="1"/>
  <c r="V46" i="30" s="1"/>
  <c r="W46" i="30" a="1"/>
  <c r="W46" i="30" s="1"/>
  <c r="AC8" i="30" a="1"/>
  <c r="AC8" i="30" s="1"/>
  <c r="AD8" i="30" a="1"/>
  <c r="AD8" i="30" s="1"/>
  <c r="AE8" i="30" a="1"/>
  <c r="AE8" i="30" s="1"/>
  <c r="AF8" i="30" a="1"/>
  <c r="AF8" i="30" s="1"/>
  <c r="AG8" i="30" a="1"/>
  <c r="AG8" i="30" s="1"/>
  <c r="AB9" i="30"/>
  <c r="Q47" i="30"/>
  <c r="AA10" i="30"/>
  <c r="S47" i="30" l="1" a="1"/>
  <c r="S47" i="30" s="1"/>
  <c r="T47" i="30" a="1"/>
  <c r="T47" i="30" s="1"/>
  <c r="U47" i="30" a="1"/>
  <c r="U47" i="30" s="1"/>
  <c r="V47" i="30" a="1"/>
  <c r="V47" i="30" s="1"/>
  <c r="W47" i="30" a="1"/>
  <c r="W47" i="30" s="1"/>
  <c r="AC9" i="30" a="1"/>
  <c r="AC9" i="30" s="1"/>
  <c r="AD9" i="30" a="1"/>
  <c r="AD9" i="30" s="1"/>
  <c r="AE9" i="30" a="1"/>
  <c r="AE9" i="30" s="1"/>
  <c r="AF9" i="30" a="1"/>
  <c r="AF9" i="30" s="1"/>
  <c r="AG9" i="30" a="1"/>
  <c r="AG9" i="30" s="1"/>
  <c r="AB10" i="30"/>
  <c r="X47" i="30"/>
  <c r="B7" i="76"/>
  <c r="B7" i="78"/>
  <c r="D7" i="78" s="1" a="1"/>
  <c r="D7" i="78" s="1"/>
  <c r="AA11" i="30"/>
  <c r="AC10" i="30" l="1" a="1"/>
  <c r="AC10" i="30" s="1"/>
  <c r="AD10" i="30" a="1"/>
  <c r="AD10" i="30" s="1"/>
  <c r="AE10" i="30" a="1"/>
  <c r="AE10" i="30" s="1"/>
  <c r="AF10" i="30" a="1"/>
  <c r="AF10" i="30" s="1"/>
  <c r="AG10" i="30" a="1"/>
  <c r="AG10" i="30" s="1"/>
  <c r="AB11" i="30"/>
  <c r="B8" i="76"/>
  <c r="B8" i="78"/>
  <c r="D8" i="78" s="1" a="1"/>
  <c r="D8" i="78" s="1"/>
  <c r="AA12" i="30"/>
  <c r="AC11" i="30" l="1" a="1"/>
  <c r="AC11" i="30" s="1"/>
  <c r="AD11" i="30" a="1"/>
  <c r="AD11" i="30" s="1"/>
  <c r="AE11" i="30" a="1"/>
  <c r="AE11" i="30" s="1"/>
  <c r="AF11" i="30" a="1"/>
  <c r="AF11" i="30" s="1"/>
  <c r="AG11" i="30" a="1"/>
  <c r="AG11" i="30" s="1"/>
  <c r="AB12" i="30"/>
  <c r="B9" i="76"/>
  <c r="B9" i="78"/>
  <c r="D9" i="78" s="1" a="1"/>
  <c r="D9" i="78" s="1"/>
  <c r="AA13" i="30"/>
  <c r="AC12" i="30" l="1" a="1"/>
  <c r="AC12" i="30" s="1"/>
  <c r="AD12" i="30" a="1"/>
  <c r="AD12" i="30" s="1"/>
  <c r="AE12" i="30" a="1"/>
  <c r="AE12" i="30" s="1"/>
  <c r="AF12" i="30" a="1"/>
  <c r="AF12" i="30" s="1"/>
  <c r="AG12" i="30" a="1"/>
  <c r="AG12" i="30" s="1"/>
  <c r="AB13" i="30"/>
  <c r="B10" i="76"/>
  <c r="B10" i="78"/>
  <c r="D10" i="78" s="1" a="1"/>
  <c r="D10" i="78" s="1"/>
  <c r="AA14" i="30"/>
  <c r="AC13" i="30" l="1" a="1"/>
  <c r="AC13" i="30" s="1"/>
  <c r="AD13" i="30" a="1"/>
  <c r="AD13" i="30" s="1"/>
  <c r="AE13" i="30" a="1"/>
  <c r="AE13" i="30" s="1"/>
  <c r="AF13" i="30" a="1"/>
  <c r="AF13" i="30" s="1"/>
  <c r="AG13" i="30" a="1"/>
  <c r="AG13" i="30" s="1"/>
  <c r="AB14" i="30"/>
  <c r="B11" i="76"/>
  <c r="B11" i="78"/>
  <c r="D11" i="78" s="1" a="1"/>
  <c r="D11" i="78" s="1"/>
  <c r="AA15" i="30"/>
  <c r="AC14" i="30" l="1" a="1"/>
  <c r="AC14" i="30" s="1"/>
  <c r="AD14" i="30" a="1"/>
  <c r="AD14" i="30" s="1"/>
  <c r="AE14" i="30" a="1"/>
  <c r="AE14" i="30" s="1"/>
  <c r="AF14" i="30" a="1"/>
  <c r="AF14" i="30" s="1"/>
  <c r="AG14" i="30" a="1"/>
  <c r="AG14" i="30" s="1"/>
  <c r="AB15" i="30"/>
  <c r="B12" i="76"/>
  <c r="B12" i="78"/>
  <c r="D12" i="78" s="1" a="1"/>
  <c r="D12" i="78" s="1"/>
  <c r="AA16" i="30"/>
  <c r="AC15" i="30" l="1" a="1"/>
  <c r="AC15" i="30" s="1"/>
  <c r="AD15" i="30" a="1"/>
  <c r="AD15" i="30" s="1"/>
  <c r="AE15" i="30" a="1"/>
  <c r="AE15" i="30" s="1"/>
  <c r="AF15" i="30" a="1"/>
  <c r="AF15" i="30" s="1"/>
  <c r="AG15" i="30" a="1"/>
  <c r="AG15" i="30" s="1"/>
  <c r="AB16" i="30"/>
  <c r="B13" i="76"/>
  <c r="B13" i="78"/>
  <c r="D13" i="78" s="1" a="1"/>
  <c r="D13" i="78" s="1"/>
  <c r="AA17" i="30"/>
  <c r="AB17" i="30" s="1"/>
  <c r="AC17" i="30" l="1" a="1"/>
  <c r="AC17" i="30" s="1"/>
  <c r="AD17" i="30" a="1"/>
  <c r="AD17" i="30" s="1"/>
  <c r="AE17" i="30" a="1"/>
  <c r="AE17" i="30" s="1"/>
  <c r="AF17" i="30" a="1"/>
  <c r="AF17" i="30" s="1"/>
  <c r="AG17" i="30" a="1"/>
  <c r="AG17" i="30" s="1"/>
  <c r="AC16" i="30" a="1"/>
  <c r="AC16" i="30" s="1"/>
  <c r="AD16" i="30" a="1"/>
  <c r="AD16" i="30" s="1"/>
  <c r="AE16" i="30" a="1"/>
  <c r="AE16" i="30" s="1"/>
  <c r="AF16" i="30" a="1"/>
  <c r="AF16" i="30" s="1"/>
  <c r="AG16" i="30" a="1"/>
  <c r="AG16" i="30" s="1"/>
  <c r="B14" i="76"/>
  <c r="B14" i="78"/>
  <c r="D14" i="78" s="1" a="1"/>
  <c r="D14" i="78" s="1"/>
  <c r="AA18" i="30"/>
  <c r="AB18" i="30" s="1"/>
  <c r="AC18" i="30" l="1" a="1"/>
  <c r="AC18" i="30" s="1"/>
  <c r="AD18" i="30" a="1"/>
  <c r="AD18" i="30" s="1"/>
  <c r="AE18" i="30" a="1"/>
  <c r="AE18" i="30" s="1"/>
  <c r="AF18" i="30" a="1"/>
  <c r="AF18" i="30" s="1"/>
  <c r="AG18" i="30" a="1"/>
  <c r="AG18" i="30" s="1"/>
  <c r="B15" i="76"/>
  <c r="B15" i="78"/>
  <c r="D15" i="78" s="1" a="1"/>
  <c r="D15" i="78" s="1"/>
  <c r="AA19" i="30"/>
  <c r="AB19" i="30" s="1"/>
  <c r="AC19" i="30" l="1" a="1"/>
  <c r="AC19" i="30" s="1"/>
  <c r="AD19" i="30" a="1"/>
  <c r="AD19" i="30" s="1"/>
  <c r="AE19" i="30" a="1"/>
  <c r="AE19" i="30" s="1"/>
  <c r="AF19" i="30" a="1"/>
  <c r="AF19" i="30" s="1"/>
  <c r="AG19" i="30" a="1"/>
  <c r="AG19" i="30" s="1"/>
  <c r="B16" i="76"/>
  <c r="B16" i="78"/>
  <c r="D16" i="78" s="1" a="1"/>
  <c r="D16" i="78" s="1"/>
  <c r="AA20" i="30"/>
  <c r="AB20" i="30" s="1"/>
  <c r="AC20" i="30" l="1" a="1"/>
  <c r="AC20" i="30" s="1"/>
  <c r="AD20" i="30" a="1"/>
  <c r="AD20" i="30" s="1"/>
  <c r="AE20" i="30" a="1"/>
  <c r="AE20" i="30" s="1"/>
  <c r="AF20" i="30" a="1"/>
  <c r="AF20" i="30" s="1"/>
  <c r="AG20" i="30" a="1"/>
  <c r="AG20" i="30" s="1"/>
  <c r="B17" i="76"/>
  <c r="B17" i="78"/>
  <c r="AA21" i="30"/>
  <c r="AB21" i="30" s="1"/>
  <c r="AC21" i="30" l="1" a="1"/>
  <c r="AC21" i="30" s="1"/>
  <c r="AD21" i="30" a="1"/>
  <c r="AD21" i="30" s="1"/>
  <c r="AE21" i="30" a="1"/>
  <c r="AE21" i="30" s="1"/>
  <c r="AF21" i="30" a="1"/>
  <c r="AF21" i="30" s="1"/>
  <c r="AG21" i="30" a="1"/>
  <c r="AG21" i="30" s="1"/>
  <c r="B18" i="76"/>
  <c r="B18" i="78"/>
  <c r="AA22" i="30"/>
  <c r="AB22" i="30" s="1"/>
  <c r="AC22" i="30" l="1" a="1"/>
  <c r="AC22" i="30" s="1"/>
  <c r="AD22" i="30" a="1"/>
  <c r="AD22" i="30" s="1"/>
  <c r="AE22" i="30" a="1"/>
  <c r="AE22" i="30" s="1"/>
  <c r="AF22" i="30" a="1"/>
  <c r="AF22" i="30" s="1"/>
  <c r="AG22" i="30" a="1"/>
  <c r="AG22" i="30" s="1"/>
  <c r="B19" i="76"/>
  <c r="B19" i="78"/>
  <c r="AA23" i="30"/>
  <c r="AB23" i="30" s="1"/>
  <c r="AC23" i="30" l="1" a="1"/>
  <c r="AC23" i="30" s="1"/>
  <c r="AD23" i="30" a="1"/>
  <c r="AD23" i="30" s="1"/>
  <c r="AE23" i="30" a="1"/>
  <c r="AE23" i="30" s="1"/>
  <c r="AF23" i="30" a="1"/>
  <c r="AF23" i="30" s="1"/>
  <c r="AG23" i="30" a="1"/>
  <c r="AG23" i="30" s="1"/>
  <c r="B20" i="76"/>
  <c r="B20" i="78"/>
  <c r="AA24" i="30"/>
  <c r="AB24" i="30" s="1"/>
  <c r="AC24" i="30" l="1" a="1"/>
  <c r="AC24" i="30" s="1"/>
  <c r="AD24" i="30" a="1"/>
  <c r="AD24" i="30" s="1"/>
  <c r="AE24" i="30" a="1"/>
  <c r="AE24" i="30" s="1"/>
  <c r="AF24" i="30" a="1"/>
  <c r="AF24" i="30" s="1"/>
  <c r="AG24" i="30" a="1"/>
  <c r="AG24" i="30" s="1"/>
  <c r="B21" i="76"/>
  <c r="B21" i="78"/>
  <c r="AA25" i="30"/>
  <c r="AB25" i="30" s="1"/>
  <c r="AC25" i="30" l="1" a="1"/>
  <c r="AC25" i="30" s="1"/>
  <c r="AD25" i="30" a="1"/>
  <c r="AD25" i="30" s="1"/>
  <c r="AE25" i="30" a="1"/>
  <c r="AE25" i="30" s="1"/>
  <c r="AF25" i="30" a="1"/>
  <c r="AF25" i="30" s="1"/>
  <c r="AG25" i="30" a="1"/>
  <c r="AG25" i="30" s="1"/>
  <c r="B22" i="76"/>
  <c r="B22" i="78"/>
  <c r="AA26" i="30"/>
  <c r="AB26" i="30" s="1"/>
  <c r="AC26" i="30" l="1" a="1"/>
  <c r="AC26" i="30" s="1"/>
  <c r="AD26" i="30" a="1"/>
  <c r="AD26" i="30" s="1"/>
  <c r="AE26" i="30" a="1"/>
  <c r="AE26" i="30" s="1"/>
  <c r="AF26" i="30" a="1"/>
  <c r="AF26" i="30" s="1"/>
  <c r="AG26" i="30" a="1"/>
  <c r="AG26" i="30" s="1"/>
  <c r="B23" i="76"/>
  <c r="B23" i="78"/>
  <c r="AA27" i="30"/>
  <c r="AB27" i="30" s="1"/>
  <c r="AC27" i="30" l="1" a="1"/>
  <c r="AC27" i="30" s="1"/>
  <c r="AD27" i="30" a="1"/>
  <c r="AD27" i="30" s="1"/>
  <c r="AE27" i="30" a="1"/>
  <c r="AE27" i="30" s="1"/>
  <c r="AF27" i="30" a="1"/>
  <c r="AF27" i="30" s="1"/>
  <c r="AG27" i="30" a="1"/>
  <c r="AG27" i="30" s="1"/>
  <c r="B24" i="76"/>
  <c r="B24" i="78"/>
  <c r="AA28" i="30"/>
  <c r="AB28" i="30" s="1"/>
  <c r="AC28" i="30" l="1" a="1"/>
  <c r="AC28" i="30" s="1"/>
  <c r="AD28" i="30" a="1"/>
  <c r="AD28" i="30" s="1"/>
  <c r="AE28" i="30" a="1"/>
  <c r="AE28" i="30" s="1"/>
  <c r="AF28" i="30" a="1"/>
  <c r="AF28" i="30" s="1"/>
  <c r="AG28" i="30" a="1"/>
  <c r="AG28" i="30" s="1"/>
  <c r="B25" i="76"/>
  <c r="B25" i="78"/>
  <c r="AA29" i="30"/>
  <c r="AB29" i="30" s="1"/>
  <c r="AC29" i="30" l="1" a="1"/>
  <c r="AC29" i="30" s="1"/>
  <c r="AD29" i="30" a="1"/>
  <c r="AD29" i="30" s="1"/>
  <c r="AE29" i="30" a="1"/>
  <c r="AE29" i="30" s="1"/>
  <c r="AF29" i="30" a="1"/>
  <c r="AF29" i="30" s="1"/>
  <c r="AG29" i="30" a="1"/>
  <c r="AG29" i="30" s="1"/>
  <c r="AA30" i="30"/>
  <c r="AB30" i="30" s="1"/>
  <c r="AC30" i="30" l="1" a="1"/>
  <c r="AC30" i="30" s="1"/>
  <c r="AD30" i="30" a="1"/>
  <c r="AD30" i="30" s="1"/>
  <c r="AE30" i="30" a="1"/>
  <c r="AE30" i="30" s="1"/>
  <c r="AF30" i="30" a="1"/>
  <c r="AF30" i="30" s="1"/>
  <c r="AG30" i="30" a="1"/>
  <c r="AG30" i="30" s="1"/>
  <c r="AA31" i="30"/>
  <c r="AB31" i="30" s="1"/>
  <c r="AC31" i="30" l="1" a="1"/>
  <c r="AC31" i="30" s="1"/>
  <c r="AD31" i="30" a="1"/>
  <c r="AD31" i="30" s="1"/>
  <c r="AE31" i="30" a="1"/>
  <c r="AE31" i="30" s="1"/>
  <c r="AF31" i="30" a="1"/>
  <c r="AF31" i="30" s="1"/>
  <c r="AG31" i="30" a="1"/>
  <c r="AG31" i="30" s="1"/>
  <c r="AA32" i="30"/>
  <c r="AB32" i="30" s="1"/>
  <c r="AC32" i="30" l="1" a="1"/>
  <c r="AC32" i="30" s="1"/>
  <c r="AD32" i="30" a="1"/>
  <c r="AD32" i="30" s="1"/>
  <c r="AE32" i="30" a="1"/>
  <c r="AE32" i="30" s="1"/>
  <c r="AF32" i="30" a="1"/>
  <c r="AF32" i="30" s="1"/>
  <c r="AG32" i="30" a="1"/>
  <c r="AG32" i="30" s="1"/>
  <c r="AA33" i="30"/>
  <c r="AB33" i="30" s="1"/>
  <c r="AC33" i="30" l="1" a="1"/>
  <c r="AC33" i="30" s="1"/>
  <c r="AD33" i="30" a="1"/>
  <c r="AD33" i="30" s="1"/>
  <c r="AE33" i="30" a="1"/>
  <c r="AE33" i="30" s="1"/>
  <c r="AF33" i="30" a="1"/>
  <c r="AF33" i="30" s="1"/>
  <c r="AG33" i="30" a="1"/>
  <c r="AG33" i="30" s="1"/>
  <c r="AH33" i="30"/>
  <c r="AA34" i="30"/>
  <c r="AB34" i="30" s="1"/>
  <c r="AC34" i="30" l="1" a="1"/>
  <c r="AC34" i="30" s="1"/>
  <c r="AD34" i="30" a="1"/>
  <c r="AD34" i="30" s="1"/>
  <c r="AE34" i="30" a="1"/>
  <c r="AE34" i="30" s="1"/>
  <c r="AF34" i="30" a="1"/>
  <c r="AF34" i="30" s="1"/>
  <c r="AG34" i="30" a="1"/>
  <c r="AG34" i="30" s="1"/>
  <c r="AH34" i="30"/>
  <c r="AA35" i="30"/>
  <c r="AB35" i="30" s="1"/>
  <c r="AC35" i="30" l="1" a="1"/>
  <c r="AC35" i="30" s="1"/>
  <c r="AD35" i="30" a="1"/>
  <c r="AD35" i="30" s="1"/>
  <c r="AE35" i="30" a="1"/>
  <c r="AE35" i="30" s="1"/>
  <c r="AF35" i="30" a="1"/>
  <c r="AF35" i="30" s="1"/>
  <c r="AG35" i="30" a="1"/>
  <c r="AG35" i="30" s="1"/>
  <c r="AH35" i="30"/>
  <c r="AA36" i="30"/>
  <c r="AB36" i="30" s="1"/>
  <c r="AC36" i="30" l="1" a="1"/>
  <c r="AC36" i="30" s="1"/>
  <c r="AD36" i="30" a="1"/>
  <c r="AD36" i="30" s="1"/>
  <c r="AE36" i="30" a="1"/>
  <c r="AE36" i="30" s="1"/>
  <c r="AF36" i="30" a="1"/>
  <c r="AF36" i="30" s="1"/>
  <c r="AG36" i="30" a="1"/>
  <c r="AG36" i="30" s="1"/>
  <c r="AH36" i="30"/>
  <c r="AA37" i="30"/>
  <c r="AB37" i="30" s="1"/>
  <c r="AA38" i="30"/>
  <c r="AB38" i="30" s="1"/>
  <c r="AC38" i="30" l="1" a="1"/>
  <c r="AC38" i="30" s="1"/>
  <c r="AD38" i="30" a="1"/>
  <c r="AD38" i="30" s="1"/>
  <c r="AE38" i="30" a="1"/>
  <c r="AE38" i="30" s="1"/>
  <c r="AF38" i="30" a="1"/>
  <c r="AF38" i="30" s="1"/>
  <c r="AG38" i="30" a="1"/>
  <c r="AG38" i="30" s="1"/>
  <c r="AC37" i="30" a="1"/>
  <c r="AC37" i="30" s="1"/>
  <c r="AD37" i="30" a="1"/>
  <c r="AD37" i="30" s="1"/>
  <c r="AE37" i="30" a="1"/>
  <c r="AE37" i="30" s="1"/>
  <c r="AF37" i="30" a="1"/>
  <c r="AF37" i="30" s="1"/>
  <c r="AG37" i="30" a="1"/>
  <c r="AG37" i="30" s="1"/>
  <c r="AH38" i="30"/>
  <c r="AH37" i="30"/>
  <c r="AA39" i="30"/>
  <c r="AB39" i="30" s="1"/>
  <c r="AC39" i="30" l="1" a="1"/>
  <c r="AC39" i="30" s="1"/>
  <c r="AD39" i="30" a="1"/>
  <c r="AD39" i="30" s="1"/>
  <c r="AE39" i="30" a="1"/>
  <c r="AE39" i="30" s="1"/>
  <c r="AF39" i="30" a="1"/>
  <c r="AF39" i="30" s="1"/>
  <c r="AG39" i="30" a="1"/>
  <c r="AG39" i="30" s="1"/>
  <c r="AH39" i="30"/>
  <c r="AA40" i="30"/>
  <c r="AB40" i="30" s="1"/>
  <c r="AC40" i="30" l="1" a="1"/>
  <c r="AC40" i="30" s="1"/>
  <c r="AD40" i="30" a="1"/>
  <c r="AD40" i="30" s="1"/>
  <c r="AE40" i="30" a="1"/>
  <c r="AE40" i="30" s="1"/>
  <c r="AF40" i="30" a="1"/>
  <c r="AF40" i="30" s="1"/>
  <c r="AG40" i="30" a="1"/>
  <c r="AG40" i="30" s="1"/>
  <c r="AH40" i="30"/>
  <c r="AA41" i="30"/>
  <c r="AB41" i="30" s="1"/>
  <c r="B6" i="75"/>
  <c r="E6" i="75" s="1"/>
  <c r="AC41" i="30" l="1" a="1"/>
  <c r="AC41" i="30" s="1"/>
  <c r="AD41" i="30" a="1"/>
  <c r="AD41" i="30" s="1"/>
  <c r="AE41" i="30" a="1"/>
  <c r="AE41" i="30" s="1"/>
  <c r="AF41" i="30" a="1"/>
  <c r="AF41" i="30" s="1"/>
  <c r="AG41" i="30" a="1"/>
  <c r="AG41" i="30" s="1"/>
  <c r="D6" i="75"/>
  <c r="I6" i="75"/>
  <c r="H6" i="75"/>
  <c r="F6" i="75"/>
  <c r="G6" i="75"/>
  <c r="C6" i="75"/>
  <c r="J6" i="75"/>
  <c r="K5" i="75"/>
  <c r="AH41" i="30"/>
  <c r="AA42" i="30"/>
  <c r="AB42" i="30" s="1"/>
  <c r="B7" i="75"/>
  <c r="E7" i="75" s="1"/>
  <c r="AC42" i="30" l="1" a="1"/>
  <c r="AC42" i="30" s="1"/>
  <c r="AD42" i="30" a="1"/>
  <c r="AD42" i="30" s="1"/>
  <c r="AE42" i="30" a="1"/>
  <c r="AE42" i="30" s="1"/>
  <c r="AF42" i="30" a="1"/>
  <c r="AF42" i="30" s="1"/>
  <c r="AG42" i="30" a="1"/>
  <c r="AG42" i="30" s="1"/>
  <c r="D7" i="75"/>
  <c r="I7" i="75"/>
  <c r="H7" i="75"/>
  <c r="F7" i="75"/>
  <c r="G7" i="75"/>
  <c r="C7" i="75"/>
  <c r="J7" i="75"/>
  <c r="AH42" i="30"/>
  <c r="AA43" i="30"/>
  <c r="AB43" i="30" s="1"/>
  <c r="B8" i="75"/>
  <c r="E8" i="75" s="1"/>
  <c r="AC43" i="30" l="1" a="1"/>
  <c r="AC43" i="30" s="1"/>
  <c r="AD43" i="30" a="1"/>
  <c r="AD43" i="30" s="1"/>
  <c r="AE43" i="30" a="1"/>
  <c r="AE43" i="30" s="1"/>
  <c r="AF43" i="30" a="1"/>
  <c r="AF43" i="30" s="1"/>
  <c r="AG43" i="30" a="1"/>
  <c r="AG43" i="30" s="1"/>
  <c r="D8" i="75"/>
  <c r="I8" i="75"/>
  <c r="H8" i="75"/>
  <c r="F8" i="75"/>
  <c r="G8" i="75"/>
  <c r="C8" i="75"/>
  <c r="J8" i="75"/>
  <c r="AH43" i="30"/>
  <c r="AA44" i="30"/>
  <c r="AB44" i="30" s="1"/>
  <c r="B9" i="75"/>
  <c r="E9" i="75" s="1"/>
  <c r="AC44" i="30" l="1" a="1"/>
  <c r="AC44" i="30" s="1"/>
  <c r="AD44" i="30" a="1"/>
  <c r="AD44" i="30" s="1"/>
  <c r="AE44" i="30" a="1"/>
  <c r="AE44" i="30" s="1"/>
  <c r="AF44" i="30" a="1"/>
  <c r="AF44" i="30" s="1"/>
  <c r="AG44" i="30" a="1"/>
  <c r="AG44" i="30" s="1"/>
  <c r="D9" i="75"/>
  <c r="I9" i="75"/>
  <c r="H9" i="75"/>
  <c r="F9" i="75"/>
  <c r="G9" i="75"/>
  <c r="C9" i="75"/>
  <c r="J9" i="75"/>
  <c r="AH44" i="30"/>
  <c r="AA45" i="30"/>
  <c r="AB45" i="30" s="1"/>
  <c r="B10" i="75"/>
  <c r="E10" i="75" s="1"/>
  <c r="AC45" i="30" l="1" a="1"/>
  <c r="AC45" i="30" s="1"/>
  <c r="AD45" i="30" a="1"/>
  <c r="AD45" i="30" s="1"/>
  <c r="AE45" i="30" a="1"/>
  <c r="AE45" i="30" s="1"/>
  <c r="AF45" i="30" a="1"/>
  <c r="AF45" i="30" s="1"/>
  <c r="AG45" i="30" a="1"/>
  <c r="AG45" i="30" s="1"/>
  <c r="D10" i="75"/>
  <c r="I10" i="75"/>
  <c r="H10" i="75"/>
  <c r="F10" i="75"/>
  <c r="G10" i="75"/>
  <c r="C10" i="75"/>
  <c r="J10" i="75"/>
  <c r="AH45" i="30"/>
  <c r="AA46" i="30"/>
  <c r="AB46" i="30" s="1"/>
  <c r="B11" i="75"/>
  <c r="E11" i="75" s="1"/>
  <c r="AC46" i="30" l="1" a="1"/>
  <c r="AC46" i="30" s="1"/>
  <c r="AD46" i="30" a="1"/>
  <c r="AD46" i="30" s="1"/>
  <c r="AE46" i="30" a="1"/>
  <c r="AE46" i="30" s="1"/>
  <c r="AF46" i="30" a="1"/>
  <c r="AF46" i="30" s="1"/>
  <c r="AG46" i="30" a="1"/>
  <c r="AG46" i="30" s="1"/>
  <c r="D11" i="75"/>
  <c r="I11" i="75"/>
  <c r="H11" i="75"/>
  <c r="F11" i="75"/>
  <c r="G11" i="75"/>
  <c r="C11" i="75"/>
  <c r="J11" i="75"/>
  <c r="AA47" i="30"/>
  <c r="AB47" i="30" s="1"/>
  <c r="AH46" i="30"/>
  <c r="B12" i="75"/>
  <c r="E12" i="75" s="1"/>
  <c r="AC47" i="30" l="1" a="1"/>
  <c r="AC47" i="30" s="1"/>
  <c r="AD47" i="30" a="1"/>
  <c r="AD47" i="30" s="1"/>
  <c r="AE47" i="30" a="1"/>
  <c r="AE47" i="30" s="1"/>
  <c r="AF47" i="30" a="1"/>
  <c r="AF47" i="30" s="1"/>
  <c r="AG47" i="30" a="1"/>
  <c r="AG47" i="30" s="1"/>
  <c r="D12" i="75"/>
  <c r="H12" i="75"/>
  <c r="I12" i="75"/>
  <c r="F12" i="75"/>
  <c r="G12" i="75"/>
  <c r="C12" i="75"/>
  <c r="J12" i="75"/>
  <c r="AH47" i="30"/>
  <c r="B13" i="75"/>
  <c r="E13" i="75" s="1"/>
  <c r="D13" i="75" l="1"/>
  <c r="H13" i="75"/>
  <c r="I13" i="75"/>
  <c r="F13" i="75"/>
  <c r="G13" i="75"/>
  <c r="C13" i="75"/>
  <c r="J13" i="75"/>
  <c r="B14" i="75"/>
  <c r="E14" i="75" s="1"/>
  <c r="D14" i="75" l="1"/>
  <c r="I14" i="75"/>
  <c r="H14" i="75"/>
  <c r="F14" i="75"/>
  <c r="G14" i="75"/>
  <c r="C14" i="75"/>
  <c r="J14" i="75"/>
  <c r="B15" i="75"/>
  <c r="E15" i="75" s="1"/>
  <c r="D15" i="75" l="1"/>
  <c r="I15" i="75"/>
  <c r="H15" i="75"/>
  <c r="F15" i="75"/>
  <c r="G15" i="75"/>
  <c r="C15" i="75"/>
  <c r="J15" i="75"/>
  <c r="B16" i="75"/>
  <c r="E16" i="75" s="1"/>
  <c r="D16" i="75" l="1"/>
  <c r="I16" i="75"/>
  <c r="H16" i="75"/>
  <c r="F16" i="75"/>
  <c r="G16" i="75"/>
  <c r="C16" i="75"/>
  <c r="J16" i="75"/>
  <c r="B17" i="75"/>
  <c r="E17" i="75" s="1"/>
  <c r="D17" i="75" l="1"/>
  <c r="I17" i="75"/>
  <c r="H17" i="75"/>
  <c r="F17" i="75"/>
  <c r="G17" i="75"/>
  <c r="C17" i="75"/>
  <c r="J17" i="75"/>
  <c r="B18" i="75"/>
  <c r="E18" i="75" s="1"/>
  <c r="D18" i="75" l="1"/>
  <c r="I18" i="75"/>
  <c r="H18" i="75"/>
  <c r="F18" i="75"/>
  <c r="G18" i="75"/>
  <c r="C18" i="75"/>
  <c r="J18" i="75"/>
  <c r="B19" i="75"/>
  <c r="E19" i="75" s="1"/>
  <c r="D19" i="75" l="1"/>
  <c r="H19" i="75"/>
  <c r="I19" i="75"/>
  <c r="F19" i="75"/>
  <c r="G19" i="75"/>
  <c r="C19" i="75"/>
  <c r="J19" i="75"/>
  <c r="B20" i="75"/>
  <c r="E20" i="75" s="1"/>
  <c r="D20" i="75" l="1"/>
  <c r="H20" i="75"/>
  <c r="I20" i="75"/>
  <c r="F20" i="75"/>
  <c r="G20" i="75"/>
  <c r="C20" i="75"/>
  <c r="J20" i="75"/>
  <c r="B21" i="75"/>
  <c r="E21" i="75" s="1"/>
  <c r="D21" i="75" l="1"/>
  <c r="I21" i="75"/>
  <c r="H21" i="75"/>
  <c r="F21" i="75"/>
  <c r="G21" i="75"/>
  <c r="C21" i="75"/>
  <c r="J21" i="75"/>
  <c r="B22" i="75"/>
  <c r="E22" i="75" s="1"/>
  <c r="D22" i="75" l="1"/>
  <c r="I22" i="75"/>
  <c r="H22" i="75"/>
  <c r="F22" i="75"/>
  <c r="G22" i="75"/>
  <c r="C22" i="75"/>
  <c r="J22" i="75"/>
  <c r="B23" i="75"/>
  <c r="E23" i="75" s="1"/>
  <c r="D23" i="75" l="1"/>
  <c r="I23" i="75"/>
  <c r="H23" i="75"/>
  <c r="F23" i="75"/>
  <c r="G23" i="75"/>
  <c r="C23" i="75"/>
  <c r="J23" i="75"/>
  <c r="B24" i="75"/>
  <c r="E24" i="75" s="1"/>
  <c r="D24" i="75" l="1"/>
  <c r="I24" i="75"/>
  <c r="H24" i="75"/>
  <c r="F24" i="75"/>
  <c r="G24" i="75"/>
  <c r="C24" i="75"/>
  <c r="J24" i="75"/>
  <c r="O7" i="46" l="1"/>
  <c r="B7" i="30" l="1"/>
  <c r="B8" i="30" l="1"/>
  <c r="B9" i="30" l="1"/>
  <c r="B10" i="30" l="1"/>
  <c r="B11" i="30" l="1"/>
  <c r="B12" i="30" l="1"/>
  <c r="B13" i="30" l="1"/>
  <c r="B14" i="30" l="1"/>
  <c r="B15" i="30" l="1"/>
  <c r="B16" i="30" l="1"/>
  <c r="B17" i="30" l="1"/>
  <c r="B18" i="30" l="1"/>
  <c r="B19" i="30" l="1"/>
  <c r="B20" i="30" l="1"/>
  <c r="B21" i="30" l="1"/>
  <c r="B22" i="30" l="1"/>
  <c r="B23" i="30" l="1"/>
  <c r="B24" i="30" l="1"/>
  <c r="B25" i="30" l="1"/>
  <c r="K7" i="46" s="1"/>
  <c r="D31" i="42" l="1"/>
  <c r="C38" i="46" l="1"/>
  <c r="D38" i="46" s="1"/>
  <c r="E38" i="46" s="1"/>
  <c r="C39" i="46" l="1"/>
  <c r="D39" i="46" s="1"/>
  <c r="E39" i="46" s="1"/>
  <c r="C40" i="46" l="1"/>
  <c r="D40" i="46" s="1"/>
  <c r="E40" i="46" s="1"/>
  <c r="C41" i="46" l="1"/>
  <c r="D41" i="46" s="1"/>
  <c r="E41" i="46" s="1"/>
  <c r="C42" i="46" l="1"/>
  <c r="D42" i="46" s="1"/>
  <c r="E42" i="46" s="1"/>
  <c r="C43" i="46" l="1"/>
  <c r="D43" i="46" s="1"/>
  <c r="E43" i="46" s="1"/>
  <c r="C44" i="46" l="1"/>
  <c r="D44" i="46" s="1"/>
  <c r="E44" i="46" s="1"/>
  <c r="C45" i="46" l="1"/>
  <c r="D45" i="46" s="1"/>
  <c r="E45" i="46" s="1"/>
  <c r="C8" i="46"/>
  <c r="N8" i="46" s="1"/>
  <c r="P8" i="46" l="1"/>
  <c r="C46" i="46"/>
  <c r="D46" i="46" s="1"/>
  <c r="E46" i="46" s="1"/>
  <c r="C9" i="46"/>
  <c r="N9" i="46" s="1"/>
  <c r="P9" i="46" l="1"/>
  <c r="C47" i="46"/>
  <c r="D47" i="46" s="1"/>
  <c r="E47" i="46" s="1"/>
  <c r="C10" i="46"/>
  <c r="N10" i="46" s="1"/>
  <c r="P10" i="46" l="1"/>
  <c r="C48" i="46"/>
  <c r="D48" i="46" s="1"/>
  <c r="E48" i="46" s="1"/>
  <c r="C11" i="46"/>
  <c r="N11" i="46" s="1"/>
  <c r="P11" i="46" l="1"/>
  <c r="C49" i="46"/>
  <c r="D49" i="46" s="1"/>
  <c r="E49" i="46" s="1"/>
  <c r="C12" i="46"/>
  <c r="N12" i="46" s="1"/>
  <c r="P12" i="46" l="1"/>
  <c r="C50" i="46"/>
  <c r="D50" i="46" s="1"/>
  <c r="E50" i="46" s="1"/>
  <c r="C13" i="46"/>
  <c r="N13" i="46" s="1"/>
  <c r="P13" i="46" l="1"/>
  <c r="C51" i="46"/>
  <c r="D51" i="46" s="1"/>
  <c r="E51" i="46" s="1"/>
  <c r="C14" i="46"/>
  <c r="N14" i="46" s="1"/>
  <c r="P14" i="46" l="1"/>
  <c r="C52" i="46"/>
  <c r="D52" i="46" s="1"/>
  <c r="E52" i="46" s="1"/>
  <c r="C15" i="46"/>
  <c r="N15" i="46" s="1"/>
  <c r="P15" i="46" l="1"/>
  <c r="C53" i="46"/>
  <c r="D53" i="46" s="1"/>
  <c r="E53" i="46" s="1"/>
  <c r="C16" i="46"/>
  <c r="N16" i="46" s="1"/>
  <c r="P16" i="46" l="1"/>
  <c r="C54" i="46"/>
  <c r="D54" i="46" s="1"/>
  <c r="E54" i="46" s="1"/>
  <c r="C17" i="46"/>
  <c r="N17" i="46" s="1"/>
  <c r="P17" i="46" l="1"/>
  <c r="C55" i="46"/>
  <c r="D55" i="46" s="1"/>
  <c r="E55" i="46" s="1"/>
  <c r="C18" i="46"/>
  <c r="N18" i="46" s="1"/>
  <c r="P18" i="46" l="1"/>
  <c r="C56" i="46"/>
  <c r="D56" i="46" s="1"/>
  <c r="E56" i="46" s="1"/>
  <c r="C19" i="46"/>
  <c r="N19" i="46" s="1"/>
  <c r="P19" i="46" l="1"/>
  <c r="C57" i="46"/>
  <c r="D57" i="46" s="1"/>
  <c r="E57" i="46" s="1"/>
  <c r="C20" i="46"/>
  <c r="N20" i="46" s="1"/>
  <c r="E20" i="46" l="1"/>
  <c r="G20" i="46"/>
  <c r="P20" i="46"/>
  <c r="C58" i="46"/>
  <c r="D58" i="46" s="1"/>
  <c r="E58" i="46" s="1"/>
  <c r="C21" i="46"/>
  <c r="N21" i="46" s="1"/>
  <c r="E21" i="46" l="1"/>
  <c r="G21" i="46"/>
  <c r="P21" i="46"/>
  <c r="C59" i="46"/>
  <c r="D59" i="46" s="1"/>
  <c r="E59" i="46" s="1"/>
  <c r="C22" i="46"/>
  <c r="N22" i="46" s="1"/>
  <c r="E22" i="46" l="1"/>
  <c r="G22" i="46"/>
  <c r="P22" i="46"/>
  <c r="C60" i="46"/>
  <c r="D60" i="46" s="1"/>
  <c r="E60" i="46" s="1"/>
  <c r="C23" i="46"/>
  <c r="N23" i="46" s="1"/>
  <c r="E23" i="46" l="1"/>
  <c r="G23" i="46"/>
  <c r="P23" i="46"/>
  <c r="C24" i="46"/>
  <c r="N24" i="46" s="1"/>
  <c r="E24" i="46" l="1"/>
  <c r="G24" i="46"/>
  <c r="P24" i="46"/>
  <c r="C25" i="46"/>
  <c r="N25" i="46" s="1"/>
  <c r="E25" i="46" l="1"/>
  <c r="G25" i="46"/>
  <c r="P25" i="46"/>
  <c r="C26" i="46"/>
  <c r="N26" i="46" s="1"/>
  <c r="E26" i="46" l="1"/>
  <c r="G26" i="46"/>
  <c r="P26" i="46"/>
  <c r="C27" i="46"/>
  <c r="N27" i="46" s="1"/>
  <c r="E27" i="46" l="1"/>
  <c r="G27" i="46"/>
  <c r="C28" i="46"/>
  <c r="N28" i="46" s="1"/>
  <c r="E28" i="46" l="1"/>
  <c r="G28" i="46"/>
  <c r="C29" i="46"/>
  <c r="E29" i="46" l="1"/>
  <c r="L29" i="46"/>
  <c r="G29" i="46"/>
  <c r="C30" i="46"/>
  <c r="E30" i="46" l="1"/>
  <c r="L30" i="46"/>
  <c r="G30" i="46"/>
  <c r="K21" i="75" l="1"/>
  <c r="K22" i="75"/>
  <c r="K23" i="75"/>
  <c r="K24" i="75"/>
  <c r="P30" i="46" l="1"/>
  <c r="P29" i="46"/>
  <c r="O30" i="46"/>
  <c r="O29" i="46"/>
  <c r="O28" i="46"/>
  <c r="O27" i="46"/>
  <c r="E61" i="46"/>
  <c r="D66" i="46" s="1"/>
  <c r="D74" i="46" s="1"/>
  <c r="O8" i="46" l="1"/>
  <c r="K6" i="75"/>
  <c r="O9" i="46"/>
  <c r="K7" i="75"/>
  <c r="O10" i="46"/>
  <c r="K8" i="75"/>
  <c r="O11" i="46"/>
  <c r="K9" i="75"/>
  <c r="O12" i="46"/>
  <c r="K10" i="75"/>
  <c r="O13" i="46"/>
  <c r="K11" i="75"/>
  <c r="O14" i="46"/>
  <c r="K12" i="75"/>
  <c r="O15" i="46"/>
  <c r="K13" i="75"/>
  <c r="O16" i="46"/>
  <c r="K14" i="75"/>
  <c r="O17" i="46"/>
  <c r="K15" i="75"/>
  <c r="O18" i="46"/>
  <c r="K16" i="75"/>
  <c r="O19" i="46"/>
  <c r="K17" i="75"/>
  <c r="O23" i="46"/>
  <c r="O20" i="46"/>
  <c r="K18" i="75"/>
  <c r="O24" i="46"/>
  <c r="O21" i="46"/>
  <c r="K19" i="75"/>
  <c r="O25" i="46"/>
  <c r="O22" i="46"/>
  <c r="K20" i="75"/>
  <c r="O26" i="46"/>
  <c r="P27" i="46"/>
  <c r="K25" i="75" l="1"/>
  <c r="D61" i="46" l="1"/>
  <c r="C21" i="30" l="1"/>
  <c r="C20" i="30"/>
  <c r="C19" i="30"/>
  <c r="C18" i="30"/>
  <c r="C17" i="30"/>
  <c r="C16" i="30"/>
  <c r="C15" i="30"/>
  <c r="C14" i="30"/>
  <c r="C13" i="30"/>
  <c r="C12" i="30"/>
  <c r="C11" i="30"/>
  <c r="C10" i="30"/>
  <c r="C9" i="30"/>
  <c r="C8" i="30"/>
  <c r="C7" i="30"/>
  <c r="K29" i="46" l="1"/>
  <c r="K30" i="46"/>
  <c r="AH8" i="30" l="1"/>
  <c r="AH9" i="30"/>
  <c r="AH10" i="30"/>
  <c r="AH11" i="30"/>
  <c r="AH12" i="30"/>
  <c r="AH13" i="30"/>
  <c r="AH14" i="30"/>
  <c r="AH15" i="30"/>
  <c r="AH16" i="30"/>
  <c r="AH17" i="30"/>
  <c r="AH18" i="30"/>
  <c r="AH19" i="30"/>
  <c r="AH20" i="30"/>
  <c r="AH21" i="30"/>
  <c r="AH22" i="30"/>
  <c r="AH23" i="30"/>
  <c r="AH24" i="30"/>
  <c r="AH25" i="30"/>
  <c r="AH26" i="30"/>
  <c r="AH27" i="30"/>
  <c r="AH28" i="30"/>
  <c r="AH29" i="30"/>
  <c r="AH30" i="30"/>
  <c r="AH31" i="30"/>
  <c r="AH32" i="30"/>
  <c r="AH7" i="30"/>
  <c r="D7" i="30"/>
  <c r="D8" i="30"/>
  <c r="D9" i="30"/>
  <c r="D10" i="30"/>
  <c r="D11" i="30"/>
  <c r="D12" i="30"/>
  <c r="D13" i="30"/>
  <c r="D14" i="30"/>
  <c r="D15" i="30"/>
  <c r="D16" i="30"/>
  <c r="E16" i="30" s="1"/>
  <c r="D17" i="30"/>
  <c r="D18" i="30"/>
  <c r="D19" i="30"/>
  <c r="E19" i="30" s="1"/>
  <c r="D20" i="30"/>
  <c r="D21" i="30"/>
  <c r="D22" i="30"/>
  <c r="D24" i="30"/>
  <c r="D25" i="30"/>
  <c r="E7" i="30"/>
  <c r="F7" i="30"/>
  <c r="E8" i="30"/>
  <c r="F8" i="30"/>
  <c r="E9" i="30"/>
  <c r="F9" i="30"/>
  <c r="E10" i="30"/>
  <c r="F10" i="30"/>
  <c r="E11" i="30"/>
  <c r="F11" i="30"/>
  <c r="E12" i="30"/>
  <c r="F12" i="30"/>
  <c r="E13" i="30"/>
  <c r="F13" i="30"/>
  <c r="E14" i="30"/>
  <c r="F14" i="30"/>
  <c r="E15" i="30"/>
  <c r="K18" i="46" s="1"/>
  <c r="F15" i="30"/>
  <c r="F16" i="30"/>
  <c r="E17" i="30"/>
  <c r="F17" i="30"/>
  <c r="E18" i="30"/>
  <c r="K21" i="46" s="1"/>
  <c r="F18" i="30"/>
  <c r="E20" i="30"/>
  <c r="F20" i="30"/>
  <c r="E21" i="30"/>
  <c r="F21" i="30"/>
  <c r="D23" i="30"/>
  <c r="M29" i="46"/>
  <c r="M30" i="46"/>
  <c r="D6" i="30" l="1"/>
  <c r="K24" i="46"/>
  <c r="K23" i="46"/>
  <c r="K20" i="46"/>
  <c r="K17" i="46"/>
  <c r="K16" i="46"/>
  <c r="K15" i="46"/>
  <c r="K14" i="46"/>
  <c r="K13" i="46"/>
  <c r="K12" i="46"/>
  <c r="K11" i="46"/>
  <c r="K10" i="46"/>
  <c r="K19" i="46"/>
  <c r="F19" i="30"/>
  <c r="K22" i="46"/>
  <c r="E6" i="30"/>
  <c r="K9" i="46" l="1"/>
  <c r="K8" i="46"/>
  <c r="F6" i="30"/>
  <c r="X33" i="30" l="1"/>
  <c r="C22" i="30" s="1"/>
  <c r="E22" i="30" s="1"/>
  <c r="F22" i="30" s="1"/>
  <c r="X34" i="30"/>
  <c r="X35" i="30"/>
  <c r="C24" i="30"/>
  <c r="C23" i="30"/>
  <c r="E24" i="30"/>
  <c r="K27" i="46" s="1"/>
  <c r="E23" i="30"/>
  <c r="F23" i="30"/>
  <c r="F24" i="30"/>
  <c r="D16" i="95"/>
  <c r="D18" i="28"/>
  <c r="O11" i="78"/>
  <c r="K26" i="46" l="1"/>
  <c r="K25" i="46"/>
  <c r="D19" i="28"/>
  <c r="D34" i="28"/>
  <c r="O11" i="76"/>
  <c r="O12" i="111"/>
  <c r="O11" i="112"/>
  <c r="O10" i="76" l="1"/>
  <c r="O10" i="112"/>
  <c r="O11" i="111"/>
  <c r="O10" i="78"/>
  <c r="D31" i="28"/>
  <c r="P23" i="111" l="1"/>
  <c r="Q23" i="111"/>
  <c r="O24" i="111"/>
  <c r="P19" i="112"/>
  <c r="P18" i="112"/>
  <c r="P22" i="76"/>
  <c r="P23" i="76"/>
  <c r="O18" i="112"/>
  <c r="R19" i="112"/>
  <c r="Q19" i="112"/>
  <c r="O19" i="112"/>
  <c r="R18" i="112"/>
  <c r="Q18" i="112"/>
  <c r="E6" i="112" s="1" a="1"/>
  <c r="E6" i="112" s="1"/>
  <c r="Q19" i="78"/>
  <c r="Q18" i="78"/>
  <c r="P19" i="78"/>
  <c r="P18" i="78"/>
  <c r="D17" i="78" s="1" a="1"/>
  <c r="D17" i="78" s="1"/>
  <c r="O19" i="78"/>
  <c r="O18" i="78"/>
  <c r="G6" i="78" s="1" a="1"/>
  <c r="G6" i="78" s="1"/>
  <c r="Q24" i="111"/>
  <c r="P24" i="111"/>
  <c r="O23" i="111"/>
  <c r="R23" i="76"/>
  <c r="R22" i="76"/>
  <c r="Q23" i="76"/>
  <c r="Q22" i="76"/>
  <c r="O14" i="78"/>
  <c r="O19" i="111"/>
  <c r="O14" i="112"/>
  <c r="O18" i="76"/>
  <c r="C7" i="111" l="1" a="1"/>
  <c r="C7" i="111" s="1"/>
  <c r="F7" i="111" a="1"/>
  <c r="F7" i="111" s="1"/>
  <c r="H7" i="111" s="1"/>
  <c r="I7" i="111" s="1"/>
  <c r="C5" i="118"/>
  <c r="E8" i="111" a="1"/>
  <c r="E8" i="111" s="1"/>
  <c r="F8" i="111" a="1"/>
  <c r="F8" i="111" s="1"/>
  <c r="H8" i="111" s="1"/>
  <c r="D18" i="78" a="1"/>
  <c r="D18" i="78" s="1"/>
  <c r="D19" i="78" a="1"/>
  <c r="D19" i="78" s="1"/>
  <c r="D20" i="78" a="1"/>
  <c r="D20" i="78" s="1"/>
  <c r="D21" i="78" a="1"/>
  <c r="D21" i="78" s="1"/>
  <c r="D22" i="78" a="1"/>
  <c r="D22" i="78" s="1"/>
  <c r="D23" i="78" a="1"/>
  <c r="D23" i="78" s="1"/>
  <c r="D24" i="78" a="1"/>
  <c r="D24" i="78" s="1"/>
  <c r="D25" i="78" a="1"/>
  <c r="D25" i="78" s="1"/>
  <c r="F6" i="112" a="1"/>
  <c r="F6" i="112" s="1"/>
  <c r="G7" i="76" a="1"/>
  <c r="G7" i="76" s="1"/>
  <c r="D8" i="118" s="1"/>
  <c r="G8" i="76" a="1"/>
  <c r="G8" i="76" s="1"/>
  <c r="D9" i="118" s="1"/>
  <c r="G9" i="76" a="1"/>
  <c r="G9" i="76" s="1"/>
  <c r="D10" i="118" s="1"/>
  <c r="G10" i="76" a="1"/>
  <c r="G10" i="76" s="1"/>
  <c r="D11" i="118" s="1"/>
  <c r="G11" i="76" a="1"/>
  <c r="G11" i="76" s="1"/>
  <c r="D12" i="118" s="1"/>
  <c r="G12" i="76" a="1"/>
  <c r="G12" i="76" s="1"/>
  <c r="D13" i="118" s="1"/>
  <c r="G13" i="76" a="1"/>
  <c r="G13" i="76" s="1"/>
  <c r="D14" i="118" s="1"/>
  <c r="G14" i="76" a="1"/>
  <c r="G14" i="76" s="1"/>
  <c r="D15" i="118" s="1"/>
  <c r="G15" i="76" a="1"/>
  <c r="G15" i="76" s="1"/>
  <c r="D16" i="118" s="1"/>
  <c r="G16" i="76" a="1"/>
  <c r="G16" i="76" s="1"/>
  <c r="D17" i="118" s="1"/>
  <c r="G17" i="76" a="1"/>
  <c r="G17" i="76" s="1"/>
  <c r="D18" i="118" s="1"/>
  <c r="G18" i="76" a="1"/>
  <c r="G18" i="76" s="1"/>
  <c r="D19" i="118" s="1"/>
  <c r="G19" i="76" a="1"/>
  <c r="G19" i="76" s="1"/>
  <c r="D20" i="118" s="1"/>
  <c r="G20" i="76" a="1"/>
  <c r="G20" i="76" s="1"/>
  <c r="D21" i="118" s="1"/>
  <c r="G21" i="76" a="1"/>
  <c r="G21" i="76" s="1"/>
  <c r="D22" i="118" s="1"/>
  <c r="G22" i="76" a="1"/>
  <c r="G22" i="76" s="1"/>
  <c r="D23" i="118" s="1"/>
  <c r="G23" i="76" a="1"/>
  <c r="G23" i="76" s="1"/>
  <c r="D24" i="118" s="1"/>
  <c r="G24" i="76" a="1"/>
  <c r="G24" i="76" s="1"/>
  <c r="D25" i="118" s="1"/>
  <c r="G25" i="76" a="1"/>
  <c r="G25" i="76" s="1"/>
  <c r="D26" i="118" s="1"/>
  <c r="D7" i="111"/>
  <c r="E7" i="112" a="1"/>
  <c r="E7" i="112" s="1"/>
  <c r="D8" i="76" a="1"/>
  <c r="D8" i="76" s="1"/>
  <c r="D9" i="76" a="1"/>
  <c r="D9" i="76" s="1"/>
  <c r="D10" i="76" a="1"/>
  <c r="D10" i="76" s="1"/>
  <c r="D11" i="76" a="1"/>
  <c r="D11" i="76" s="1"/>
  <c r="D12" i="76" a="1"/>
  <c r="D12" i="76" s="1"/>
  <c r="D13" i="76" a="1"/>
  <c r="D13" i="76" s="1"/>
  <c r="D14" i="76" a="1"/>
  <c r="D14" i="76" s="1"/>
  <c r="D15" i="76" a="1"/>
  <c r="D15" i="76" s="1"/>
  <c r="D16" i="76" a="1"/>
  <c r="D16" i="76" s="1"/>
  <c r="D17" i="76" a="1"/>
  <c r="D17" i="76" s="1"/>
  <c r="D18" i="76" a="1"/>
  <c r="D18" i="76" s="1"/>
  <c r="D19" i="76" a="1"/>
  <c r="D19" i="76" s="1"/>
  <c r="D20" i="76" a="1"/>
  <c r="D20" i="76" s="1"/>
  <c r="D21" i="76" a="1"/>
  <c r="D21" i="76" s="1"/>
  <c r="D22" i="76" a="1"/>
  <c r="D22" i="76" s="1"/>
  <c r="D23" i="76" a="1"/>
  <c r="D23" i="76" s="1"/>
  <c r="D24" i="76" a="1"/>
  <c r="D24" i="76" s="1"/>
  <c r="D25" i="76" a="1"/>
  <c r="D25" i="76" s="1"/>
  <c r="C8" i="76" a="1"/>
  <c r="C8" i="76" s="1"/>
  <c r="C9" i="76" a="1"/>
  <c r="C9" i="76" s="1"/>
  <c r="C10" i="76" a="1"/>
  <c r="C10" i="76" s="1"/>
  <c r="C11" i="76" a="1"/>
  <c r="C11" i="76" s="1"/>
  <c r="C12" i="76" a="1"/>
  <c r="C12" i="76" s="1"/>
  <c r="C13" i="76" a="1"/>
  <c r="C13" i="76" s="1"/>
  <c r="C14" i="76" a="1"/>
  <c r="C14" i="76" s="1"/>
  <c r="C15" i="76" a="1"/>
  <c r="C15" i="76" s="1"/>
  <c r="C16" i="76" a="1"/>
  <c r="C16" i="76" s="1"/>
  <c r="C17" i="76" a="1"/>
  <c r="C17" i="76" s="1"/>
  <c r="C18" i="76" a="1"/>
  <c r="C18" i="76" s="1"/>
  <c r="C19" i="76" a="1"/>
  <c r="C19" i="76" s="1"/>
  <c r="C20" i="76" a="1"/>
  <c r="C20" i="76" s="1"/>
  <c r="C21" i="76" a="1"/>
  <c r="C21" i="76" s="1"/>
  <c r="C22" i="76" a="1"/>
  <c r="C22" i="76" s="1"/>
  <c r="C23" i="76" a="1"/>
  <c r="C23" i="76" s="1"/>
  <c r="C24" i="76" a="1"/>
  <c r="C24" i="76" s="1"/>
  <c r="C25" i="76" a="1"/>
  <c r="C25" i="76" s="1"/>
  <c r="E24" i="76"/>
  <c r="C25" i="118" s="1"/>
  <c r="E25" i="76"/>
  <c r="C26" i="118" s="1"/>
  <c r="C7" i="112" a="1"/>
  <c r="C7" i="112" s="1"/>
  <c r="C6" i="112" a="1"/>
  <c r="C6" i="112" s="1"/>
  <c r="D6" i="112" s="1"/>
  <c r="G7" i="78" a="1"/>
  <c r="G7" i="78" s="1"/>
  <c r="G8" i="78" a="1"/>
  <c r="G8" i="78" s="1"/>
  <c r="G9" i="78" a="1"/>
  <c r="G9" i="78" s="1"/>
  <c r="G10" i="78" a="1"/>
  <c r="G10" i="78" s="1"/>
  <c r="G11" i="78" a="1"/>
  <c r="G11" i="78" s="1"/>
  <c r="G12" i="78" a="1"/>
  <c r="G12" i="78" s="1"/>
  <c r="G13" i="78" a="1"/>
  <c r="G13" i="78" s="1"/>
  <c r="G14" i="78" a="1"/>
  <c r="G14" i="78" s="1"/>
  <c r="G15" i="78" a="1"/>
  <c r="G15" i="78" s="1"/>
  <c r="G16" i="78" a="1"/>
  <c r="G16" i="78" s="1"/>
  <c r="G18" i="78" a="1"/>
  <c r="G18" i="78" s="1"/>
  <c r="G19" i="78" a="1"/>
  <c r="G19" i="78" s="1"/>
  <c r="G20" i="78" a="1"/>
  <c r="G20" i="78" s="1"/>
  <c r="G21" i="78" a="1"/>
  <c r="G21" i="78" s="1"/>
  <c r="G22" i="78" a="1"/>
  <c r="G22" i="78" s="1"/>
  <c r="G23" i="78" a="1"/>
  <c r="G23" i="78" s="1"/>
  <c r="G24" i="78" a="1"/>
  <c r="G24" i="78" s="1"/>
  <c r="G25" i="78" a="1"/>
  <c r="G25" i="78" s="1"/>
  <c r="C6" i="78" a="1"/>
  <c r="C6" i="78" s="1"/>
  <c r="C7" i="78" a="1"/>
  <c r="C7" i="78" s="1"/>
  <c r="C8" i="78" a="1"/>
  <c r="C8" i="78" s="1"/>
  <c r="C9" i="78" a="1"/>
  <c r="C9" i="78" s="1"/>
  <c r="C10" i="78" a="1"/>
  <c r="C10" i="78" s="1"/>
  <c r="C11" i="78" a="1"/>
  <c r="C11" i="78" s="1"/>
  <c r="C12" i="78" a="1"/>
  <c r="C12" i="78" s="1"/>
  <c r="C13" i="78" a="1"/>
  <c r="C13" i="78" s="1"/>
  <c r="C14" i="78" a="1"/>
  <c r="C14" i="78" s="1"/>
  <c r="C15" i="78" a="1"/>
  <c r="C15" i="78" s="1"/>
  <c r="C16" i="78" a="1"/>
  <c r="C16" i="78" s="1"/>
  <c r="C17" i="78" a="1"/>
  <c r="C17" i="78" s="1"/>
  <c r="C18" i="78" a="1"/>
  <c r="C18" i="78" s="1"/>
  <c r="C19" i="78" a="1"/>
  <c r="C19" i="78" s="1"/>
  <c r="C20" i="78" a="1"/>
  <c r="C20" i="78" s="1"/>
  <c r="C21" i="78" a="1"/>
  <c r="C21" i="78" s="1"/>
  <c r="C22" i="78" a="1"/>
  <c r="C22" i="78" s="1"/>
  <c r="C23" i="78" a="1"/>
  <c r="C23" i="78" s="1"/>
  <c r="C24" i="78" a="1"/>
  <c r="C24" i="78" s="1"/>
  <c r="E24" i="78" s="1"/>
  <c r="C25" i="78" a="1"/>
  <c r="C25" i="78" s="1"/>
  <c r="E25" i="78" s="1"/>
  <c r="E15" i="76"/>
  <c r="E14" i="76"/>
  <c r="E13" i="76"/>
  <c r="E12" i="76"/>
  <c r="E11" i="76"/>
  <c r="E10" i="76"/>
  <c r="E9" i="76"/>
  <c r="E8" i="76"/>
  <c r="E7" i="76"/>
  <c r="F25" i="76"/>
  <c r="F24" i="76"/>
  <c r="H25" i="76"/>
  <c r="H24" i="76"/>
  <c r="E23" i="76"/>
  <c r="E22" i="76"/>
  <c r="E21" i="76"/>
  <c r="E20" i="76"/>
  <c r="E19" i="76"/>
  <c r="E18" i="76"/>
  <c r="E17" i="76"/>
  <c r="E16" i="76"/>
  <c r="D7" i="112"/>
  <c r="G6" i="112"/>
  <c r="F5" i="118" s="1"/>
  <c r="F7" i="112" a="1"/>
  <c r="F7" i="112" s="1"/>
  <c r="G7" i="112" s="1"/>
  <c r="F6" i="118" s="1"/>
  <c r="C8" i="111" a="1"/>
  <c r="C8" i="111" s="1"/>
  <c r="E6" i="78"/>
  <c r="F6" i="78" s="1"/>
  <c r="E7" i="78"/>
  <c r="F7" i="78" s="1"/>
  <c r="E8" i="78"/>
  <c r="F8" i="78" s="1"/>
  <c r="E9" i="78"/>
  <c r="F9" i="78" s="1"/>
  <c r="E10" i="78"/>
  <c r="F10" i="78" s="1"/>
  <c r="E11" i="78"/>
  <c r="F11" i="78" s="1"/>
  <c r="E12" i="78"/>
  <c r="F12" i="78" s="1"/>
  <c r="E14" i="78"/>
  <c r="F14" i="78" s="1"/>
  <c r="E15" i="78"/>
  <c r="F15" i="78" s="1"/>
  <c r="E13" i="78"/>
  <c r="F13" i="78" s="1"/>
  <c r="F24" i="78"/>
  <c r="F25" i="78"/>
  <c r="H25" i="78"/>
  <c r="H24" i="78"/>
  <c r="E16" i="78"/>
  <c r="F16" i="78" s="1"/>
  <c r="E17" i="78"/>
  <c r="F17" i="78" s="1"/>
  <c r="E18" i="78"/>
  <c r="F18" i="78" s="1"/>
  <c r="E19" i="78"/>
  <c r="F19" i="78" s="1"/>
  <c r="E20" i="78"/>
  <c r="F20" i="78" s="1"/>
  <c r="E21" i="78"/>
  <c r="F21" i="78" s="1"/>
  <c r="E22" i="78"/>
  <c r="F22" i="78" s="1"/>
  <c r="E23" i="78"/>
  <c r="F23" i="78" s="1"/>
  <c r="F16" i="76" l="1"/>
  <c r="C17" i="118"/>
  <c r="F17" i="76"/>
  <c r="C18" i="118"/>
  <c r="F18" i="76"/>
  <c r="C19" i="118"/>
  <c r="F19" i="76"/>
  <c r="C20" i="118"/>
  <c r="F20" i="76"/>
  <c r="C21" i="118"/>
  <c r="F21" i="76"/>
  <c r="C22" i="118"/>
  <c r="F22" i="76"/>
  <c r="C23" i="118"/>
  <c r="F23" i="76"/>
  <c r="C24" i="118"/>
  <c r="F7" i="76"/>
  <c r="C8" i="118"/>
  <c r="F8" i="76"/>
  <c r="C9" i="118"/>
  <c r="F9" i="76"/>
  <c r="C10" i="118"/>
  <c r="F10" i="76"/>
  <c r="C11" i="118"/>
  <c r="F11" i="76"/>
  <c r="C12" i="118"/>
  <c r="F12" i="76"/>
  <c r="C13" i="118"/>
  <c r="F13" i="76"/>
  <c r="C14" i="118"/>
  <c r="F14" i="76"/>
  <c r="C15" i="118"/>
  <c r="F15" i="76"/>
  <c r="C16" i="118"/>
  <c r="D8" i="111"/>
  <c r="C6" i="118"/>
  <c r="D5" i="118"/>
  <c r="H7" i="112"/>
  <c r="H6" i="112"/>
  <c r="J7" i="112"/>
  <c r="G8" i="46" s="1"/>
  <c r="J25" i="78"/>
  <c r="J24" i="78"/>
  <c r="H16" i="78"/>
  <c r="J16" i="78" s="1"/>
  <c r="H17" i="78"/>
  <c r="J17" i="78" s="1"/>
  <c r="H18" i="78"/>
  <c r="J18" i="78" s="1"/>
  <c r="H19" i="78"/>
  <c r="J19" i="78" s="1"/>
  <c r="H20" i="78"/>
  <c r="J20" i="78" s="1"/>
  <c r="H21" i="78"/>
  <c r="J21" i="78" s="1"/>
  <c r="H22" i="78"/>
  <c r="J22" i="78" s="1"/>
  <c r="H23" i="78"/>
  <c r="J23" i="78" s="1"/>
  <c r="H6" i="78"/>
  <c r="H7" i="78"/>
  <c r="H8" i="78"/>
  <c r="H9" i="78"/>
  <c r="H10" i="78"/>
  <c r="H11" i="78"/>
  <c r="H12" i="78"/>
  <c r="H13" i="78"/>
  <c r="H14" i="78"/>
  <c r="H15" i="78"/>
  <c r="J13" i="78"/>
  <c r="J15" i="78"/>
  <c r="J14" i="78"/>
  <c r="J12" i="78"/>
  <c r="J11" i="78"/>
  <c r="J10" i="78"/>
  <c r="J9" i="78"/>
  <c r="J8" i="78"/>
  <c r="J7" i="78"/>
  <c r="F10" i="46" s="1"/>
  <c r="J6" i="78"/>
  <c r="F9" i="46" s="1"/>
  <c r="F8" i="46"/>
  <c r="F7" i="46"/>
  <c r="E7" i="46"/>
  <c r="K7" i="112"/>
  <c r="G10" i="46"/>
  <c r="G9" i="46"/>
  <c r="J24" i="76"/>
  <c r="J25" i="76"/>
  <c r="H16" i="76"/>
  <c r="J16" i="76" s="1"/>
  <c r="H17" i="76"/>
  <c r="H18" i="76"/>
  <c r="J18" i="76" s="1"/>
  <c r="H19" i="76"/>
  <c r="J19" i="76" s="1"/>
  <c r="H20" i="76"/>
  <c r="J20" i="76" s="1"/>
  <c r="H21" i="76"/>
  <c r="J21" i="76" s="1"/>
  <c r="C26" i="79"/>
  <c r="H22" i="76"/>
  <c r="J22" i="76" s="1"/>
  <c r="C27" i="79"/>
  <c r="H23" i="76"/>
  <c r="J23" i="76" s="1"/>
  <c r="H6" i="76"/>
  <c r="H7" i="76"/>
  <c r="H8" i="76"/>
  <c r="H9" i="76"/>
  <c r="H10" i="76"/>
  <c r="H11" i="76"/>
  <c r="H12" i="76"/>
  <c r="H13" i="76"/>
  <c r="C18" i="79"/>
  <c r="H14" i="76"/>
  <c r="H15" i="76"/>
  <c r="J6" i="76"/>
  <c r="J7" i="76"/>
  <c r="J8" i="76"/>
  <c r="J9" i="76"/>
  <c r="J10" i="76"/>
  <c r="J11" i="76"/>
  <c r="J12" i="76"/>
  <c r="J13" i="76"/>
  <c r="J14" i="76"/>
  <c r="J15" i="76"/>
  <c r="F6" i="79" l="1"/>
  <c r="I8" i="111"/>
  <c r="J8" i="111" s="1"/>
  <c r="E8" i="46" s="1"/>
  <c r="D6" i="118"/>
  <c r="F19" i="79"/>
  <c r="G19" i="79"/>
  <c r="H19" i="79"/>
  <c r="F18" i="79"/>
  <c r="G18" i="79"/>
  <c r="H18" i="79"/>
  <c r="F27" i="79"/>
  <c r="G27" i="79"/>
  <c r="H27" i="79"/>
  <c r="F26" i="79"/>
  <c r="G26" i="79"/>
  <c r="H26" i="79"/>
  <c r="K6" i="112"/>
  <c r="G7" i="46"/>
  <c r="D10" i="46"/>
  <c r="D8" i="46"/>
  <c r="D9" i="46"/>
  <c r="D7" i="46"/>
  <c r="C17" i="79"/>
  <c r="C16" i="79"/>
  <c r="C15" i="79"/>
  <c r="C14" i="79"/>
  <c r="C13" i="79"/>
  <c r="C12" i="79"/>
  <c r="C11" i="79"/>
  <c r="C10" i="79"/>
  <c r="C8" i="79"/>
  <c r="C6" i="79"/>
  <c r="C9" i="79"/>
  <c r="C7" i="79"/>
  <c r="C25" i="79"/>
  <c r="C24" i="79"/>
  <c r="C23" i="79"/>
  <c r="C22" i="79"/>
  <c r="C21" i="79"/>
  <c r="C20" i="79"/>
  <c r="D11" i="46"/>
  <c r="D22" i="46"/>
  <c r="K15" i="76"/>
  <c r="D21" i="46"/>
  <c r="K14" i="76"/>
  <c r="D20" i="46"/>
  <c r="K13" i="76"/>
  <c r="D19" i="46"/>
  <c r="K12" i="76"/>
  <c r="D18" i="46"/>
  <c r="K11" i="76"/>
  <c r="D17" i="46"/>
  <c r="K10" i="76"/>
  <c r="D16" i="46"/>
  <c r="K9" i="76"/>
  <c r="D15" i="46"/>
  <c r="K8" i="76"/>
  <c r="D14" i="46"/>
  <c r="K7" i="76"/>
  <c r="D13" i="46"/>
  <c r="K6" i="76"/>
  <c r="D12" i="46"/>
  <c r="D30" i="46"/>
  <c r="K23" i="76"/>
  <c r="D29" i="46"/>
  <c r="K22" i="76"/>
  <c r="D28" i="46"/>
  <c r="K21" i="76"/>
  <c r="D27" i="46"/>
  <c r="K20" i="76"/>
  <c r="D26" i="46"/>
  <c r="K19" i="76"/>
  <c r="D25" i="46"/>
  <c r="K18" i="76"/>
  <c r="D24" i="46"/>
  <c r="K17" i="76"/>
  <c r="D23" i="46"/>
  <c r="K16" i="76"/>
  <c r="K25" i="76"/>
  <c r="K24" i="76"/>
  <c r="G19" i="46"/>
  <c r="G18" i="46"/>
  <c r="G17" i="46"/>
  <c r="G16" i="46"/>
  <c r="G15" i="46"/>
  <c r="G14" i="46"/>
  <c r="G13" i="46"/>
  <c r="G11" i="46"/>
  <c r="G12" i="46"/>
  <c r="K8" i="112"/>
  <c r="H6" i="79"/>
  <c r="K6" i="79" s="1"/>
  <c r="F7" i="79"/>
  <c r="I7" i="79" s="1"/>
  <c r="D7" i="79"/>
  <c r="H8" i="46" s="1"/>
  <c r="G7" i="79"/>
  <c r="J7" i="79" s="1"/>
  <c r="H7" i="79"/>
  <c r="K7" i="79" s="1"/>
  <c r="E11" i="46"/>
  <c r="E14" i="46"/>
  <c r="E13" i="46"/>
  <c r="E19" i="46"/>
  <c r="E18" i="46"/>
  <c r="E17" i="46"/>
  <c r="E16" i="46"/>
  <c r="E15" i="46"/>
  <c r="E12" i="46"/>
  <c r="E9" i="46"/>
  <c r="K7" i="111"/>
  <c r="E10" i="46"/>
  <c r="K8" i="111"/>
  <c r="F11" i="46"/>
  <c r="F12" i="46"/>
  <c r="F13" i="46"/>
  <c r="K6" i="78"/>
  <c r="F14" i="46"/>
  <c r="K7" i="78"/>
  <c r="F15" i="46"/>
  <c r="K8" i="78"/>
  <c r="F16" i="46"/>
  <c r="K9" i="78"/>
  <c r="F17" i="46"/>
  <c r="K10" i="78"/>
  <c r="F18" i="46"/>
  <c r="K11" i="78"/>
  <c r="F19" i="46"/>
  <c r="K12" i="78"/>
  <c r="F21" i="46"/>
  <c r="K14" i="78"/>
  <c r="F22" i="46"/>
  <c r="K15" i="78"/>
  <c r="F20" i="46"/>
  <c r="K13" i="78"/>
  <c r="I19" i="79"/>
  <c r="J19" i="79"/>
  <c r="K19" i="79"/>
  <c r="I18" i="79"/>
  <c r="D18" i="79"/>
  <c r="J18" i="79"/>
  <c r="K18" i="79"/>
  <c r="D17" i="79"/>
  <c r="D16" i="79"/>
  <c r="D15" i="79"/>
  <c r="D14" i="79"/>
  <c r="D13" i="79"/>
  <c r="D12" i="79"/>
  <c r="D11" i="79"/>
  <c r="D10" i="79"/>
  <c r="D9" i="79"/>
  <c r="D8" i="79"/>
  <c r="F30" i="46"/>
  <c r="K23" i="78"/>
  <c r="I27" i="79"/>
  <c r="D27" i="79"/>
  <c r="J27" i="79"/>
  <c r="K27" i="79"/>
  <c r="F29" i="46"/>
  <c r="K22" i="78"/>
  <c r="I26" i="79"/>
  <c r="D26" i="79"/>
  <c r="J26" i="79"/>
  <c r="K26" i="79"/>
  <c r="F28" i="46"/>
  <c r="K21" i="78"/>
  <c r="D25" i="79"/>
  <c r="F27" i="46"/>
  <c r="K20" i="78"/>
  <c r="D24" i="79"/>
  <c r="F26" i="46"/>
  <c r="K19" i="78"/>
  <c r="D23" i="79"/>
  <c r="F25" i="46"/>
  <c r="K18" i="78"/>
  <c r="D22" i="79"/>
  <c r="F24" i="46"/>
  <c r="K17" i="78"/>
  <c r="D21" i="79"/>
  <c r="F23" i="46"/>
  <c r="K16" i="78"/>
  <c r="D20" i="79"/>
  <c r="K24" i="78"/>
  <c r="K25" i="78"/>
  <c r="G6" i="79" l="1"/>
  <c r="J6" i="79" s="1"/>
  <c r="C19" i="79"/>
  <c r="D19" i="79" s="1"/>
  <c r="F20" i="79"/>
  <c r="I20" i="79" s="1"/>
  <c r="G20" i="79"/>
  <c r="J20" i="79" s="1"/>
  <c r="H20" i="79"/>
  <c r="K20" i="79" s="1"/>
  <c r="F21" i="79"/>
  <c r="I21" i="79" s="1"/>
  <c r="G21" i="79"/>
  <c r="J21" i="79" s="1"/>
  <c r="H21" i="79"/>
  <c r="K21" i="79" s="1"/>
  <c r="F22" i="79"/>
  <c r="I22" i="79" s="1"/>
  <c r="G22" i="79"/>
  <c r="J22" i="79" s="1"/>
  <c r="H22" i="79"/>
  <c r="K22" i="79" s="1"/>
  <c r="F23" i="79"/>
  <c r="I23" i="79" s="1"/>
  <c r="G23" i="79"/>
  <c r="J23" i="79" s="1"/>
  <c r="H23" i="79"/>
  <c r="K23" i="79" s="1"/>
  <c r="F24" i="79"/>
  <c r="I24" i="79" s="1"/>
  <c r="G24" i="79"/>
  <c r="J24" i="79" s="1"/>
  <c r="H24" i="79"/>
  <c r="K24" i="79" s="1"/>
  <c r="F25" i="79"/>
  <c r="I25" i="79" s="1"/>
  <c r="G25" i="79"/>
  <c r="J25" i="79" s="1"/>
  <c r="H25" i="79"/>
  <c r="K25" i="79" s="1"/>
  <c r="F8" i="79"/>
  <c r="I8" i="79" s="1"/>
  <c r="G8" i="79"/>
  <c r="J8" i="79" s="1"/>
  <c r="H8" i="79"/>
  <c r="K8" i="79" s="1"/>
  <c r="F9" i="79"/>
  <c r="I9" i="79" s="1"/>
  <c r="G9" i="79"/>
  <c r="J9" i="79" s="1"/>
  <c r="H9" i="79"/>
  <c r="K9" i="79" s="1"/>
  <c r="F10" i="79"/>
  <c r="I10" i="79" s="1"/>
  <c r="G10" i="79"/>
  <c r="J10" i="79" s="1"/>
  <c r="H10" i="79"/>
  <c r="K10" i="79" s="1"/>
  <c r="F11" i="79"/>
  <c r="I11" i="79" s="1"/>
  <c r="G11" i="79"/>
  <c r="J11" i="79" s="1"/>
  <c r="H11" i="79"/>
  <c r="K11" i="79" s="1"/>
  <c r="F12" i="79"/>
  <c r="I12" i="79" s="1"/>
  <c r="G12" i="79"/>
  <c r="J12" i="79" s="1"/>
  <c r="H12" i="79"/>
  <c r="K12" i="79" s="1"/>
  <c r="F13" i="79"/>
  <c r="I13" i="79" s="1"/>
  <c r="G13" i="79"/>
  <c r="J13" i="79" s="1"/>
  <c r="H13" i="79"/>
  <c r="K13" i="79" s="1"/>
  <c r="F14" i="79"/>
  <c r="I14" i="79" s="1"/>
  <c r="G14" i="79"/>
  <c r="J14" i="79" s="1"/>
  <c r="H14" i="79"/>
  <c r="K14" i="79" s="1"/>
  <c r="F15" i="79"/>
  <c r="I15" i="79" s="1"/>
  <c r="G15" i="79"/>
  <c r="J15" i="79" s="1"/>
  <c r="H15" i="79"/>
  <c r="K15" i="79" s="1"/>
  <c r="F16" i="79"/>
  <c r="I16" i="79" s="1"/>
  <c r="G16" i="79"/>
  <c r="J16" i="79" s="1"/>
  <c r="H16" i="79"/>
  <c r="K16" i="79" s="1"/>
  <c r="F17" i="79"/>
  <c r="I17" i="79" s="1"/>
  <c r="G17" i="79"/>
  <c r="J17" i="79" s="1"/>
  <c r="H17" i="79"/>
  <c r="K17" i="79" s="1"/>
  <c r="D6" i="79"/>
  <c r="H7" i="46" s="1"/>
  <c r="I6" i="79"/>
  <c r="H23" i="46"/>
  <c r="E20" i="79"/>
  <c r="L20" i="79"/>
  <c r="E21" i="79"/>
  <c r="H24" i="46"/>
  <c r="L21" i="79"/>
  <c r="E22" i="79"/>
  <c r="H25" i="46"/>
  <c r="L22" i="79"/>
  <c r="E23" i="79"/>
  <c r="H26" i="46"/>
  <c r="L23" i="79"/>
  <c r="E24" i="79"/>
  <c r="H27" i="46"/>
  <c r="L24" i="79"/>
  <c r="E25" i="79"/>
  <c r="H28" i="46"/>
  <c r="L25" i="79"/>
  <c r="E26" i="79"/>
  <c r="J29" i="46" s="1"/>
  <c r="H29" i="46"/>
  <c r="L26" i="79"/>
  <c r="E27" i="79"/>
  <c r="J30" i="46" s="1"/>
  <c r="H30" i="46"/>
  <c r="L27" i="79"/>
  <c r="E8" i="79"/>
  <c r="H11" i="46"/>
  <c r="L8" i="79"/>
  <c r="E9" i="79"/>
  <c r="H12" i="46"/>
  <c r="L9" i="79"/>
  <c r="E10" i="79"/>
  <c r="H13" i="46"/>
  <c r="L10" i="79"/>
  <c r="E11" i="79"/>
  <c r="H14" i="46"/>
  <c r="L11" i="79"/>
  <c r="E12" i="79"/>
  <c r="H15" i="46"/>
  <c r="L12" i="79"/>
  <c r="E13" i="79"/>
  <c r="H16" i="46"/>
  <c r="L13" i="79"/>
  <c r="E14" i="79"/>
  <c r="H17" i="46"/>
  <c r="L14" i="79"/>
  <c r="E15" i="79"/>
  <c r="H18" i="46"/>
  <c r="L15" i="79"/>
  <c r="E16" i="79"/>
  <c r="H19" i="46"/>
  <c r="L16" i="79"/>
  <c r="E17" i="79"/>
  <c r="H20" i="46"/>
  <c r="L17" i="79"/>
  <c r="E18" i="79"/>
  <c r="J21" i="46" s="1"/>
  <c r="H21" i="46"/>
  <c r="L18" i="79"/>
  <c r="E19" i="79"/>
  <c r="J22" i="46" s="1"/>
  <c r="H22" i="46"/>
  <c r="L19" i="79"/>
  <c r="K26" i="78"/>
  <c r="K9" i="111"/>
  <c r="E7" i="79"/>
  <c r="H10" i="46"/>
  <c r="L7" i="79"/>
  <c r="I8" i="46" s="1"/>
  <c r="L6" i="79"/>
  <c r="I7" i="46" s="1"/>
  <c r="E6" i="79"/>
  <c r="H9" i="46"/>
  <c r="K26" i="76"/>
  <c r="J9" i="46" l="1"/>
  <c r="J7" i="46"/>
  <c r="J10" i="46"/>
  <c r="J8" i="46"/>
  <c r="J20" i="46"/>
  <c r="J19" i="46"/>
  <c r="J18" i="46"/>
  <c r="J17" i="46"/>
  <c r="J16" i="46"/>
  <c r="J15" i="46"/>
  <c r="J14" i="46"/>
  <c r="J13" i="46"/>
  <c r="J12" i="46"/>
  <c r="J11" i="46"/>
  <c r="J28" i="46"/>
  <c r="J27" i="46"/>
  <c r="J26" i="46"/>
  <c r="J25" i="46"/>
  <c r="J24" i="46"/>
  <c r="J23" i="46"/>
  <c r="M6" i="79"/>
  <c r="I9" i="46"/>
  <c r="N6" i="79"/>
  <c r="M7" i="79"/>
  <c r="O7" i="79" s="1"/>
  <c r="I10" i="46"/>
  <c r="N7" i="79"/>
  <c r="M19" i="79"/>
  <c r="O19" i="79" s="1"/>
  <c r="I22" i="46"/>
  <c r="N19" i="79"/>
  <c r="M18" i="79"/>
  <c r="O18" i="79" s="1"/>
  <c r="N18" i="79"/>
  <c r="I21" i="46"/>
  <c r="M17" i="79"/>
  <c r="O17" i="79" s="1"/>
  <c r="I20" i="46"/>
  <c r="N17" i="79"/>
  <c r="I19" i="46"/>
  <c r="N16" i="79"/>
  <c r="M16" i="79"/>
  <c r="O16" i="79" s="1"/>
  <c r="M15" i="79"/>
  <c r="O15" i="79" s="1"/>
  <c r="I18" i="46"/>
  <c r="N15" i="79"/>
  <c r="M14" i="79"/>
  <c r="O14" i="79" s="1"/>
  <c r="I17" i="46"/>
  <c r="N14" i="79"/>
  <c r="M13" i="79"/>
  <c r="O13" i="79" s="1"/>
  <c r="I16" i="46"/>
  <c r="N13" i="79"/>
  <c r="N12" i="79"/>
  <c r="I15" i="46"/>
  <c r="M12" i="79"/>
  <c r="O12" i="79" s="1"/>
  <c r="M11" i="79"/>
  <c r="O11" i="79" s="1"/>
  <c r="I14" i="46"/>
  <c r="N11" i="79"/>
  <c r="N10" i="79"/>
  <c r="I13" i="46"/>
  <c r="M10" i="79"/>
  <c r="O10" i="79" s="1"/>
  <c r="M9" i="79"/>
  <c r="O9" i="79" s="1"/>
  <c r="I12" i="46"/>
  <c r="N9" i="79"/>
  <c r="N8" i="79"/>
  <c r="I11" i="46"/>
  <c r="M8" i="79"/>
  <c r="O8" i="79" s="1"/>
  <c r="M27" i="79"/>
  <c r="O27" i="79" s="1"/>
  <c r="I30" i="46"/>
  <c r="R30" i="46" s="1"/>
  <c r="N27" i="79"/>
  <c r="M26" i="79"/>
  <c r="O26" i="79" s="1"/>
  <c r="I29" i="46"/>
  <c r="R29" i="46" s="1"/>
  <c r="N26" i="79"/>
  <c r="M25" i="79"/>
  <c r="O25" i="79" s="1"/>
  <c r="I28" i="46"/>
  <c r="N25" i="79"/>
  <c r="M24" i="79"/>
  <c r="O24" i="79" s="1"/>
  <c r="I27" i="46"/>
  <c r="N24" i="79"/>
  <c r="M23" i="79"/>
  <c r="O23" i="79" s="1"/>
  <c r="I26" i="46"/>
  <c r="N23" i="79"/>
  <c r="M22" i="79"/>
  <c r="O22" i="79" s="1"/>
  <c r="I25" i="46"/>
  <c r="N22" i="79"/>
  <c r="M21" i="79"/>
  <c r="O21" i="79" s="1"/>
  <c r="I24" i="46"/>
  <c r="N21" i="79"/>
  <c r="M20" i="79"/>
  <c r="O20" i="79" s="1"/>
  <c r="I23" i="46"/>
  <c r="N20" i="79"/>
  <c r="Q29" i="46" l="1"/>
  <c r="Q30" i="46"/>
  <c r="O6" i="79"/>
  <c r="O28" i="79" s="1"/>
  <c r="M28" i="79"/>
  <c r="X7" i="113" l="1"/>
  <c r="AI7" i="113"/>
  <c r="AI8" i="113"/>
  <c r="X8" i="113"/>
  <c r="X9" i="113"/>
  <c r="AI9" i="113"/>
  <c r="AI10" i="113"/>
  <c r="X10" i="113"/>
  <c r="X11" i="113"/>
  <c r="AI11" i="113"/>
  <c r="AI12" i="113"/>
  <c r="X12" i="113"/>
  <c r="X13" i="113"/>
  <c r="AI13" i="113"/>
  <c r="AI14" i="113"/>
  <c r="X14" i="113"/>
  <c r="X15" i="113"/>
  <c r="AI15" i="113"/>
  <c r="AI16" i="113"/>
  <c r="X16" i="113"/>
  <c r="X17" i="113"/>
  <c r="C6" i="113" s="1"/>
  <c r="AI17" i="113"/>
  <c r="D6" i="113" s="1"/>
  <c r="X18" i="113"/>
  <c r="C7" i="113" s="1"/>
  <c r="AI18" i="113"/>
  <c r="D7" i="113" s="1"/>
  <c r="X19" i="113"/>
  <c r="C8" i="113" s="1"/>
  <c r="AI19" i="113"/>
  <c r="D8" i="113" s="1"/>
  <c r="X20" i="113"/>
  <c r="C9" i="113" s="1"/>
  <c r="AI20" i="113"/>
  <c r="D9" i="113" s="1"/>
  <c r="X21" i="113"/>
  <c r="C10" i="113" s="1"/>
  <c r="AI21" i="113"/>
  <c r="D10" i="113" s="1"/>
  <c r="X22" i="113"/>
  <c r="C11" i="113" s="1"/>
  <c r="AI22" i="113"/>
  <c r="D11" i="113" s="1"/>
  <c r="X23" i="113"/>
  <c r="C12" i="113" s="1"/>
  <c r="AI23" i="113"/>
  <c r="D12" i="113" s="1"/>
  <c r="X24" i="113"/>
  <c r="C13" i="113" s="1"/>
  <c r="AI24" i="113"/>
  <c r="D13" i="113" s="1"/>
  <c r="X25" i="113"/>
  <c r="C14" i="113" s="1"/>
  <c r="AI25" i="113"/>
  <c r="D14" i="113" s="1"/>
  <c r="F31" i="42"/>
  <c r="P28" i="46"/>
  <c r="AJ7" i="80"/>
  <c r="AJ8" i="80"/>
  <c r="AJ9" i="80"/>
  <c r="AJ10" i="80"/>
  <c r="AJ11" i="80"/>
  <c r="AJ12" i="80"/>
  <c r="AJ13" i="80"/>
  <c r="AJ14" i="80"/>
  <c r="AJ15" i="80"/>
  <c r="AJ16" i="80"/>
  <c r="AJ17" i="80"/>
  <c r="AJ18" i="80"/>
  <c r="AJ19" i="80"/>
  <c r="AJ20" i="80"/>
  <c r="AJ21" i="80"/>
  <c r="AJ22" i="80"/>
  <c r="AJ23" i="80"/>
  <c r="AJ24" i="80"/>
  <c r="AJ25" i="80"/>
  <c r="AJ26" i="80"/>
  <c r="AJ27" i="80"/>
  <c r="AJ28" i="80"/>
  <c r="AJ29" i="80"/>
  <c r="AJ30" i="80"/>
  <c r="AJ31" i="80"/>
  <c r="AJ32" i="80"/>
  <c r="AJ33" i="80"/>
  <c r="AJ34" i="80"/>
  <c r="AJ35" i="80"/>
  <c r="D7" i="80"/>
  <c r="M9" i="46"/>
  <c r="M10" i="46"/>
  <c r="M11" i="46"/>
  <c r="M12" i="46"/>
  <c r="M13" i="46"/>
  <c r="M14" i="46"/>
  <c r="M15" i="46"/>
  <c r="M16" i="46"/>
  <c r="M17" i="46"/>
  <c r="M18" i="46"/>
  <c r="M19" i="46"/>
  <c r="M20" i="46"/>
  <c r="M21" i="46"/>
  <c r="M22" i="46"/>
  <c r="M23" i="46"/>
  <c r="M24" i="46"/>
  <c r="M25" i="46"/>
  <c r="D6" i="80"/>
  <c r="M26" i="46"/>
  <c r="M27" i="46"/>
  <c r="M28" i="46"/>
  <c r="E14" i="113" l="1"/>
  <c r="F14" i="113" s="1"/>
  <c r="E13" i="113"/>
  <c r="F13" i="113" s="1"/>
  <c r="E12" i="113"/>
  <c r="F12" i="113" s="1"/>
  <c r="E11" i="113"/>
  <c r="F11" i="113" s="1"/>
  <c r="E10" i="113"/>
  <c r="F10" i="113" s="1"/>
  <c r="E9" i="113"/>
  <c r="F9" i="113" s="1"/>
  <c r="E8" i="113"/>
  <c r="F8" i="113" s="1"/>
  <c r="E7" i="113"/>
  <c r="F7" i="113" s="1"/>
  <c r="E6" i="113"/>
  <c r="F6" i="113" s="1"/>
  <c r="L17" i="46"/>
  <c r="Q17" i="46" s="1"/>
  <c r="L16" i="46"/>
  <c r="Q16" i="46" s="1"/>
  <c r="L15" i="46"/>
  <c r="Q15" i="46" s="1"/>
  <c r="L14" i="46"/>
  <c r="Q14" i="46" s="1"/>
  <c r="L13" i="46"/>
  <c r="Q13" i="46" s="1"/>
  <c r="L12" i="46"/>
  <c r="Q12" i="46" s="1"/>
  <c r="L11" i="46"/>
  <c r="Q11" i="46" s="1"/>
  <c r="L10" i="46"/>
  <c r="Q10" i="46" s="1"/>
  <c r="L9" i="46"/>
  <c r="Q9" i="46" s="1"/>
  <c r="L8" i="46"/>
  <c r="R17" i="46"/>
  <c r="R16" i="46"/>
  <c r="R15" i="46"/>
  <c r="R14" i="46"/>
  <c r="R13" i="46"/>
  <c r="R12" i="46"/>
  <c r="R11" i="46"/>
  <c r="R10" i="46"/>
  <c r="R9" i="46"/>
  <c r="X26" i="113" l="1"/>
  <c r="C15" i="113" s="1"/>
  <c r="AI26" i="113"/>
  <c r="D15" i="113" s="1"/>
  <c r="AI27" i="113"/>
  <c r="X27" i="113"/>
  <c r="X28" i="113"/>
  <c r="AI28" i="113"/>
  <c r="AI29" i="113"/>
  <c r="X29" i="113"/>
  <c r="X30" i="113"/>
  <c r="AI30" i="113"/>
  <c r="AI31" i="113"/>
  <c r="X31" i="113"/>
  <c r="X32" i="113"/>
  <c r="AI32" i="113"/>
  <c r="AI33" i="113"/>
  <c r="X33" i="113"/>
  <c r="X34" i="113"/>
  <c r="AI34" i="113"/>
  <c r="AI35" i="113"/>
  <c r="X35" i="113"/>
  <c r="C16" i="113"/>
  <c r="D16" i="113"/>
  <c r="E16" i="113"/>
  <c r="F16" i="113"/>
  <c r="C17" i="113"/>
  <c r="D17" i="113"/>
  <c r="E17" i="113"/>
  <c r="L19" i="46" s="1"/>
  <c r="F17" i="113"/>
  <c r="C18" i="113"/>
  <c r="D18" i="113"/>
  <c r="E18" i="113"/>
  <c r="L20" i="46" s="1"/>
  <c r="F18" i="113"/>
  <c r="C19" i="113"/>
  <c r="D19" i="113"/>
  <c r="E19" i="113"/>
  <c r="L21" i="46" s="1"/>
  <c r="F19" i="113"/>
  <c r="C20" i="113"/>
  <c r="D20" i="113"/>
  <c r="E20" i="113"/>
  <c r="L22" i="46" s="1"/>
  <c r="F20" i="113"/>
  <c r="C21" i="113"/>
  <c r="D21" i="113"/>
  <c r="E21" i="113"/>
  <c r="L23" i="46" s="1"/>
  <c r="F21" i="113"/>
  <c r="C22" i="113"/>
  <c r="D22" i="113"/>
  <c r="E22" i="113"/>
  <c r="L24" i="46" s="1"/>
  <c r="F22" i="113"/>
  <c r="C23" i="113"/>
  <c r="D23" i="113"/>
  <c r="E23" i="113"/>
  <c r="L25" i="46" s="1"/>
  <c r="F23" i="113"/>
  <c r="C24" i="113"/>
  <c r="D24" i="113"/>
  <c r="E24" i="113"/>
  <c r="L26" i="46" s="1"/>
  <c r="F24" i="113"/>
  <c r="Q23" i="46"/>
  <c r="Q24" i="46"/>
  <c r="Q25" i="46"/>
  <c r="Q26" i="46"/>
  <c r="Q19" i="46"/>
  <c r="Q20" i="46"/>
  <c r="Q21" i="46"/>
  <c r="Q22" i="46"/>
  <c r="R26" i="46"/>
  <c r="R25" i="46"/>
  <c r="R24" i="46"/>
  <c r="R23" i="46"/>
  <c r="R22" i="46"/>
  <c r="R21" i="46"/>
  <c r="R20" i="46"/>
  <c r="R19" i="46"/>
  <c r="E15" i="113" l="1"/>
  <c r="F15" i="113" l="1"/>
  <c r="L18" i="46"/>
  <c r="Q18" i="46" l="1"/>
  <c r="R18" i="46"/>
  <c r="AJ36" i="80" l="1"/>
  <c r="AI36" i="113"/>
  <c r="D25" i="113"/>
  <c r="L27" i="46"/>
  <c r="Q27" i="46"/>
  <c r="R27" i="46"/>
  <c r="X36" i="30"/>
  <c r="C25" i="30"/>
  <c r="E25" i="30"/>
  <c r="K28" i="46"/>
  <c r="F25" i="30"/>
  <c r="F26" i="30"/>
  <c r="X36" i="113"/>
  <c r="C25" i="113"/>
  <c r="E25" i="113"/>
  <c r="L28" i="46"/>
  <c r="F25" i="113"/>
  <c r="F26" i="113"/>
  <c r="Q28" i="46"/>
  <c r="R28" i="46"/>
  <c r="W7" i="80"/>
  <c r="W8" i="80"/>
  <c r="W9" i="80"/>
  <c r="W10" i="80"/>
  <c r="W11" i="80"/>
  <c r="W12" i="80"/>
  <c r="W13" i="80"/>
  <c r="W14" i="80"/>
  <c r="W15" i="80"/>
  <c r="W16" i="80"/>
  <c r="W17" i="80"/>
  <c r="W18" i="80"/>
  <c r="W19" i="80"/>
  <c r="W20" i="80"/>
  <c r="W21" i="80"/>
  <c r="W22" i="80"/>
  <c r="W23" i="80"/>
  <c r="W24" i="80"/>
  <c r="W25" i="80"/>
  <c r="W26" i="80"/>
  <c r="W27" i="80"/>
  <c r="W28" i="80"/>
  <c r="W29" i="80"/>
  <c r="W30" i="80"/>
  <c r="W31" i="80"/>
  <c r="W32" i="80"/>
  <c r="W33" i="80"/>
  <c r="W34" i="80"/>
  <c r="W35" i="80"/>
  <c r="W36" i="80"/>
  <c r="C7" i="80"/>
  <c r="C6" i="80"/>
  <c r="E7" i="80"/>
  <c r="M8" i="46"/>
  <c r="F7" i="80"/>
  <c r="E6" i="80"/>
  <c r="M7" i="46"/>
  <c r="R7" i="46" s="1"/>
  <c r="Q7" i="46"/>
  <c r="F6" i="80"/>
  <c r="F8" i="80"/>
  <c r="Q8" i="46"/>
  <c r="R8" i="46"/>
  <c r="Q31" i="46"/>
  <c r="R31" i="46"/>
  <c r="D65" i="46"/>
  <c r="D73" i="46"/>
  <c r="D67" i="46"/>
  <c r="D68" i="46"/>
  <c r="D75" i="46"/>
  <c r="D76" i="46"/>
  <c r="X7"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<sst xmlns="http://schemas.openxmlformats.org/spreadsheetml/2006/main" count="6893" uniqueCount="1023">
  <si>
    <t>Analysis Year</t>
  </si>
  <si>
    <t>Total Benefit</t>
  </si>
  <si>
    <t>NOTES:</t>
  </si>
  <si>
    <t>RCV</t>
  </si>
  <si>
    <t>BENEFITS</t>
  </si>
  <si>
    <t>COSTS</t>
  </si>
  <si>
    <t>Economic Competitiveness</t>
  </si>
  <si>
    <t>Safety</t>
  </si>
  <si>
    <t>Benefits</t>
  </si>
  <si>
    <t>Costs</t>
  </si>
  <si>
    <t>B/C Ratio</t>
  </si>
  <si>
    <t>SUMMARY</t>
  </si>
  <si>
    <t>Build</t>
  </si>
  <si>
    <t>Service Life</t>
  </si>
  <si>
    <t>1)</t>
  </si>
  <si>
    <t>2)</t>
  </si>
  <si>
    <t>3)</t>
  </si>
  <si>
    <t>5)</t>
  </si>
  <si>
    <t>Years of Benefit-Cost Analysis Period</t>
  </si>
  <si>
    <t>Truck Vehicle Occupancy</t>
  </si>
  <si>
    <t>Travel Time Cost Savings</t>
  </si>
  <si>
    <t>Environmental Sustainability</t>
  </si>
  <si>
    <t>Year</t>
  </si>
  <si>
    <t>NPV</t>
  </si>
  <si>
    <t xml:space="preserve">Capital Costs    </t>
  </si>
  <si>
    <t>No-Build</t>
  </si>
  <si>
    <t>Reduction in the Annual Cost of Crashes</t>
  </si>
  <si>
    <t>Motorcycle</t>
  </si>
  <si>
    <t>No Build Annual Crash Cost</t>
  </si>
  <si>
    <t>Build Annual Crash Cost</t>
  </si>
  <si>
    <t>Location</t>
  </si>
  <si>
    <t>Cost</t>
  </si>
  <si>
    <t>Operation and Maintenance Savings</t>
  </si>
  <si>
    <t>Remaining Capital Value</t>
  </si>
  <si>
    <t>Total Cost:</t>
  </si>
  <si>
    <t>AADT</t>
  </si>
  <si>
    <t>Build Travel Time Cost</t>
  </si>
  <si>
    <t>Truck Travel Time Cost (per hour)</t>
  </si>
  <si>
    <t>Truck Percentage</t>
  </si>
  <si>
    <t>Vehicle Hours Traveled (VHT)</t>
  </si>
  <si>
    <t>All-Purpose Travel Time Cost (per hour)</t>
  </si>
  <si>
    <t>Auto Percentage</t>
  </si>
  <si>
    <t>Auto Vehicle Occupancy</t>
  </si>
  <si>
    <t>Table 2 - Fleet Composition</t>
  </si>
  <si>
    <t>No Build Annual VHT</t>
  </si>
  <si>
    <t>Build Annual VHT</t>
  </si>
  <si>
    <t>Type</t>
  </si>
  <si>
    <t>Current Year</t>
  </si>
  <si>
    <t>Vehicle Operating Costs</t>
  </si>
  <si>
    <t>Corridor Wide Annual Growth Rate</t>
  </si>
  <si>
    <t>State of Good Repair</t>
  </si>
  <si>
    <t>Project Component</t>
  </si>
  <si>
    <t>Maintenance and Significant Rehab Cost Savings</t>
  </si>
  <si>
    <t>Total Crash Cost Impacts</t>
  </si>
  <si>
    <t>Trucks</t>
  </si>
  <si>
    <t>Route Description</t>
  </si>
  <si>
    <t>No Build Annual VMT</t>
  </si>
  <si>
    <t>Build Annual VMT</t>
  </si>
  <si>
    <t>No Build Vehicle Operating Cost</t>
  </si>
  <si>
    <t>Build Vehicle Operating Cost</t>
  </si>
  <si>
    <t>Vehicle Operating Cost Savings</t>
  </si>
  <si>
    <r>
      <t>CO</t>
    </r>
    <r>
      <rPr>
        <b/>
        <vertAlign val="subscript"/>
        <sz val="11"/>
        <color theme="1"/>
        <rFont val="Calibri"/>
        <family val="2"/>
        <scheme val="minor"/>
      </rPr>
      <t>2</t>
    </r>
    <r>
      <rPr>
        <b/>
        <sz val="11"/>
        <color theme="1"/>
        <rFont val="Calibri"/>
        <family val="2"/>
        <scheme val="minor"/>
      </rPr>
      <t xml:space="preserve"> Savings Estimations</t>
    </r>
  </si>
  <si>
    <t>Total (Carbon + Other Emissions)</t>
  </si>
  <si>
    <t>Subtotal</t>
  </si>
  <si>
    <t>Mode</t>
  </si>
  <si>
    <r>
      <t>NO</t>
    </r>
    <r>
      <rPr>
        <b/>
        <vertAlign val="subscript"/>
        <sz val="11"/>
        <color theme="1"/>
        <rFont val="Calibri"/>
        <family val="2"/>
        <scheme val="minor"/>
      </rPr>
      <t>X</t>
    </r>
  </si>
  <si>
    <r>
      <t>SO</t>
    </r>
    <r>
      <rPr>
        <b/>
        <vertAlign val="subscript"/>
        <sz val="11"/>
        <color theme="1"/>
        <rFont val="Calibri"/>
        <family val="2"/>
        <scheme val="minor"/>
      </rPr>
      <t>2</t>
    </r>
  </si>
  <si>
    <r>
      <t>PM</t>
    </r>
    <r>
      <rPr>
        <b/>
        <vertAlign val="subscript"/>
        <sz val="11"/>
        <color theme="1"/>
        <rFont val="Calibri"/>
        <family val="2"/>
        <scheme val="minor"/>
      </rPr>
      <t>2.5</t>
    </r>
  </si>
  <si>
    <r>
      <t>CO</t>
    </r>
    <r>
      <rPr>
        <b/>
        <vertAlign val="subscript"/>
        <sz val="11"/>
        <color theme="1"/>
        <rFont val="Calibri"/>
        <family val="2"/>
        <scheme val="minor"/>
      </rPr>
      <t>2</t>
    </r>
  </si>
  <si>
    <t>Source Type</t>
  </si>
  <si>
    <t>HPMS Description</t>
  </si>
  <si>
    <t>Auto/Truck</t>
  </si>
  <si>
    <t>Automobile</t>
  </si>
  <si>
    <t>Auto</t>
  </si>
  <si>
    <t>Light-Duty Vehicle</t>
  </si>
  <si>
    <t>Buses</t>
  </si>
  <si>
    <t>Truck</t>
  </si>
  <si>
    <t>Single-Unit Truck</t>
  </si>
  <si>
    <t>Combination Truck</t>
  </si>
  <si>
    <t>Delta VMT Car</t>
  </si>
  <si>
    <t>Delta VMT Truck</t>
  </si>
  <si>
    <t>Comparison</t>
  </si>
  <si>
    <t>Total Crash Cost</t>
  </si>
  <si>
    <t>Table 1 - Crash Cost Assumptions</t>
  </si>
  <si>
    <t>Table 1 - Annual Vehicle Miles Traveled by Vehicle Type</t>
  </si>
  <si>
    <t>Table 2 - Pollution Emission by Mode (g/VMT)</t>
  </si>
  <si>
    <t>Table 3 - Damage Costs for Emissions per metric ton</t>
  </si>
  <si>
    <t>Table 4 - MOVES Model Output (grams per VMT)</t>
  </si>
  <si>
    <t>Table 5 - Aggregated MOVES Model Output (grams per VMT)</t>
  </si>
  <si>
    <t>SUMMARY (ROUNDED)</t>
  </si>
  <si>
    <t>Percent Autos</t>
  </si>
  <si>
    <t>Percent Trucks</t>
  </si>
  <si>
    <t>Auto Occupancy</t>
  </si>
  <si>
    <t>Truck Occupancy</t>
  </si>
  <si>
    <t>Number of Days in a Year</t>
  </si>
  <si>
    <t>Value of Time - Truck Travel</t>
  </si>
  <si>
    <t>Cost per Mile - Auto</t>
  </si>
  <si>
    <t>Cost per Mile - Truck</t>
  </si>
  <si>
    <t>4)</t>
  </si>
  <si>
    <t>Capital Cost</t>
  </si>
  <si>
    <t>Number of Months</t>
  </si>
  <si>
    <t>Construction Travel Time Impacts</t>
  </si>
  <si>
    <t>CMF Star Rating</t>
  </si>
  <si>
    <t>Applicable Crash Severity</t>
  </si>
  <si>
    <t>All</t>
  </si>
  <si>
    <t>CMF Value</t>
  </si>
  <si>
    <t xml:space="preserve">CMF ID: </t>
  </si>
  <si>
    <r>
      <t>Yearly Emissions Savings for Only CO</t>
    </r>
    <r>
      <rPr>
        <vertAlign val="subscript"/>
        <sz val="11"/>
        <color theme="1"/>
        <rFont val="Calibri"/>
        <family val="2"/>
        <scheme val="minor"/>
      </rPr>
      <t>2</t>
    </r>
  </si>
  <si>
    <t>Yearly Emissions Savings (Without CO2)</t>
  </si>
  <si>
    <t>Conversion Factor</t>
  </si>
  <si>
    <t>Applicable Manner of Collision</t>
  </si>
  <si>
    <t>Factor</t>
  </si>
  <si>
    <r>
      <t>Air quality  CO</t>
    </r>
    <r>
      <rPr>
        <vertAlign val="subscript"/>
        <sz val="11"/>
        <color theme="1"/>
        <rFont val="Calibri"/>
        <family val="2"/>
        <scheme val="minor"/>
      </rPr>
      <t>2</t>
    </r>
  </si>
  <si>
    <r>
      <t>Air quality (no CO</t>
    </r>
    <r>
      <rPr>
        <vertAlign val="subscript"/>
        <sz val="11"/>
        <color theme="1"/>
        <rFont val="Calibri"/>
        <family val="2"/>
        <scheme val="minor"/>
      </rPr>
      <t>2</t>
    </r>
    <r>
      <rPr>
        <sz val="11"/>
        <color theme="1"/>
        <rFont val="Calibri"/>
        <family val="2"/>
        <scheme val="minor"/>
      </rPr>
      <t>)</t>
    </r>
  </si>
  <si>
    <r>
      <t>Change in CO</t>
    </r>
    <r>
      <rPr>
        <vertAlign val="subscript"/>
        <sz val="11"/>
        <color theme="1"/>
        <rFont val="Calibri"/>
        <family val="2"/>
        <scheme val="minor"/>
      </rPr>
      <t xml:space="preserve">2 </t>
    </r>
    <r>
      <rPr>
        <sz val="11"/>
        <color theme="1"/>
        <rFont val="Calibri"/>
        <family val="2"/>
        <scheme val="minor"/>
      </rPr>
      <t>(metric tons)</t>
    </r>
  </si>
  <si>
    <r>
      <t>Change in NO</t>
    </r>
    <r>
      <rPr>
        <vertAlign val="subscript"/>
        <sz val="11"/>
        <color theme="1"/>
        <rFont val="Calibri"/>
        <family val="2"/>
        <scheme val="minor"/>
      </rPr>
      <t>x</t>
    </r>
    <r>
      <rPr>
        <sz val="11"/>
        <color theme="1"/>
        <rFont val="Calibri"/>
        <family val="2"/>
        <scheme val="minor"/>
      </rPr>
      <t xml:space="preserve"> (metric tons)</t>
    </r>
  </si>
  <si>
    <r>
      <t>Change in SO</t>
    </r>
    <r>
      <rPr>
        <vertAlign val="subscript"/>
        <sz val="11"/>
        <color theme="1"/>
        <rFont val="Calibri"/>
        <family val="2"/>
        <scheme val="minor"/>
      </rPr>
      <t>2</t>
    </r>
    <r>
      <rPr>
        <sz val="11"/>
        <color theme="1"/>
        <rFont val="Calibri"/>
        <family val="2"/>
        <scheme val="minor"/>
      </rPr>
      <t xml:space="preserve">
(metric tons)</t>
    </r>
  </si>
  <si>
    <r>
      <t>Change in PM</t>
    </r>
    <r>
      <rPr>
        <vertAlign val="subscript"/>
        <sz val="11"/>
        <color theme="1"/>
        <rFont val="Calibri"/>
        <family val="2"/>
        <scheme val="minor"/>
      </rPr>
      <t>2.5</t>
    </r>
    <r>
      <rPr>
        <sz val="11"/>
        <color theme="1"/>
        <rFont val="Calibri"/>
        <family val="2"/>
        <scheme val="minor"/>
      </rPr>
      <t xml:space="preserve">
(metric tons)</t>
    </r>
  </si>
  <si>
    <r>
      <t>Change in NO</t>
    </r>
    <r>
      <rPr>
        <vertAlign val="subscript"/>
        <sz val="11"/>
        <color theme="1"/>
        <rFont val="Calibri"/>
        <family val="2"/>
        <scheme val="minor"/>
      </rPr>
      <t>x</t>
    </r>
    <r>
      <rPr>
        <sz val="11"/>
        <color theme="1"/>
        <rFont val="Calibri"/>
        <family val="2"/>
        <scheme val="minor"/>
      </rPr>
      <t xml:space="preserve"> ($)</t>
    </r>
  </si>
  <si>
    <r>
      <t>Change in SO</t>
    </r>
    <r>
      <rPr>
        <vertAlign val="subscript"/>
        <sz val="11"/>
        <color theme="1"/>
        <rFont val="Calibri"/>
        <family val="2"/>
        <scheme val="minor"/>
      </rPr>
      <t xml:space="preserve">2 </t>
    </r>
    <r>
      <rPr>
        <sz val="11"/>
        <color theme="1"/>
        <rFont val="Calibri"/>
        <family val="2"/>
        <scheme val="minor"/>
      </rPr>
      <t>($)</t>
    </r>
  </si>
  <si>
    <r>
      <t>Change in PM</t>
    </r>
    <r>
      <rPr>
        <vertAlign val="subscript"/>
        <sz val="11"/>
        <color theme="1"/>
        <rFont val="Calibri"/>
        <family val="2"/>
        <scheme val="minor"/>
      </rPr>
      <t xml:space="preserve">2.5 </t>
    </r>
    <r>
      <rPr>
        <sz val="11"/>
        <color theme="1"/>
        <rFont val="Calibri"/>
        <family val="2"/>
        <scheme val="minor"/>
      </rPr>
      <t>($)</t>
    </r>
  </si>
  <si>
    <t>Route Length (mi)</t>
  </si>
  <si>
    <t>Travel Time (min)</t>
  </si>
  <si>
    <t>STATE OF GOOD REPAIR - CAPITAL COST AND RESIDUAL PROJECT VALUE</t>
  </si>
  <si>
    <t>Description</t>
  </si>
  <si>
    <t>ECONOMIC COMPETITIVENESS - USER BENEFIT CALCULATION OF VEHICLE OPERATING COST</t>
  </si>
  <si>
    <t>Segment Length (mi)</t>
  </si>
  <si>
    <t>Segment Number</t>
  </si>
  <si>
    <t>ECONOMIC COMPETITIVENESS - TRAVEL TIME SAVINGS</t>
  </si>
  <si>
    <t>Scenario</t>
  </si>
  <si>
    <t>Existing Year</t>
  </si>
  <si>
    <r>
      <t>NO</t>
    </r>
    <r>
      <rPr>
        <vertAlign val="subscript"/>
        <sz val="11"/>
        <color theme="1"/>
        <rFont val="Calibri"/>
        <family val="2"/>
        <scheme val="minor"/>
      </rPr>
      <t>X</t>
    </r>
  </si>
  <si>
    <r>
      <t>SO</t>
    </r>
    <r>
      <rPr>
        <vertAlign val="subscript"/>
        <sz val="11"/>
        <color theme="1"/>
        <rFont val="Calibri"/>
        <family val="2"/>
        <scheme val="minor"/>
      </rPr>
      <t>2</t>
    </r>
  </si>
  <si>
    <r>
      <t>PM</t>
    </r>
    <r>
      <rPr>
        <vertAlign val="subscript"/>
        <sz val="11"/>
        <color theme="1"/>
        <rFont val="Calibri"/>
        <family val="2"/>
        <scheme val="minor"/>
      </rPr>
      <t>2.5</t>
    </r>
  </si>
  <si>
    <r>
      <t>CO</t>
    </r>
    <r>
      <rPr>
        <vertAlign val="subscript"/>
        <sz val="11"/>
        <color theme="1"/>
        <rFont val="Calibri"/>
        <family val="2"/>
        <scheme val="minor"/>
      </rPr>
      <t>2</t>
    </r>
  </si>
  <si>
    <t>Denotes Data Input Cell</t>
  </si>
  <si>
    <t>Denotes Calculation Cell</t>
  </si>
  <si>
    <t>Table 1 shows the color coding system used in this BCA Workbook. This color system is used to maintain workbook clarity.</t>
  </si>
  <si>
    <t>6)</t>
  </si>
  <si>
    <t>Total Benefit:</t>
  </si>
  <si>
    <t>Google Maps</t>
  </si>
  <si>
    <t>Data Source:</t>
  </si>
  <si>
    <t>Annual Growth Rate</t>
  </si>
  <si>
    <t>Existing Year Heavy Vehicle AADT</t>
  </si>
  <si>
    <t>Build Route</t>
  </si>
  <si>
    <t>Construction Vehicle Operating Cost Impacts</t>
  </si>
  <si>
    <t>Table 2 - Analysis Timeframe Assumptions</t>
  </si>
  <si>
    <t>Table 3 - Network Assumptions</t>
  </si>
  <si>
    <t>Table 4 - Global Assumptions and Factors</t>
  </si>
  <si>
    <t>Travel Time impacts were monetized assuming 365 weekdays per year to correspond with the weekday and recreational weekend travel results of traffic operations analysis.</t>
  </si>
  <si>
    <t>Table 1 - Workbook Input Cell and Calculation Cell Denotation</t>
  </si>
  <si>
    <t>ECONOMIC COMPETITIVENESS - TRAVEL TIME IMPACTS DURING CONSTRUCTION</t>
  </si>
  <si>
    <t>Discount Rate</t>
  </si>
  <si>
    <t>Operating cost impacts were monetized assuming 365 weekdays per year to correspond with the weekday and recreational weekend travel results of traffic operations analysis.</t>
  </si>
  <si>
    <t>ECONOMIC COMPETITIVENESS - USER BENEFIT CALCULATION OF VEHICLE OPERATING COST DURING CONSTRUCTION</t>
  </si>
  <si>
    <t>7)</t>
  </si>
  <si>
    <t>Table 6 - Assumed Number of Construction Months</t>
  </si>
  <si>
    <t>STATE OF GOOD REPAIR - OPERATION &amp; MAINTENANCE + REHAB</t>
  </si>
  <si>
    <r>
      <t>CO</t>
    </r>
    <r>
      <rPr>
        <vertAlign val="subscript"/>
        <sz val="11"/>
        <color theme="1"/>
        <rFont val="Calibri"/>
        <family val="2"/>
        <scheme val="minor"/>
      </rPr>
      <t>2</t>
    </r>
    <r>
      <rPr>
        <sz val="11"/>
        <color theme="1"/>
        <rFont val="Calibri"/>
        <family val="2"/>
        <scheme val="minor"/>
      </rPr>
      <t xml:space="preserve"> Discounted at 2%</t>
    </r>
  </si>
  <si>
    <r>
      <t>Discount Rate for CO</t>
    </r>
    <r>
      <rPr>
        <vertAlign val="subscript"/>
        <sz val="11"/>
        <rFont val="Calibri"/>
        <family val="2"/>
        <scheme val="minor"/>
      </rPr>
      <t>2</t>
    </r>
  </si>
  <si>
    <t>Value of Time - All-Purpose Travel (Personal + Business)</t>
  </si>
  <si>
    <t>Value of Time - All-Purpose Travel (Long-Distance/Intercity, &gt;50 miles)</t>
  </si>
  <si>
    <t>The present value of all benefits and costs was calculated using 2022 as the year of current dollars. This analysis was completed using an assumed discount rate of 3.1 percent.</t>
  </si>
  <si>
    <t>The value of time, vehicle operating costs, emissions costs, and cost of crashes were obtained from the Benefit Cost Analysis Guidance for Discretionary Grant Programs, dated December 2023 (https://www.transportation.gov/sites/dot.gov/files/2023-12/Benefit%20Cost%20Analysis%20Guidance%202024%20Update.pdf).</t>
  </si>
  <si>
    <t>Project Length (miles)</t>
  </si>
  <si>
    <t>Composite Value of Time</t>
  </si>
  <si>
    <t>per person per hour</t>
  </si>
  <si>
    <t>per vehicle per hour</t>
  </si>
  <si>
    <t>per car per hour</t>
  </si>
  <si>
    <t>per truck per hour</t>
  </si>
  <si>
    <t>Composite Cost per Mile</t>
  </si>
  <si>
    <t>3.1% Discount Total (Carbon discounted at 2%)</t>
  </si>
  <si>
    <t>Total (3.1% Discount)</t>
  </si>
  <si>
    <t>Total Cost Savings
($2022 - Undiscounted)</t>
  </si>
  <si>
    <t>Year for Traffic Volume Forecast</t>
  </si>
  <si>
    <t>Car Route</t>
  </si>
  <si>
    <t>Truck Route</t>
  </si>
  <si>
    <t>Base Year Dollars ($)</t>
  </si>
  <si>
    <t>No Build - Original Route</t>
  </si>
  <si>
    <t>Detour Route</t>
  </si>
  <si>
    <t>Composite Travel Time Cost</t>
  </si>
  <si>
    <t>Vehicle occupancy assumptions, and the value of time used in this analysis is consistent with values and methodology presented in the USDOT (US Department of Transportation) Benefit Cost Analysis Guidance for Discretionary Grant Programs, dated December 2023.</t>
  </si>
  <si>
    <t>Table 3 - No Build Vehicle Routing Assumptions (Original Route)</t>
  </si>
  <si>
    <t>Table 3 - Vehicle Occupancy Assumptions</t>
  </si>
  <si>
    <t xml:space="preserve">Table 4 - Composite Costs </t>
  </si>
  <si>
    <t>Table 5 - Annual VHT</t>
  </si>
  <si>
    <t>3.1% Discount</t>
  </si>
  <si>
    <t>Table 1 - Per-Hour Vehicle Travel Cost by Mode</t>
  </si>
  <si>
    <t>Table 1 - Per-Mile Cost by Mode</t>
  </si>
  <si>
    <t xml:space="preserve">Table 3 - Composite Costs </t>
  </si>
  <si>
    <t>Table 4 - Annual VMT</t>
  </si>
  <si>
    <t>The per-mile vehicle operating cost used in this analysis is consistent with values and methodology presented in the USDOT (US Department of Transportation) Benefit Cost Analysis Guidance for Discretionary Grant Programs, dated December 2023.</t>
  </si>
  <si>
    <t>Travel time data along assumed routes was obtained from Google Maps. The assumed travel time along each route used in this analysis is the travel time "without traffic". Refer to the hyper links of Google Maps routes on the Traffic Volume and Route Data tab to view these routes.</t>
  </si>
  <si>
    <t>First Year of Construction</t>
  </si>
  <si>
    <t>Years of Construction</t>
  </si>
  <si>
    <t>Final Year of Benefit</t>
  </si>
  <si>
    <t>Travel Time impacts were monetized assuming 365 weekdays per year to correspond with the weekday and recreational weekend travel results of traffic operations analysis. Travel Time impacts did not include the years of construction. See the Travel Time Construction tab for more information.</t>
  </si>
  <si>
    <t>First Full Year of Benefit</t>
  </si>
  <si>
    <t>Table 5 - Assumed Number of Construction Months</t>
  </si>
  <si>
    <t>*Note on Emission Cost per Metric Ton: Damage costs for emissions in years beyond 2053 assume costs provided for year 2053.</t>
  </si>
  <si>
    <t>Total change in emissions was valued in accordance with the Benefit Cost Analysis Guidance for Discretionary Grant Programs, dated December 2023.</t>
  </si>
  <si>
    <t>No Build Total Travel Time Cost</t>
  </si>
  <si>
    <t>No Build Total Annual VHT</t>
  </si>
  <si>
    <t>No Build Total Annual VMT</t>
  </si>
  <si>
    <t>Build Annual VMT During Construction Months</t>
  </si>
  <si>
    <t>Build Total Annual VMT</t>
  </si>
  <si>
    <t>Build Annual VMT During Non-Construction Months</t>
  </si>
  <si>
    <t>Delta VMT</t>
  </si>
  <si>
    <t>2% Discount</t>
  </si>
  <si>
    <t xml:space="preserve"> 3.1%Discounted (Carbon Discounted @ 2%)</t>
  </si>
  <si>
    <t>ENVIRONMENTAL SUSTAINABILITY - AIR QUALITY, INCLUDING CONSTRUCTION YEARS</t>
  </si>
  <si>
    <t>Project Corridor</t>
  </si>
  <si>
    <t>Years of Crash Data</t>
  </si>
  <si>
    <t xml:space="preserve"> Is Corridor Open?</t>
  </si>
  <si>
    <t>Safety Improvements Made?</t>
  </si>
  <si>
    <t>PDO</t>
  </si>
  <si>
    <t>RCV (2022 $)</t>
  </si>
  <si>
    <t>Original AADT</t>
  </si>
  <si>
    <t>Additional AADT</t>
  </si>
  <si>
    <t>Total (Sum and Average)</t>
  </si>
  <si>
    <t>PDO Crashes</t>
  </si>
  <si>
    <t>Crash Data Source</t>
  </si>
  <si>
    <r>
      <rPr>
        <b/>
        <sz val="11"/>
        <color theme="1"/>
        <rFont val="Calibri"/>
        <family val="2"/>
        <scheme val="minor"/>
      </rPr>
      <t>Note:</t>
    </r>
    <r>
      <rPr>
        <sz val="11"/>
        <color theme="1"/>
        <rFont val="Calibri"/>
        <family val="2"/>
        <scheme val="minor"/>
      </rPr>
      <t xml:space="preserve"> This tab documents crash rate calulations used in network crash cost calculations.</t>
    </r>
  </si>
  <si>
    <t>New PDO Crashes</t>
  </si>
  <si>
    <t>Table 2 - AADT Data within Project Area</t>
  </si>
  <si>
    <t>Construction Year Detours</t>
  </si>
  <si>
    <t>Months of Construction Factor</t>
  </si>
  <si>
    <t>Table 5 - No Build Crashes per Vehicle per Year by Severity</t>
  </si>
  <si>
    <t>Table 6 - Build Crashes per Vehicle per Year by Severity</t>
  </si>
  <si>
    <t>https://mncmat2.dot.state.mn.us/web</t>
  </si>
  <si>
    <t>Link to Minnesota DOT Data Source:</t>
  </si>
  <si>
    <t>Figure 1 - 2019-2023 Crash Data Along Safety Improvement Section of Project Corridor</t>
  </si>
  <si>
    <t>https://www.co.dakota.mn.us/Transportation/PlanningPrograms/Documents/2040TransportationPlan.pdf</t>
  </si>
  <si>
    <t>https://www.google.com/maps/dir/44.6636436,-92.7399235/44.7292932,-92.8225616/@44.6720055,-92.7472118,15.33z/data=!4m2!4m1!3e0?entry=ttu</t>
  </si>
  <si>
    <t>K Crashes</t>
  </si>
  <si>
    <t>A Crashes</t>
  </si>
  <si>
    <t>B Crashes</t>
  </si>
  <si>
    <t>C Crashes</t>
  </si>
  <si>
    <t>New K Crashes</t>
  </si>
  <si>
    <t>New A Crashes</t>
  </si>
  <si>
    <t>New B Crashes</t>
  </si>
  <si>
    <t>New C Crashes</t>
  </si>
  <si>
    <t>K</t>
  </si>
  <si>
    <t>A</t>
  </si>
  <si>
    <t>B</t>
  </si>
  <si>
    <t>C</t>
  </si>
  <si>
    <t>-</t>
  </si>
  <si>
    <t>Table 4 - Applicable Crash Modification Factors</t>
  </si>
  <si>
    <t>Crash cost assumptions for Fatal, Serious Injury, Minor Injury, Possible Injury, and Property Damage Crashes are consistent with values and methodologies published in the Benefit Cost Analysis Guidance for Discretionary Grant Programs, dated December 2023.</t>
  </si>
  <si>
    <t>Dedicated Turn Lanes</t>
  </si>
  <si>
    <t>Pave Shoulders to 8'</t>
  </si>
  <si>
    <t>HSM Table 13-7</t>
  </si>
  <si>
    <t>CMF For Countermeasure: Convert 6-foot Shoulder to 8-foot Shoulder (CMF ID: 5168 Study Citation: Harwood, D.W., et al. "Prediction of the Expected Safety Performance of Rural Two-Lane Highways." Report No. FHWA-RD-99-207. Federal Highway Administration,  2000. The base case in this study involved rural two lane roadways with nominal conditions. For additional details, refer to: https://www.cmfclearinghouse.org/detail.php?facid=5168. This CMF predicts an annual reduction of 13 percent for all applicable crash severities and all crash types.</t>
  </si>
  <si>
    <t>4 of 5</t>
  </si>
  <si>
    <t>SAFETY - CRASH SAVINGS ON CSAH 54 SEGMENT</t>
  </si>
  <si>
    <t>SAFETY - CRASH SAVINGS ON CSAH 54 AND CSAH 68 INTERSECTION</t>
  </si>
  <si>
    <t>ADT</t>
  </si>
  <si>
    <t>Convert Side-Street Stop to Roundabout</t>
  </si>
  <si>
    <t>3 of 5</t>
  </si>
  <si>
    <t>Crash data was obtained through coordination with Dakota County project staff and through the Minnesota MnCMAT2 Tool. This tab monetizes crashes costs along the portion of the project corridor at the intersection of CSAH 54 and CSAH 68.</t>
  </si>
  <si>
    <t>CMF For Countermeasure: Convert Intersection with Minor-Road Stop Control to Modern Roundabout (CMF ID: 229, Study Citation: Rodegerdts, L.A., et al. "Applying Roundabouts in the United States." NCHRP Report 572. Transportation Research Board - National Research Council,  2007. The base case in this study involved a comprehensive evaluation of roundabouts in the United States. For additional details, refer to: https://www.cmfclearinghouse.org/detail.php?facid=229. This CMF predicts an annual reduction of 71 percent for all applicable crash severities and all crash types.</t>
  </si>
  <si>
    <t>All safety benefits were calculated for year 2019 and theoretical year 2040 and interpolated (or extrapolated) based on an annual growth rate to determine total safety benefits over the benefit costs analysis period.</t>
  </si>
  <si>
    <t>Figure 1 - 2019-2023 Crash Data Along the Detour Route for the Project Corridor</t>
  </si>
  <si>
    <t>Table 1 - Economic Factors for Conversion</t>
  </si>
  <si>
    <t>Convert Year 2021 $ to 2022</t>
  </si>
  <si>
    <t>Convert Year 2022 $ to 2022</t>
  </si>
  <si>
    <t>2021 Maintenance Log</t>
  </si>
  <si>
    <t>2022 Maintenance Log</t>
  </si>
  <si>
    <t>Average Annual Maintenance Cost</t>
  </si>
  <si>
    <t>Table 2 - Total Historical Maintenance Costs for CSAH 54</t>
  </si>
  <si>
    <t>Item</t>
  </si>
  <si>
    <t>2" Mill and Overlay</t>
  </si>
  <si>
    <t>Reclaim of Roadway</t>
  </si>
  <si>
    <t>Convert Year 2023 $ to 2022</t>
  </si>
  <si>
    <t>Frequency (Years)</t>
  </si>
  <si>
    <t>Start Year</t>
  </si>
  <si>
    <t>Operation &amp; Maintenance Costs No-Build</t>
  </si>
  <si>
    <t>Maintenance Cost (Present Year)</t>
  </si>
  <si>
    <t>Maintenance Cost ($ 2022)</t>
  </si>
  <si>
    <t>Cost ($ 2023)</t>
  </si>
  <si>
    <t>Cost ($ 2022)</t>
  </si>
  <si>
    <t>Mill and Overlay Costs No-Build</t>
  </si>
  <si>
    <t>Reclaim of Roadway Costs No-Build</t>
  </si>
  <si>
    <t>Table 3 - No Build Rehabillitation Costs for CSAH 54</t>
  </si>
  <si>
    <t>Table 4 - Build Rehabillitation Costs for CSAH 54</t>
  </si>
  <si>
    <t>Total</t>
  </si>
  <si>
    <t>Major Structures</t>
  </si>
  <si>
    <t>Surface</t>
  </si>
  <si>
    <t>Miscellaneous (Sunk)</t>
  </si>
  <si>
    <t>Corridor Crash Cost Savings</t>
  </si>
  <si>
    <t>Intersection Crash Cost Savings</t>
  </si>
  <si>
    <t>Construction Crash Cost Savings</t>
  </si>
  <si>
    <t>Construction Years</t>
  </si>
  <si>
    <t>Build Vs. No Build Years</t>
  </si>
  <si>
    <t>Travel Time (hrs)</t>
  </si>
  <si>
    <t>Vehicle Miles Traveled (VMT)</t>
  </si>
  <si>
    <t>Page 2-18</t>
  </si>
  <si>
    <t>INCIDENTID</t>
  </si>
  <si>
    <t>RTESYSCODE</t>
  </si>
  <si>
    <t>RTENUMBER</t>
  </si>
  <si>
    <t>MEASURE</t>
  </si>
  <si>
    <t>COUNTY_SPATIAL</t>
  </si>
  <si>
    <t>CITY_NAME</t>
  </si>
  <si>
    <t>TOWNSHIP_NAME</t>
  </si>
  <si>
    <t>MNDOT_DISTRICT_SPATIAL</t>
  </si>
  <si>
    <t>STATE_PATROL_DIST_SPATIAL</t>
  </si>
  <si>
    <t>TRIBAL_GOVERNMENT_SPATIAL</t>
  </si>
  <si>
    <t>LOCALID</t>
  </si>
  <si>
    <t>ACCIDENT_NUMBER</t>
  </si>
  <si>
    <t>CRASH_MONTH</t>
  </si>
  <si>
    <t>CRASH_DAY</t>
  </si>
  <si>
    <t>CRASH_YEAR</t>
  </si>
  <si>
    <t>CRASH_DAYOFWEEK</t>
  </si>
  <si>
    <t>CRASH_HOUR</t>
  </si>
  <si>
    <t>DIVIDEDRDWYDIR</t>
  </si>
  <si>
    <t>CRASHSEVERITY</t>
  </si>
  <si>
    <t>NUMBERKILLED</t>
  </si>
  <si>
    <t>NUMBEROFVEHICLES</t>
  </si>
  <si>
    <t>MANNEROFCOLLISION</t>
  </si>
  <si>
    <t>FIRSTHARMFULEVENT</t>
  </si>
  <si>
    <t>RELATIVE_LOC_TRAFFICWAY_CODE</t>
  </si>
  <si>
    <t>RELATIONTOINTERSECTION</t>
  </si>
  <si>
    <t>LIGHTCONDITION</t>
  </si>
  <si>
    <t>WEATHERPRIMARY</t>
  </si>
  <si>
    <t>WEATHERSECONDARY</t>
  </si>
  <si>
    <t>RDWYSURFACE</t>
  </si>
  <si>
    <t>WORKZONETYPE</t>
  </si>
  <si>
    <t>ROADWAY_NAME</t>
  </si>
  <si>
    <t>INTERSECTION_NAME</t>
  </si>
  <si>
    <t>ROUTE_ID</t>
  </si>
  <si>
    <t>BASIC_TYPE</t>
  </si>
  <si>
    <t>UNITTYPEU1</t>
  </si>
  <si>
    <t>VEHICLETYPEU1</t>
  </si>
  <si>
    <t>DIRECTIONU1</t>
  </si>
  <si>
    <t>PRECRASHMANEUVERU1</t>
  </si>
  <si>
    <t>AGEU1</t>
  </si>
  <si>
    <t>SEXU1</t>
  </si>
  <si>
    <t>PHYSICALCONDITIONU1</t>
  </si>
  <si>
    <t>CONTRIBFACTOR1U1</t>
  </si>
  <si>
    <t>CONTRIBFACTOR2U1</t>
  </si>
  <si>
    <t>NONMOTORISTMANEUVERU1</t>
  </si>
  <si>
    <t>NONMOTORISTLOCATIONU1</t>
  </si>
  <si>
    <t>RDWYDESIGNU1</t>
  </si>
  <si>
    <t>TRAFFICCONTROLDEVICEU1</t>
  </si>
  <si>
    <t>SPEEDLIMITU1</t>
  </si>
  <si>
    <t>ALIGNMENTU1</t>
  </si>
  <si>
    <t>GRADEU1</t>
  </si>
  <si>
    <t>UNITTYPEU2</t>
  </si>
  <si>
    <t>VEHICLETYPEU2</t>
  </si>
  <si>
    <t>DIRECTIONU2</t>
  </si>
  <si>
    <t>PRECRASHMANEUVERU2</t>
  </si>
  <si>
    <t>AGEU2</t>
  </si>
  <si>
    <t>SEXU2</t>
  </si>
  <si>
    <t>PHYSICALCONDITIONU2</t>
  </si>
  <si>
    <t>CONTRIBFACTOR1U2</t>
  </si>
  <si>
    <t>CONTRIBFACTOR2U2</t>
  </si>
  <si>
    <t>NONMOTORISTMANEUVERU2</t>
  </si>
  <si>
    <t>NONMOTORISTLOCATIONU2</t>
  </si>
  <si>
    <t>RDWYDESIGNU2</t>
  </si>
  <si>
    <t>TRAFFICCONTROLDEVICEU2</t>
  </si>
  <si>
    <t>SPEEDLIMITU2</t>
  </si>
  <si>
    <t>ALIGNMENTU2</t>
  </si>
  <si>
    <t>GRADEU2</t>
  </si>
  <si>
    <t>UNITTYPEU3</t>
  </si>
  <si>
    <t>VEHICLETYPEU3</t>
  </si>
  <si>
    <t>DIRECTIONU3</t>
  </si>
  <si>
    <t>PRECRASHMANEUVERU3</t>
  </si>
  <si>
    <t>AGEU3</t>
  </si>
  <si>
    <t>SEXU3</t>
  </si>
  <si>
    <t>PHYSICALCONDITIONU3</t>
  </si>
  <si>
    <t>CONTRIBFACTOR1U3</t>
  </si>
  <si>
    <t>CONTRIBFACTOR2U3</t>
  </si>
  <si>
    <t>NONMOTORISTMANEUVERU3</t>
  </si>
  <si>
    <t>NONMOTORISTLOCATIONU3</t>
  </si>
  <si>
    <t>RDWYDESIGNU3</t>
  </si>
  <si>
    <t>TRAFFICCONTROLDEVICEU3</t>
  </si>
  <si>
    <t>SPEEDLIMITU3</t>
  </si>
  <si>
    <t>ALIGNMENTU3</t>
  </si>
  <si>
    <t>GRADEU3</t>
  </si>
  <si>
    <t>UNITTYPEU4</t>
  </si>
  <si>
    <t>VEHICLETYPEU4</t>
  </si>
  <si>
    <t>DIRECTIONU4</t>
  </si>
  <si>
    <t>PRECRASHMANEUVERU4</t>
  </si>
  <si>
    <t>AGEU4</t>
  </si>
  <si>
    <t>SEXU4</t>
  </si>
  <si>
    <t>PHYSICALCONDITIONU4</t>
  </si>
  <si>
    <t>CONTRIBFACTOR1U4</t>
  </si>
  <si>
    <t>CONTRIBFACTOR2U4</t>
  </si>
  <si>
    <t>NONMOTORISTMANEUVERU4</t>
  </si>
  <si>
    <t>NONMOTORISTLOCATIONU4</t>
  </si>
  <si>
    <t>RDWYDESIGNU4</t>
  </si>
  <si>
    <t>TRAFFICCONTROLDEVICEU4</t>
  </si>
  <si>
    <t>SPEEDLIMITU4</t>
  </si>
  <si>
    <t>ALIGNMENTU4</t>
  </si>
  <si>
    <t>GRADEU4</t>
  </si>
  <si>
    <t>UTMX</t>
  </si>
  <si>
    <t>UTMY</t>
  </si>
  <si>
    <t>LATITUDE</t>
  </si>
  <si>
    <t>LONGITUDE</t>
  </si>
  <si>
    <t>CRASH_DATE_TIME</t>
  </si>
  <si>
    <t>STATUS</t>
  </si>
  <si>
    <t>STATUS_NOTE</t>
  </si>
  <si>
    <t>AGENCY_ORI</t>
  </si>
  <si>
    <t>AGENCY_ORI_GROUP</t>
  </si>
  <si>
    <t>NARRATIVE</t>
  </si>
  <si>
    <t>04-CSAH</t>
  </si>
  <si>
    <t>Dakota</t>
  </si>
  <si>
    <t>Ravenna</t>
  </si>
  <si>
    <t>D-METRO</t>
  </si>
  <si>
    <t>Oakdale</t>
  </si>
  <si>
    <t>01-Sun</t>
  </si>
  <si>
    <t>Property Damage Only</t>
  </si>
  <si>
    <t>Sideswipe - Opposing</t>
  </si>
  <si>
    <t>Motor Vehicle In Transport</t>
  </si>
  <si>
    <t>On Roadway (including alley, driveway, etc.)</t>
  </si>
  <si>
    <t>T Intersection</t>
  </si>
  <si>
    <t>Daylight</t>
  </si>
  <si>
    <t>Rain</t>
  </si>
  <si>
    <t>Wet</t>
  </si>
  <si>
    <t>NOT APPLICABLE</t>
  </si>
  <si>
    <t>RAVENNA TR</t>
  </si>
  <si>
    <t>0400006594640054-I</t>
  </si>
  <si>
    <t>Sideswipe Opposing</t>
  </si>
  <si>
    <t>Hit-And-Run Vehicle</t>
  </si>
  <si>
    <t>Westbound</t>
  </si>
  <si>
    <t>Turning Right</t>
  </si>
  <si>
    <t>Two-Way, Not Divided</t>
  </si>
  <si>
    <t>No Controls</t>
  </si>
  <si>
    <t>Straight</t>
  </si>
  <si>
    <t>Level</t>
  </si>
  <si>
    <t>Motor Vehicle in Transport</t>
  </si>
  <si>
    <t>Sport Utility Vehicle</t>
  </si>
  <si>
    <t>Southbound</t>
  </si>
  <si>
    <t>Turning Left</t>
  </si>
  <si>
    <t>Male</t>
  </si>
  <si>
    <t>Apparently Normal</t>
  </si>
  <si>
    <t>No Clear Contributing Action</t>
  </si>
  <si>
    <t>Stop Sign</t>
  </si>
  <si>
    <t>Accepted</t>
  </si>
  <si>
    <t>Reportable</t>
  </si>
  <si>
    <t>Dakota County Sheriff</t>
  </si>
  <si>
    <t>Sheriff</t>
  </si>
  <si>
    <t>Unit 2 was stopped at the stop sign on Ravenna Trail. Driver 2 was waiting to make a left turn to go eastbound 200th Street. Driver 2 stated Unit 1 was speeding and made a wide right turn onto Ravenna Trail from 200th Street. Driver 2 said Unit 1 crossed over centerline and hit his vehicle. 
Driver 2 stated Unit 1 pulled over for a second then took off at a high rate of speed northbound Revanna Trail. Driver 2 said the vehicle was a newer model grey Jeep Grand Cherokee.</t>
  </si>
  <si>
    <t>05-Thu</t>
  </si>
  <si>
    <t>South</t>
  </si>
  <si>
    <t>Minor Injury</t>
  </si>
  <si>
    <t>Ditch</t>
  </si>
  <si>
    <t>On Roadside</t>
  </si>
  <si>
    <t>Sunrise</t>
  </si>
  <si>
    <t>Clear</t>
  </si>
  <si>
    <t>Dry</t>
  </si>
  <si>
    <t>Single Vehicle Run Off Road</t>
  </si>
  <si>
    <t>Passenger Van (Seats Installed Behind Driver)</t>
  </si>
  <si>
    <t>Moving Forward</t>
  </si>
  <si>
    <t>Female</t>
  </si>
  <si>
    <t>Driver Speeding</t>
  </si>
  <si>
    <t>Ran Stop Sign</t>
  </si>
  <si>
    <t>On January 2nd, 2019 I, Deputy James O'Meara #116, was dispatched to a crash with injuries at 200th Street East and Ravenna Trail in Ravenna Township, Dakota County. 
I arrived on scene to find unit one approximately 40 yards into the woods. Unit one appeared to have traveled south on Ravenna Trail, through the stop sign, and across 200th Street East. The vehicle appeared to have locked up it's brakes just prior to the painted white line near the stop sign. Unit one's driver complained of back pain and stomach pain. She explained she was six months pregnant, which I relayed to medics on scene. 
A records check shows the driver as revoked with a long history or prior driving offenses. Unit one driver admitted to not having a license or insurance.
The driver was transported to Regina Hospital by Hastings Fire Department, Run number 25. 
Email for driver : cullomtanisha@yahoo.com 
Citation number 190019900045</t>
  </si>
  <si>
    <t>07-Sat</t>
  </si>
  <si>
    <t>Front to Front</t>
  </si>
  <si>
    <t>Ice/Frost</t>
  </si>
  <si>
    <t>Head On</t>
  </si>
  <si>
    <t>Passenger Car</t>
  </si>
  <si>
    <t>Swerved or Attempt to Avoid Object in Roadway</t>
  </si>
  <si>
    <t>Swerved or Avoided Due to Wind</t>
  </si>
  <si>
    <t>Pickup</t>
  </si>
  <si>
    <t>Northbound</t>
  </si>
  <si>
    <t>Vehicle 1 was traveling southbound on Ravenna Trail approaching 200th Street East. Vehicle 2 was traveling westbound on 200th Street East, beginning to turn north on to Ravenna Trail. As vehicle 1 approached the stop sign, vehicle 1 began to slide and swerve due to icy road conditions. Vehicle 1 could not come to a stop, and swerved into the on coming traffic lane to avoid a collision with a vehicle stopped at the stop sign. In doing so, vehicle 1 collided with vehicle 2 as vehicle 2 was attempting to turn north on Ravenna Trail. Both vehicle sustained disabling front end damage and were towed by Southeast Towing. Vehicle 1 driver was cited for failure to drive with due care, Citation # 190021901746. No injuries resulted from this accident.</t>
  </si>
  <si>
    <t>03-Tues</t>
  </si>
  <si>
    <t>Embankment</t>
  </si>
  <si>
    <t>Off Roadway, Location Unknown</t>
  </si>
  <si>
    <t>Dark (Str Lights On)</t>
  </si>
  <si>
    <t>Snow</t>
  </si>
  <si>
    <t>Ran Off Road</t>
  </si>
  <si>
    <t>Unit 1 was traveling south on Ravenna Trail approaching 200th Street East. Unit 1 appeared to run the stop sign at Ravenna Trl and 200th St E. After proceeding through the intersection Unit 1 crashed into a dirt embankment on the south side of 200th St E.
Witness 1 said unit 1 did not appear to slow down nor did he see brake lights activated prior to the crash.</t>
  </si>
  <si>
    <t>Other Non-Collision</t>
  </si>
  <si>
    <t>Outside of Trafficway</t>
  </si>
  <si>
    <t>200TH ST E</t>
  </si>
  <si>
    <t>RAVENNA TRAIL</t>
  </si>
  <si>
    <t>0400006594640068-I</t>
  </si>
  <si>
    <t>Single Vehicle Other</t>
  </si>
  <si>
    <t>Driver Distracted</t>
  </si>
  <si>
    <t>Downhill</t>
  </si>
  <si>
    <t>On October 30th, 2021, at 00:04 hours, Unit 1 was driving Southbound on Ravenna Trail approaching 200th Street East, in Ravenna Township, Dakota County. As Unit 1 approached the intersection, the driver was holding his phone looking at the GPS. Unit 1 then went through the intersection without stopping a the stop sign, and up the grass embankment South of 200th Street. The driver and other occupants were all wearing seatbelts and airbags were not deployed. The passenger positioned in the front right passenger seat sustained minor back injuries and was transported to Regina Hospital in Hastings, by the Hastings Fire Department. The rear passenger was no longer on scene when Deputies arrived. The driver of Unit 1 was cited for use of a wireless communication device while driving. Unit 1 was towed by Southeast towing out of Hastings.</t>
  </si>
  <si>
    <t>Not Applicable</t>
  </si>
  <si>
    <t>Serious Injury</t>
  </si>
  <si>
    <t>Angle</t>
  </si>
  <si>
    <t>Failure to Yield Right-of-Way</t>
  </si>
  <si>
    <t>Medium / Heavy Trucks (More than 10,000lbs)</t>
  </si>
  <si>
    <t>Unit 1 pulled out in front of Unit 2.  Unit 1 Driver and Passenger were injured and transport to a hospital.
Driver of Unit 2 was not injured and had right of way.
Driver of Unit 1 was mailed citation number 190022901535 for failing to yield right of way.</t>
  </si>
  <si>
    <t>CSAH 68</t>
  </si>
  <si>
    <t>Has Been Drinking Alcohol</t>
  </si>
  <si>
    <t>Operated Motor Vehicle: Careless/Negligent/Erratic</t>
  </si>
  <si>
    <t>Driver arrested for 3rd Degree DUI. 
Driver did not give me email or insurance information.</t>
  </si>
  <si>
    <t>Disregard Other Traffic Signs</t>
  </si>
  <si>
    <t>Unit 1 was southbound on Ravenna Trail approaching a stop sign at the T intersection with 200th Street West (AKA County Road 68). Driver 1 said he was driving about 65-70mph and did not see the stop sign; it is a 55mph zone. He attempted to turn left onto 200th St, but was unable to negotiate the turn at his speed. Unit 1 went off the road to the south of 200th St and into the ditch sustaining disabling damage.</t>
  </si>
  <si>
    <t>West</t>
  </si>
  <si>
    <t>Possible Injury</t>
  </si>
  <si>
    <t>RAVENNA TRL</t>
  </si>
  <si>
    <t>Unit 1 was driving westbound on 200th Street East approaching Ravenna Trail. A deer crossed the roadway heading southbound. Unit 1 moved to avoid the deer. When turning the corner onto Ravenna Trail, Unit 1 slid on gravel and tipped. 
The driver of Unit 1 was only wearing a shirt. The driver was not wearing protective clothing or gear. The driver had abrasions on his right elbow and back. The driver stated he had pain in his left wrist. The driver refused medical attention and was unsure if he was going to see a doctor for the pain.</t>
  </si>
  <si>
    <t>Hastings</t>
  </si>
  <si>
    <t>06-Fri</t>
  </si>
  <si>
    <t>Front to Rear</t>
  </si>
  <si>
    <t>Not at Intersection or Interch</t>
  </si>
  <si>
    <t>Cloudy</t>
  </si>
  <si>
    <t>NICOLAI AVE</t>
  </si>
  <si>
    <t>0400006594640091-I</t>
  </si>
  <si>
    <t>Rear End</t>
  </si>
  <si>
    <t>Eastbound</t>
  </si>
  <si>
    <t>Backing</t>
  </si>
  <si>
    <t>Improper Backing</t>
  </si>
  <si>
    <t>Hastings Police Dept</t>
  </si>
  <si>
    <t>Police</t>
  </si>
  <si>
    <t>Driver of vehicle 1 admitted to backing across traffic lanes causing the accident. 
Bathrick issued citation 190321905799 for failure to yield and expired DL.
No BWC.</t>
  </si>
  <si>
    <t>GLENDALE RD</t>
  </si>
  <si>
    <t>Unknown</t>
  </si>
  <si>
    <t>On 07-31-2021 officers responded to a two vehicle crash at the intersection of Ravenna Trail and Glendale Rd.  Officers arrived and found both vehicles off the roadway, it is a T intersection.  The drivers of each vehicle and passengers were suspected of significant injuries so they were immediately transported to regions Hospital by ambulance.  
Witnesses state that Unit #1 was travelling north on Glendale Rd. when it went through the stop sign "not slowing down" and struck Unit #2.  
Photos were taken of the scene and uploaded to the case file.  
My BWC was activated during the call.  
The incident is still under investigation.</t>
  </si>
  <si>
    <t>02-Mon</t>
  </si>
  <si>
    <t>Deer</t>
  </si>
  <si>
    <t>Dark (No Str Lights)</t>
  </si>
  <si>
    <t>Curve Right</t>
  </si>
  <si>
    <t>Unit #1 travelling northbound on Nicolai (Glendale Road) just prior to intersection with Spiral Blvd. Driver Stacy Peterson said as she was at bottom of hill in the road she observed a family of deer in the roadway. All but 1 ran away which she struck causing damage to her drivers side door and possibly front drivers side quarter panel.</t>
  </si>
  <si>
    <t>Marshan</t>
  </si>
  <si>
    <t>Overturn/Rollover</t>
  </si>
  <si>
    <t>On Shoulder</t>
  </si>
  <si>
    <t>Vehicle 1 was driving Northbound on Nicolai Avenue. Driver 1 looked out of the left window. Driver 1 drove off the roadway into the east side ditch. Driver 1 drove over a field approach. Vehicle 1 flipped forward, then rolled on to it's right side.</t>
  </si>
  <si>
    <t>Slowing</t>
  </si>
  <si>
    <t>On 2/20/22 at 0700 hrs, Officers responded to a two vehicle accident at Glendale Rd and Ravenna Trail.
Upon arrival, Officers spoke with driver #1 who was identified as Scott Alan Johnson 7/6/62 who was driving MN# DXV781 (American Family # 41012-19880-56).  He was traveling south bound on Ravenna Trail and was slowing to turn onto Glendale Rd.  As he was slowing to turn, he was rear ended from driver #2 who was following him. He had no injuries and his vehicle was drivable.
Driver #2 was identified as Brandon Russell Cooper 5/21/85 who was driving MN# AGS421 (Progressive 946267895).  He said he was traveling behind driver #1 and didn't notice him slowing down.  Brandon hit his brakes to slow his vehicle to around 30-35 mph just before he struck driver #1.
Officers assisted in drivers exchanging information and contacted South East Towing for Brandon due to airbags being deployed and his vehicle not being drivable.  Officers then cleared the scene.
See BWC and squad video for further details.
Information</t>
  </si>
  <si>
    <t>HA22000861</t>
  </si>
  <si>
    <t>Other</t>
  </si>
  <si>
    <t>Operated Vehicle: Reckless/Aggressive</t>
  </si>
  <si>
    <t>Unit 1 and Unit 2 apparently were driving aggressively before the crash. Unit 1 was in front of Unit 2. Unit 1 hit the brakes and Unit 2 could not avoid it and impacted the passenger side rear bumper area of Unit 1. No injuries. Unit 2 did not stop and therefore will be issued a citation under 169.09 Sub2.</t>
  </si>
  <si>
    <t>On 09-11-2022, at 1317 hours, I, Officer Weid, responded to the intersection of Glendale Road (Nicolai) and Ravenna Trail for a single motor vehicle accident. 
On arrival I spoke with Driver 1, Branch Russell Fjellanger 09-27-1996, and his vehicle (vehicle 1) MN LIC/NLX284.  Driver 1 said he was going North on Glendale Road, was using his cell phone, and drove through a stop sign.  Driver 1 said he was unable to navigate the roadway (stop sign, T intersection) because of his distraction.
The vehicle drove through a stop sign at a high rate of speed, struck a ditch embankment, launch the vehicle into the air over the top of boulders designed to be a fence barrier, and landed in a parking area. 
The vehicle sustained damage to the drivers side tire and unknown damage to the undercarriage. The vehicle was towed due to the damage. 
Driver 1 was found to be intoxicated and arrested for DWI, .24 on DMT.
Insurance was not located. 
End of report.</t>
  </si>
  <si>
    <t>HA23001138</t>
  </si>
  <si>
    <t>On 07/15/2023, at 0626, Hastings Police were dispatched to the Hastings Rivertown Dog Park for a report of a vehicle versus deer collision.  Police stopped out with V1/D1 who stated:
V1 was travelling WB on Ravenna Trail, nearing the intersection with Glendale Rd, when a small deer ran into the road.  V1 Driver states she struck the deer at 55 mph, felt it go under V1, and then witnessed the deer run off in her rear view mirrors.  V1 stopped at the Rivertown Dog Park nearby to call 911 and report the incident.  
Pictures were taken of V1 at the scene, where deer hair is seen stuck in the front bumper.
Officers then drove the area of Ravenna Trail and Glendale Rd and were unable to locate a deer.  
see BWC for further details</t>
  </si>
  <si>
    <t>Intersection Crash Data: County Road 54 &amp; County Road 68</t>
  </si>
  <si>
    <t>Intersection Crash Data: County Road 54 &amp; Glendale Road</t>
  </si>
  <si>
    <t>Fence (Non-Median Barrier)</t>
  </si>
  <si>
    <t>GLENDALE</t>
  </si>
  <si>
    <t>Guardrail (Face)</t>
  </si>
  <si>
    <t>Dark (Unknown Light)</t>
  </si>
  <si>
    <t>East</t>
  </si>
  <si>
    <t>Pedalcyclist (Bicyclist)</t>
  </si>
  <si>
    <t>Bike</t>
  </si>
  <si>
    <t>Bicycle</t>
  </si>
  <si>
    <t>No Improper Action</t>
  </si>
  <si>
    <t>Shoulder/Roadside</t>
  </si>
  <si>
    <t>Unit 1 was traveling East bound on Ravenna Trail east of Glendale Road.  Unit 1 ran into the back of the bicycle who was riding on the shoulder.  The bicycle lost control and ran off road right into the ditch.</t>
  </si>
  <si>
    <t>Unit #1 was southbound on Ravenna Trail and stuck a deer which had run into the roadway.</t>
  </si>
  <si>
    <t>04-Wed</t>
  </si>
  <si>
    <t>Standing Tree/Shrubbery</t>
  </si>
  <si>
    <t>Curve Left</t>
  </si>
  <si>
    <t>Vehicle was eastbound on Ravenna Trail and slid off the icy road into the steep ditch.  When the car went into the ditch it collided with some small trees and scrapped the right side of the car.  There was some damage to the front of the car as well.  It also appeared there may be some damage to the undercarriage and wheel well areas.  The driver and passenger are the owners and both were ok.</t>
  </si>
  <si>
    <t>Over Correcting / Over Steering</t>
  </si>
  <si>
    <t>Vehicle 1 was NB on Ravenna Trail. Driver swerved in curve and over corrected. Vehicle crossed SB lane and rolled in ditch. Driver had head injury and unable to remember if had belt on. Transported via ambulance. No cites</t>
  </si>
  <si>
    <t>Driver stated she was traveling on Ravenna Trail towards Hastings. She was trying to avoid a goose in the road and went into the ditch which was filled with water from the spring flood. 
Witness stated he was traveling behind the driver for several miles and she was driving just fine until attempted to go around the bird. 
Vehicle was submerged in water.</t>
  </si>
  <si>
    <t>GLENDALE ROAD</t>
  </si>
  <si>
    <t>Unit one was traveling northbound Ravenna Trail approaching Glendale Road.  Driver saw deer in roadway and started to slow down, vehicle collided with the deer in the roadway.  Vehicle ran off roadway partially.  Roadway has very steep ditches with no shoulder.  Driver of unit one did not have any injuries.  Severe damage to vehicle disabling. Southeast Towing out of Hastings towed vehicle.</t>
  </si>
  <si>
    <t>Vehicle 1 was traveling southbound Ravenna Trail about 2 miles north of Polk Avenue. A separate vehicle was traveling northbound Ravenna Trail, approaching vehicle 1. Vehicle 1 driver stated the vehicle approaching him was a blue sedan with partial plate WX9. Vehicle 1 driver stated the blue sedan crossed the centerline, and came into his lane of travel. Vehicle 1 driver stated he had to swerve right, into the ditch in order to avoid a collision. Once in the ditch, the cab of vehicle 1 filled with smoke, and a fire transpired. 
Vehicle 1 driver was transported by medics for smoke inhalation. Vehicle 1 was towed from scene by Siewerts Towing.</t>
  </si>
  <si>
    <t>Other Contributing Action</t>
  </si>
  <si>
    <t>Unit 1 was going West on Ravenna Trail.  Driver of Unit 1 had been up all night and was tired.  He fell a sleep at the wheel and drove off road left.
Driver refused medical attention.
no citation</t>
  </si>
  <si>
    <t>Sleet, Hail (Freezing Rain/Drizzle)</t>
  </si>
  <si>
    <t>Blowing Sand/Soil/Dirt/Snow</t>
  </si>
  <si>
    <t>On April, 16th 2023 at 2103 hours Deputy Chandler #157 was dispatched to a abandoned, crashed vehicle in the roadway. 
Deputy Chandler arrived on scene to unit 1 facing southwest in the roadway with moderate front end damage. Photos were taken of the crash scene.
Deputy Chandler made contact with driver 1 via phone. Unit 1 was heading westbound on Ravenna Trail when it slid off roadway to the left and struck a tree, semi submerging in water. Passerby's stopped to assist unit 1 and pulled it back onto roadway. Driver 1 was picked up by her brother and left the vehicle in roadway without calling 911. Unit 1 was towed by Southeast Towing to their lot in Hastings. Driver 1 was notified.</t>
  </si>
  <si>
    <t>Unit 1 was traveling west on Ravennal Trl in the 15000 block.  The roads were slippery due to frost on the roadway.  Unit 1 lost control on a slight curve and went into the ditch backwards striking a tree.</t>
  </si>
  <si>
    <t>Mailboxes/Posts</t>
  </si>
  <si>
    <t>Vehicle Stopped or Stalled in Roadway</t>
  </si>
  <si>
    <t>Uphill</t>
  </si>
  <si>
    <t>Unit 1 was going North on Ravenna Trail.  Driver was turning around in the roadway.  Unit 1 was stuck in the roadway when Unit 2 came around the curve.  Driver of Unit 2 said he had no choice but to go into the ditch.  Unit 2 hit a mailbox and a rock.
No citation issued.</t>
  </si>
  <si>
    <t>Failed to Keep in Proper Lane</t>
  </si>
  <si>
    <t>On May 3rd, 2019 at approximately 0256 hours Dakota County Deputies and Hastings Police responded to a reported two vehicle head on collision in front of 15391 Ravenna Trail in Ravenna Township.
Based upon my contact with both drivers and officers on scene this is the following information which was reported to me.  
There were two vehicles involved with this crash.  Unit 1 was a 2007 Mazda3 sedan bearing Minnesota license plate 331MYP.  Unit 2 was a 2003 Honda Odyssey
bearing Minnesota license plate number 772KYM.  
Upon arrival I located Unit 2 disabled in the northbound driving lane approximately a quarter mile from the original reported crash scene.  I made contact with the driver of the vehicle who was identified as Jamie Sara Schmeichel date of birth 6-5-1984. Ms. Schmeichel believed her tire went flat and denied being involved in any accident.  The vehicle she was driving Unit 1, sustained heavy front end and driver side damage.  The damage was disabling to Unit 1.  She stated driving northbound on Ravenna Trail before ending up in the middle of the roadway.  After Standardized Field Sobriety Tests and a PBT sample of .189 she was placed under arrest for DWI.  She was read the Minnesota Breath Test Advisory.  She contacted an attorney, and agreed to take the breath test.  Her final reported BAC was .18.    
Officer Geoffrey Latsch of the Hastings Police Department made contact with Unit 1.  The driver of Unit 1 was identified as Matthew Steven Yasgar, date of birth 11-17-1979.  Mr. Yasgar reported he was driving to Treasure Island Casino on Ravenna Trail and Unit 2 veered into his lane causing the crash.  He swerved towards the shoulder to avoid a direct head on collision.  Unit 1 had heavy front end and driver side damage.  
Both vehicles were towed due to disabling damage by Southeast Towing out of Hastings.  Paramedics made contact with both drivers.  
I completed additional follow up and obtained a statement from Mr. Yasgar the evening of 5-3-2019.  His statement detailed the above information.
This narrative is only a brief explanation of the incident and the full incident is detailed my Incident Report attached to the case file.</t>
  </si>
  <si>
    <t>Immersion (Full or Partial)</t>
  </si>
  <si>
    <t>Slush</t>
  </si>
  <si>
    <t>Unit 1 was eastbound on Ravenna Trail. The road conditions were wet and slushy. Unit 1 went into a slide towards the ditch. Unit 1 slid off the road way and into standing flood water in the ditch. The water was up to the roof of the Unit 1.</t>
  </si>
  <si>
    <t>Vehicle 1 appeared to be traveling westbound Ravenna Trail, east of Glendale Road. Vehicle 1 went off road right, and collided with a tree in the north side ditch. Vehicle was unoccupied upon arrival. Registered owner of vehicle advised they were not driving, and did not know who was driving their vehicle. Vehicle was towed by Southeast towing, and towed to their lot.</t>
  </si>
  <si>
    <t>Vehicle 1 was traveling east on Ravenna Trail between Glendale Road and Polk Avenue. A deer ran out from the north side ditch and collided with vehicle 1. Vehicle 1 sustained damage to the front driver side quarter. Vehicle 1 was towed from the scene by Siewerts Towing. No injuries resulted from this accident.</t>
  </si>
  <si>
    <t>North</t>
  </si>
  <si>
    <t>Asleep or Fatigued</t>
  </si>
  <si>
    <t>Driver of unit one was traveling northbound on Ravenna Trail. Witness stated vehicle went off roadway left and drove over a driveway and went airborne. Vehicle went back right onto the roadway and drove off roadway right and ran into the ditch where the vehicle collided with multiple trees. Driver did not suffer major injuries, blood pressure was low and she had a chemotherapy treatment on 7/14, she said she was not feeling good and had not felt like this after her treatments before. Driver said she had just started a new medication. Driver did state she had one mimosa at the Casino. I did not see any signs of impairment and did not smell any odor of an alcoholic beverage. Driver was transported to United hospital in St Paul by Hastings Medics. Vehicle was towed by Southeast Towing out of Hastings to their lot due to disabling damage.</t>
  </si>
  <si>
    <t>Culvert</t>
  </si>
  <si>
    <t>On October 12th, 2019 at 1030 hours unit 1 was traveling southbound on Ravenna Trail.  Unit 1 went off the roadway left and into the ditch.  Unit 1 hit a culvert then continued into the ditch where it struck a tree on the drivers side.  There was heavy damage to the drivers side and the rear drivers side tire was missing.  No one was with the vehicle when deputies arrived.  I attempted to contact the owner by phone but was unable.  The owner or unit 1 does not live at the address on his drivers license.  A passerby witnessed the driver get picked up by another vehicle, they did not witness the accident.  It is unknown at this if the registered owner was driving.</t>
  </si>
  <si>
    <t>On January 15, 2020 at 0315 hours, Unit one was traveling northbound on Ravenna Trail.  Unit one struck a deer after she swerved in an attempt to avoid head on collision.  The deer collided with the front passenger side of her vehicle.</t>
  </si>
  <si>
    <t>On October 15, 2019 at approximately 2000 hours, Unit 1 was traveling north bound Ravenna Trail.  Unit 1 collided with a deer. Unit 1 was able to drive the vehicle back home, but sustained damage to the front and driver's side of the vehicle.  
The report was taken over the phone the vehicle was not seen by the Deputy.</t>
  </si>
  <si>
    <t>Vehicle 1 was traveling south on Ravenna Trail towards Polk Avenue. Vehicle 1 hit a deer crossing Ravenna Trail resulting in disabling front end damage. Vehicle 1 was towed from the scene by Southeast Towing. No injuries resulted from this accident.</t>
  </si>
  <si>
    <t>Other Animal - Alive at Time of Crash</t>
  </si>
  <si>
    <t>Unit one was going South on Ravenna trail.  A raccoon ran out in front of him.  He hit the raccoon and lost control.  He went off road right and laid the motorcycle down in the ditch.</t>
  </si>
  <si>
    <t>On May 3rd, 2019 at approximately 2252 hours, Hastings Police Officer Samuel Beuch, badge number 1423, Deputy Anthony Welin, badge number 193, and I, Deputy Andrew Leko, badge number 113, responded to a property damage crash on Ravenna Trail about a half mile south of Glendale Road, in Ravenna Township, Dakota County.
Call notes stated Unit 1 tried to flee after hitting Unit 2. The driver of Unit 2 followed Unit 1 "a few miles" before Unit 1 stopped.  After exchanging information with the Driver of Unit 2, the Driver of Unit 1 drove to her residence to wait for police.
Driver of Unit 2 said he was driving north on Ravenna Trail about a half mile south of Glendale Road, and Unit 1 was traveling southbound Ravenna Trail.  He said Unit 1 came into the northbound lane, sideswiping Unit 2.  The passenger of Unit 2 stated the same.  The collision caused a scratch extending from the front driver side quarter panel, across the driver door, and onto the driver side passenger door.
Deputy Welin met with the Driver of Unit 1 at 16105 Ravenna Trail.  She admitted to having consuming two alcoholic beverages that night.  She was given a PBT, which resulted in a .002 reading.  She told Deputy Welin the reason she drove to her residence was because she felt safer than remaining on the roadway. She called 911 once she arrived at home.
Driver of Unit 1 stated she was traveling southbound on Ravenna Trail near Glendale Road. She drove partially into the northbound lane, causing Unit 1 to sideswipe Unit 2.  This caused minor damage to the driver side rearview mirror of Unit 1.  She said she was the only occupant in Unit 1.
Driver of Unit 1 was issued citation number 190019900856 for Misdemeanor, Failure to Drive in Single Lane (169.18.7a)
No injuries, transports, or tows.
Photos were taken of both vehicles and were submitted to the case file.
End of report.</t>
  </si>
  <si>
    <t>Sunset</t>
  </si>
  <si>
    <t>Unit 1 was traveling south on Ravenna Trail. A deer ran in front of unit 1 and the driver was unable to stop striking the deer on the front driver's side of the vehicle. The deer caused the interior side impact airbags to deploy and caused damage to the front and driver's side of the unit. The deer was deceased and the driver was provided with a "Deer Tag" for the deer.</t>
  </si>
  <si>
    <t>Vehicle 1 was driving southbound on Ravenna Trail, approaching Polk Avenue. A deer ran across Ravenna Trail, and collided with vehicle 1. Vehicle 1 sustained front driver side damage. No injuries resulted from accident, and vehicle did not need to be towed.</t>
  </si>
  <si>
    <t>Driver was eastbound on Ravenna Trail when a deer jumped in front of his jeep.  The deer was hit closer to the front right side which caused some damage.  The deer was killed by the impact.  Photos were taken and are file at the Sheriff's Office.</t>
  </si>
  <si>
    <t>POLK AVENUE</t>
  </si>
  <si>
    <t>On November 1st, 2021, at approximately 2210 hours, Field Training Deputy Leko and I, Deputy Nelson, were dispatched to a car vs deer crash with possible injuries near the intersection of Ravenna Trail and Polk Avenue. Hastings Fire arrived on scene first. They checked on the Driver and Passenger of Unit 1, who were not injured, and cleared from the scene. 
At 2230 hours, I arrived on scene. Unit 1 had pulled off of Ravenna Trail about a mile and a half north of Polk Avenue on the right shoulder. Unit 1 had moderate damage to the front bumper, hood, and driver side front quarter panel. 
I communicated with the Driver and Passenger of Unit 1 via cell phone with their daughter, who translated for us due to a language barrier. Passenger of Unit 1 stated they were driving north on Ravenna Trail when a deer ran out from the woods. She said the Driver was not able to stop the vehicle in time before hitting the deer. There was moderate damage to the front of the vehicle along with blood and hair on the hood. The Passenger of Unit 1 stated they were not injured, they were just shaken up from the accident. 
The Driver of Unit 1 stated he wanted to try and drive the vehicle home to Saint Paul. I gave him a business card with the case number. I followed Unit 1 for a few miles into Hastings. It appeared drivable with no issues.  
Photos of the vehicle and damage will be added to this report. 
No injuries, citations, or tows. 
Body worn camera will be added to this report.  
END OF REPORT.</t>
  </si>
  <si>
    <t>On August 26, 2020 at 1922 hours I, Deputy Steffel, bade number 135 was called to a car deer crash on Ravennna Trail in Ravenna Township.
The vehicle is identified as a 2016 white Ford Explorer bearing Minnesota license plate CVB-136. The drive, owner and lone occupant is identified as Nancy Kathryn Behan, date of birth April 4, 1953.
Ms. Behan was driving south bound out of the City of Hastings approaching Polk Ave when a deer crossed the road and was struck.
The vehicle sustained damage to the front end and the driver's side air bag deployed. The vehicle could not be started to be move off the roadway.
The Hastings Ambulance was called to the scene for a possible injury to Ms. Behan's left arm. Ms. Behan had a cut on her forearm and a bandage was applied and she was not transported.
Ms. Behan had her vehicle towed home. 
End of report</t>
  </si>
  <si>
    <t>Struck by Falling, Shifting Cargo or Anything Set</t>
  </si>
  <si>
    <t>On August 31st, 2019, at around 2345 hours, I, Deputy Jon Grimes, badge number 130, was dispatch to an accident with no injuries on Ravenna Trail near Polk Avenue in Ravenna Township.
I arrived and spoke to the driver of Unit 1.  He said he was driving northbound on Ravenna Trail and saw Unit 2 coming south.  He said there were sparks coming from Unit 2.  He said a tire had fallen off of Unit 2 and struck his vehicle.
The driver and passenger from Unit 2 spoke little to no English.  The driver of Unit 2 was cited for no proof of insurance.  
Unit 2 was towed by Southeast Towing.
End of report.</t>
  </si>
  <si>
    <t>Vehicle one traveling north on Ravenna Trail. Vehicle one driven by driver one. Vehicle one struck deer. Vehicle one came to rest.</t>
  </si>
  <si>
    <t>Utility Pole/Light Support</t>
  </si>
  <si>
    <t>On 11-07-2021 at 0435 hours, I, Deputy Regenscheid badge 176, was dispatched to a single vehicle property damage motor vehicle accident near 16055 Ravenna Trail in Ravenna Township, Dakota County.  Driver 1 stated he swerved to miss a deer in the roadway, causing him to lose control.  While towing a boat(MN 1601LQ) on a trailer(VIN #597BB1717HM001316), vehicle 1 was traveling Southbound Ravenna Trail near 16055 Ravenna trail when it went off the roadway to the left and partially struck a utility pole with the front passenger side. Vehicle 1 continued approximately 50 yards into the ditch where it stopped.
Vehicle 1 was towed by Southeast Towing out of Hastings.
Dakota electric was advised of the damaged utility pole.
END OF REPORT</t>
  </si>
  <si>
    <t>On February 10, 2019 at 0358 hours, I, Deputy Steffel, badge number 135 was called to a vehicle crash into a power pole on Ravenna Trail in Ravenna Township.
I arrived to find a blue, 2005, Honda, Accord, bearing Minnesota license plate 830-WVZ in the north ditch up against a Dakota Electrical Utility Pole. There was nobody inside or around the vehicle.
I had Dispatch call Dakota Electric to come out because the vehicle had broke the pole in half, the ground wire was snapped, a transformer went out, and the vehicle was up on the pole. 
I has Dispatch have the Oakdale Police Department check the registered address to make contact with the owner identified as Zachary George Wagner, dob 10/01/1990. They called back later to say there was no contact at the address but they did provide a phone number for the vehicle owner.
I attempted to call the phone number but it went right to voice mail. I then had Dispatch ping the phone and they received 3 different locations all with in a 30 min time frame. 1: At an intersection in Goodhue County. 2: In Prescott Wisconsin. 3: In the City of Bloomington. I had Goodhue County check the intersection and they called back later saying the intersection was clear.
I called Regina Hospital in Hasting to see if anyone had come in from a crash ad they said no.
Dakota Electric arrived and started to work on the power lines and pole. I had Southeast towing contacted for the tow and they arrived shortly after.
Around 0520 hours a vehicle pulled up and a male got out. He identified himself as Marcus Allen Wagner, dob 05/04/1989. He told me he was driving the vehicle at the time of the crash. He said he ran off the edge of the road and got sucked into the ditch and hit the pole. He said he was driving because his brother was drunk and a passenger inside the vehicle. I asked him if he or his brother were injured and he said they were not injured. Marcus told me a person behind them stopped and drove him home to Oakdale where he picked up his truck. He came back to pull the vehicle out of the ditch and home. I told him he could not tow the vehicle out because of the danger with live power lines. I asked him where is brother was and he told me he left him with the vehicle where he was to stay. 
I asked him if there was insurance on the vehicle and he said yes. I told him I needed to speak with his brother to make sure he was not injured and to get the insurance. Marcus told me he would get me the information. At the time of this report I have still nor received any insurance information. I also informed Marcus he would be liable for the damaged power lines, power pole, transformer, and the time for two Dakota Electric team. 
Marcus then left the scene to look for his brother and never returned. The vehicle was towed into Hastings at 0715 hours.
End of report.</t>
  </si>
  <si>
    <t>On June 13th, 2022 at 1730 hours, I Deputy Bohland, badge 199, and Field Training Officer Leko, badge 113, responded to a report of a crash with injuries around the 16000 block of Ravenna Trail. While in route to the scene, dispatch advised a white sport utility vehicle (unit 3) and a black sedan (unit 1) were involved in a head on collision, resulting in possible injuries. Multiple officers from Hastings Police arrived before us and began securing the scene. 
Upon arriving to the scene, Hastings medics were loading the driver of unit 3 into the ambulance via stretcher. I saw two individuals standing next to unit 1. I spoke with the individuals and learned the male half was the driver of unit 1 identified as Benson, Jordan Ronald (DOB: 07/10/2001). Mr. Benson reported he was driving southbound on Ravenna Trail at about 60mph when he drifted over the center line into oncoming traffic before colliding with unit 3. The posted speed limit on this road is 55mph. Mr. Benson said he thought he just zoned out a little bit due to being tired, which caused him to go into the other lane. He stated he did not have any injuries. He advised he was wearing his seatbelt at the time of the crash. Mr. Benson was the lone occupant in unit 1. 
I later spoke with Hepola, Ann Marie (DOB: 08/25/1964) as she was being evaluated by paramedics. Ms. Hepola stated she was driving unit 3 northbound on Ravenna Trail at approximately 55mph when she noticed the vehicle in front of her (unit 2) suddenly swerve onto the righthand shoulder. She stated by the time she realized why unit 2 was swerving, it was too late for her to avoid unit 1 as it was drifting into her lane. Ms. Hepola attempted to apply her brakes before colliding with unit 1 but was unsuccessful in stopping fast enough. Ms. Hepola was transported to Regina hospital in Hastings via ambulance for further evaluation (run #A22-1263). Ms. Hepola was wearing her seatbelt at the time of the crash. She was the lone occupant of unit 3
After taking pictures of the scene, I spoke with the driver of unit 2 later identified as Regan, Lillian Marie (DOB: 12/10/1956). Ms. Regan said she was driving north on Ravenna Trail at approximately 50mph, when she saw unit 1 slowly start drifting into her lane from the opposite direction. Ms. Regan stated unit 1 was approximately 10 feet into her lane. Ms. Regan attempted to swerve onto the shoulder to avoid unit 1, but her driver's side mirror contacted unit 1's drivers side. Ms. Regan stated she had two grandchildren in the back seat of her vehicle during the time of the crash. Those children were identified as Gentiline, Briggs Louis (DOB: 08/18/2016), and Gentiline, Brooks Joseph (DOB: 10/29/2018). Briggs Gentiline was seated in the back-drivers side seat, and Brooks Gentiline was seated in the back-passenger side seat. Ms. Regan stated all occupants in her vehicle were wearing their seatbelts, and none of them sustained any injuries from the crash.
I spoke with three witnesses to the crash. All witnesses gave similar stories of unit one drifting into the opposite lane, which was the main cause of the crash.
Units 1 and 3 were towed by Southeast Towing to their lot in Hastings, MN due to their debilitating damage. Unit 2 was able to be driven away by Ms. Regan.
Mr. Benson was cited for speed and failure to drive in a single lane (Citation #190021901016)
Photos and body worn camera videos will be attached to the case file. 
END OF REPORT.</t>
  </si>
  <si>
    <t>Pedestrian</t>
  </si>
  <si>
    <t>POLK AVE</t>
  </si>
  <si>
    <t>Standing/Stopped</t>
  </si>
  <si>
    <t>On February 15, 2022, at 2247 hours, I, Deputy Hayes #178 and Field Training Officer Steffel #135 responded to an accident on Ravenna Trail.
All the parties and vehicles were gone upon our arrival. Deputy Blehm #121 spoke to the reporting party who had called reporting a hit and run. 
The reporting party's vehicle was broken down on the side of the road for a few days. When the reporting party's arrived to fix their vehicle there was an unidentified suspect in the vehicle. The suspect got out of the vehicle, walked toward the reporting party and the witness. An alteration began with the witness and the suspect pushing each other. The suspect then walked south and got in a truck at an unknown location. The suspect drove southbound and hit the reporting party on her right side with the vehicle's front right corner and continued driving south. 
The reporting party described the vehicle as a black or maroon truck with a topper.
A search of the area was conducted and no vehicle matching the description was located.
At the scene of the hit and run a Mossy Oak camo left-hand glove was found and taken as evidence.
The reporting party stated she will not be going to the hospital and only felt a little sore. 
END OF REPORT.</t>
  </si>
  <si>
    <t>Farm Vehicle (Tractor, Combine)</t>
  </si>
  <si>
    <t>Unit one was traveling westbound and unit two was traveling eastbound on Ravenna Trail. Unit one stated it was hard to see because unit twos lights were bright. Unit two had headlights and flashing amber lights per protocol. Unit one sideswiped the tire of unit twos grain cart trailer. Unit one had moderate damage to the driver side. Unit two had no damage.</t>
  </si>
  <si>
    <t>Fatal</t>
  </si>
  <si>
    <t>On 02-26-2022 at 2239 hours, I, Deputy Regenscheid, badge number 176, was dispatched to a personal injury accident involving two vehicles on Ravenna Trail, just North of Polk Avenue in Ravenna Township.
Medics were on scene, assisting the occupants of the vehicles.  Deputy Kurschner, badge number 166 and I arrived on scene. I observed a black Jeep on the West side of Ravenna Trail and a blue pickup truck on the East side of Ravenna Trail, in the ditch. Both vehicles appeared to be badly damaged. It appeared both vehicles had struck each other head on, with the front driver's side corner of each vehicle. Both vehicle's ended up on the opposite side of the road from each other and the entire engine of the jeep was laying in the center of the Southbound lane. There were not any witnesses to the accident. I confirmed through medics there was only one occupant in each vehicle. Both occupants needed to be extricated from their vehicles. Due to their injuries, I was unable to get any information from them. Mr. Detviler walked to the ambulance with assistance and didn't appear to be in a serious condition.  Ms. Barrascout was placed in the ambulance on a stretcher.  Both occupants were transported by Hastings Medics to Regions Hospital in the City of St. Paul.
The vehicles were identified as a black 2020 Jeep, bearing Illinois license plates FP141204, and a blue 2021 Ram 1500, bearing Minnesota license plates GXU743. I was able to find a driver's license in a purse found on the passenger side floor of the Jeep and confirm the driver's identity as Alicia Margarita Barrascout DOB/1982-12-20. The driver of the Ram was identified as Richard Michael Detviler DOB/1944-10-01.
I went to Regions Hospital to obtain a recorded formal statement from each of the vehicle occupants as well as obtain signed medical release of information forms. I attempted to obtain a formal statement from Ms. Barrascout, but she was highly medicated and appeared very sleepy, not responding to questions. At the time I spoke with her, she did not remember what had happened. Due to Ms. Barrascout's condition, I was unable to obtain a signed medical release of information. I was able to obtain a formal statement from Mr. Detviler. Mr. Detviler explained he was coming from the casino, heading towards Hastings when a vehicle crossed the center line and hit him. He said he tried to avoid the collision, but he couldn't. Due to Mr. Detviler's condition, I was unable to obtain a signed medical release of information.
While at Regions Hospital, I learned Ms. Barrascout had a laceration on her liver. I also learned Mr. Detviler had multiple fractured ribs, possible bleeding in his stomach, a hemothorax, kidney laceration, and a spinal hernia. Hospital staff was still in the process of evaluating both parties.
On 03-01-2022, I made contact with Ms. Barrascout, who was still admitted at Regions Hospital.  Ms. Barrascout began crying and said she didnt remember what happened, she was going to the Casino and she must have been too tired.  I explained to Ms. Barrascout what a medical release of information was and asked if she would be willing to sign one.  From here she requested to speak with her attorney.
On 03-03-2022, I was informed Mr. Detviler died from his injuries, while at Regions Hospital.  I was unable to previously obtain a medical release of information due to his condition.
END OF REPORT</t>
  </si>
  <si>
    <t>Unit #1 was southbound on Ravenna Trail and struck a deer.</t>
  </si>
  <si>
    <t>Unit 1 was traveling southbound Ravenna Trail near Polk Avenue at approximately 60 miles per hour. A deer crossed the roadway in front of Unit 1. Unit 1 did not have reaction time to avoid collision with deer. Unit 1 loss control of the motorcycle and layed bike down on left side. Driver of Unit 1 located in the north ditch of Ravenna trail. Passenger of Unit 1 located in middle of Roadway of Ravenna Trail. The crash of Unit one resulted in the death of the passenger on the back of Unit 1. See incident 22001297 for further information.</t>
  </si>
  <si>
    <t>Unit 1 was traveling South on Ravenna Trail. Just South of Polk Avenue a deer struck the driver side of her vehicle breaking off the mirror and denting the entire left side of Unit 1.</t>
  </si>
  <si>
    <t>On 05-29-2022 at 2330 hours, I, Deputy Regenscheid, badge number 176, was dispatched to horses in the roadway on Ravenna Trail at Blackbird trail, in Ravenna Township, Dakota County.  While looking for the horses, a second call came in for a property damage motor vehicle accident on Ravenna Trail, just North of Blackbird Trail, involving a horse.
Unit 1 was traveling Northbound Ravenna Trail, just North of Blackbird trail, when a horse ran into the roadway from the East.  Unit 1 hit the horse, causing a moderate amount of damage.  The horse ran off and was found running around.
The owners granddaughter, identified as Katelynn Marie Johnson, DOB 1997-05-14 (PH#: 651-399-8154), showed up shortly after the PDMVACC.  She was able to contain all three horses that got out of their pen.  Ms. Johnson confirmed the owner of the horses to be Carol Ann Schmotter, DOB 1949-09-21, who lives at 17089 Ravenna Trail, where the horses are kept.  It is unknown how the horses got out.
END OF REPORT</t>
  </si>
  <si>
    <t>Unit 1 was driving northbound on Ravenna Trail just north of 175th Street East. A deer crossed the roadway heading eastbound. Unit 1 hit the deer and pulled over. The deer died before first responders arrived.
The driver stated they were traveling under the posted speed limit at 40mphs. Both parties were wearing their seatbelt.</t>
  </si>
  <si>
    <t>The vehicle, bearing MN plate HA2741, appeared to have been traveling southbound on Ravenna Trail, left the roadway right, did a 180 degree turn and stopped facing northbound with a large rock underneath the vehicle.
Inside the vehicle was a note that said " 4:58 AM Edward Lapenotiere everyone is ok went to the casino 651-890-2048." I attempted to call the number on the note and got a voicemail for "Eddy."</t>
  </si>
  <si>
    <t>Dark (Str Lights Off)</t>
  </si>
  <si>
    <t>175TH STREET EAST</t>
  </si>
  <si>
    <t>Other Light Trucks (10,000lbs)</t>
  </si>
  <si>
    <t>On September 24th, 2023, I, Deputy Meaden was on duty and self-assigned to an accident with injuries at County Road 47 and 31st Street East in the City of Hastings. The location of the accident was then changed to Ravenna Trail south of 175th Street in Ravenna Township. A summary of the call notes were as follows: "Head on collision. Tire blew on truck causing truck to swerve into other vehicle."
On arrival I saw Unit 1 facing north and Unit 2 in the northbound lane facing south. Unit 2 was missing both rear wheels. I met with the driver of Unit 2 who stated "the tire blew and sent the vehicle into the other lane." I met with the driver of Unit 1 who said "the other vehicle just came into their lane" Both Unit were towed due to disabling damage to the Southeast Towing lot in the City of Hastings. All occupants of both Units were taken via ground EMS to hospitals. 
The driver of Unit 1 had no apparent injuries after the crash. the front passenger of Unit 1 had 4 fractured vertebrae. The rear passenger of Unit 1 had a fractured hip. The driver of Unit 2 had a fractured L1 vertebrae. The injuries to the passenger of Unit 2 are unknown, but they are in stable condition.
No citations were issued. The case was sent to the County Attorney's Office for charging considerations.</t>
  </si>
  <si>
    <t>At 1500 hours on 2-20-2021 Owner of vehicle #1 reported to me, that on this date at 0200 hours he was involved in a crash at this location. He stated that he was scared to report it at the time and got a ride home. He was here now to report it and get his car towed. He told me that he was southbound on Ravenna Trail just past 185th Street East when he lost control on the corner , overcorrected and slid into an embankment in the ditch on the southwest side of Ravenna Trail. There was moderate damage to the front of the car and undercarriage.</t>
  </si>
  <si>
    <t>Snowbank</t>
  </si>
  <si>
    <t>Vehicle 1 was traveling northbound on Ravenna Trail approaching Blackbird Trail. As vehicle 1 passed Blackbird Trail, vehicle 1 lost control due to icy road conditions. Vehicle 1 then went off road right, on Ravenna Trail into a snowbank. Vehicle 1 came to rest, flipped on its drivers side. No injuries resulted from this accident. Vehicle 1 was towed by Southeast Towing out of Hastings, Minnesota.</t>
  </si>
  <si>
    <t>On February 14th, 2022, at approximately 03:30 hours, Unit 1 was driving Northbound on Ravenna Trail, in Ravenna Township. Witness 1 reported that Unit 1 approached the curve North of the intersection at high speeds. Witness 1 reported he then saw the vehicle in the ditch on the East side of Ravenna Trail, just North of Blackbird Trail.
Deputies arrived on scene and found 3 occupants being medically treated by Hastings Fire EMS. Driver 1 and Passenger 1 and 2 were identified. None of the 3 occupants spoke English, so they could not provide any information on what happened. All 3 occupants were transported to Regina Hospital by Hastings Fire EMS, with suspected minor injuries.
It appeared Unit 1, took approached the curve with too much speed and ran off the road. Road conditions were snowy and icy. Deputies took photographs of the damage to Unit 1 and to the private property.
The driver of unit 1 was cited for duty to drive with due care and driving without a valid license. 
Unit 1 was towed by Southeast Towing out of Hastings.</t>
  </si>
  <si>
    <t>On September 09, 2021 at 0352 hours, unit 1 was traveling Northbound on Ravenna Trail in Ravenna Township, Dakota County.  Driver of Unit 1 explained on Ravenna Trail, approximately in-between 185th St E and Blackbird Trail, a deer ran into the roadway from the East and unit 1 hit the rear legs of the deer with its front driver's side corner.</t>
  </si>
  <si>
    <t>Negotiating a Curve</t>
  </si>
  <si>
    <t>On 09/15/2019 at 2105 hours, Unit 1 was driving south on Ravenna Trail. Unit 1 was fleeing from Police Officers after being initially stopped for multiple violations. Unit 1 was driven by Joel Vargas (DOB 1988/07/26), with front passenger named Stephanie Lynn Haik (DOB 1984/08/27). 
Unit 1 was travelling at speeds up to approximately 90-110 MPH driving south Ravenna. Officers lost sight of vehicle prior to the accident. Unit 1 crossed the center line numerous times during the pursuit. Unit 1 attempted to negotiate a right curve and continued straight off the road way. Unit 1 continued off the roadway approximately 25-30 yards on the east side of Ravenna Trail. Unit 1 struck a tree near the driver's side front quarter panel. Joel and Stephanie fled from the Unit 1, and Officers could not locate them. No signs of injuries around the Unit 1. 
Photographs were taken at the scene. Unit 1 was towed back to Hastings Police Department for further investigations. See BWC, Squad Footage, and C#19002407 for further information.</t>
  </si>
  <si>
    <t>Driveway Access Related</t>
  </si>
  <si>
    <t>185TH STREET E</t>
  </si>
  <si>
    <t>Left Turn</t>
  </si>
  <si>
    <t>Unit 1 was driving southbound Ravenna Trail. Unit 1 was attempting to make a left turn into the driveway of 18140 Ravenna Trail in Ravenna Township. Unit 2 was southbound Ravenna Trail. Unit 1 made a left turn and crashed into the driver's side of Unit 2. Unit 2 airbags were deployed and the driver of Unit 2 had a small scrape on his nose. Both driver's of bout Units denied medical attention.
The driver of Unit 1 said he was turning into the driveway to deliver a package for UPS. He did not see Unit 2 due to the sun being in his eyes when he made the turn.
The driver of Unit 2 said he was driving home. While on the way home, Unit 1 turned into him.  
The driver of Unit 1 was issued citation number DC190021901776 for failing to yield right of way while making left turn.
End of Report</t>
  </si>
  <si>
    <t>On 08/23/23 at approximately 0057 hours, a Deputy was dispatched to a no-injury car vs cow accident at 18316 Ravenna Trail in Ravenna Township Minnesota. 
Unit one was traveling North on Ravenna Trail. Unit one struck a cow that was in the roadway on Ravenna Trail, blocking the Northbound lane. Unit one was damaged on the front end and left side.
Mr. Reuter was the owner of the cow that was struck by Unit One. 
Both parties exchanged insurance information.</t>
  </si>
  <si>
    <t>185TH ST E</t>
  </si>
  <si>
    <t>Unit 1 was traveling Northbound on Ravenna Trail at 185th Street East in Ravenna Township, Dakota County, when a deer ran into the roadway from the West.  Unit 1 struck the deer with it's entire driver's side.
END OF REPORT</t>
  </si>
  <si>
    <t>Vehicle 1 was traveling south on Ravenna Trail in the area of 185th Street East. Vehicle 1 struck a deer which crossed the road in front of them. Vehicle 1 was able drive the vehicle about 4 miles south of the accident location, until the vehicle broke down. Vehicle 1 sustained moderate front end damage. No injuries resulted from this accident.</t>
  </si>
  <si>
    <t>185TH STREET EAST</t>
  </si>
  <si>
    <t>UNIT 1 WAS TRAVELING SOUTHBOUND ON RAVENNA TRAIL APPROACHING 185TH STREET EAST.  DRIVER OF UNIT 1 DID NOT FOLLOW ROADWAY AS IT BENDS TO THE LEFT AND DROVE ONTO THE WESTBOUND SHOULDER. DRIVER OVERCORRECTED AND LOST CONTROL OF VEHICLE AS IT HIT GRAVEL AND BEGAN TO ROLLOVER.  UNIT 1 CONTINUED STRAIGHT INTO THE GRASSY AREA AND STOPPED ON ITS ROOF.  BOTH OCCUPANTS WERE ABLE TO EXIT VEHICLE ON THERE OWN POWER. BOTH WERE INJURED AND TRANSPORTED BY MEDICS TO REGINA HOSPITAL. NO SIGNS OF IMPAIRMENT AND NO CITATION ISSUED.  PHOTOS WERE COLLECTED.</t>
  </si>
  <si>
    <t>On December 18th, 2020, I, Deputy Ryan Van Gundy, badge number 132, was on duty and assigned to patrol.
At 2256 hours, I was dispatched to a hit and run vehicle collision near the intersection of Ravenna Trail and 185th Street East in Ravenna Township. When I arrived, I identified the victim's vehicle by its Minnesota license plate number CWM650 as a 2019 Red Chevy Colorado. I spoke with the owner Roger Allan Moritz DOB/1975-07-14, and the driver Elizabeth Holly Sharp DOB/1978-02-11. They told me that they were driving on Ravenna Trail south of 185th Street East when a vehicle spun out and collided with their vehicle. This collision caused damage to the driver side rear wheel of the Chevy Colorado. They said after this vehicle collided with them, it pulled over and then left the scene. They did not speak with the driver of this vehicle.
Before I arrived, they had collected front end parts of the suspect's vehicle. While speaking with these parties, Deputy Jon Grimes, badge number 130, arrived and located a Minnesota License plate in the collision area. The Minnesota license plate number was EPR008. Through a records check, the vehicle list to a 2006 Tan Buick Lucerne owned by Michael Daniel Curley DOB/1973-12-31.
I photographed the Chevy Colorado and took an audio recorded statement from Mr. Moritz and Ms. Sharp. In summary, they said they were driving north on Ravenna Trail when a vehicle spun out in front of them and collided with their Chevy Colorado. After the vehicle collided with theirs, it continued southbound on Ravenna Trail. Before I arrived, Ms. Sharp found the front bumper of the vehicle that collided with theirs. No one was injured in this collision.
I requested that Ranger Miranda Snyder, badge number 822, come and provide additional emergency lights. While en route Ranger Snyder saw what she believed to be the Buick Lucerne. She saw this vehicle parked in a parking lot south of Progressive Drive in the City of Hastings. Hastings Police Officer Nicholas Cross, badge number 1426, and Deputy Grimes responded to check on the vehicle. The vehicle had a license plate that matched the one found by Deputy Grimes, heavy front-end damage, and it was unoccupied. I arrived at their location and photographed the vehicle. This vehicle was also missing a headlight.
I took the license plate (evidence item #1) and headlight (evidence item #2) that was found near the area of the collision as evidence. I placed these two items into evidence locker number five at the Dakota County Sheriff's Office.
On December 19th, 2020, at 1814 hours, I made phone contact with Mr. Curley. This phone conversation was audio-recorded. He said he sold this Buick yesterday to a man named Chuck Hamer. He sold it to him for $800, but Mr. Hamer has only paid $200 as a down payment. Mr. Curley said he sent a Facebook message to Mr. Hamer asking about the accident. Mr. Hamer responded and said he was in an accident last night. Mr. Curley sent me a picture of Mr. Hamer's Facebook profile picture. That photo is attached to this case file. In a DVS search, I found Charles Joseph Hamer DOB/1977-03-06. In a review of his DVS photo, I found the photo matches the Facebook photo Mr. Curley sent me.
On December 20th, 2020, I made phone contact with Mr. Hamer. In this audio recorded phone conversation, Mr. Hamer said he hit a patch of ice and then hit a truck on Ravenna Trail. He purchased the car from Mr. Curley on the same day as the accident. He said he fled the scene because he has warrants and wanted to spend Christmas with his kids, not in jail. Mr. Hamer said he would have someone pick the vehicle up. He also said there was no insurance on the vehicle. In this conversation, Mr. Hamer confirmed his address and date of birth. I told him that I would be mailing him a citation.
Mr. Hamer was mailed citation 19002091873 for the following charges:
171.24.2 Driving after revocation
169.797.3 No insurance - uninsured vehicle driver
169.09.2 Hit and run driver fail to stop for an accident - no injury
BWC and squad video have been marked with this case file number. Audio and photographs are attached to this case file. A State Accident Report has been completed.
End of report.</t>
  </si>
  <si>
    <t>On January 30th, 2022, Dakota County Deputies responded to a report of a pickup truck that crashed into a tree.
Upon arrival, it was apparent that Unit 1, bearing Minnesota license plate ETB042, went off the roadway and crashed into a large tree. Unit 1 had significant damage to all parts. Unit 1 was unoccupied with no one around the vehicle. All of the airbags were deployed.
I contacted the registered owner, via cell phone, and learned he was driving to the casino when ran off the roadway and struck a tree. Driver 1 said he got out of the vehicle and hitched a ride to Treasure Island Casino. He said he was not injured but he could not get out of his car for about 30 minutes. He refused medical attention. I told him, Unit 1 was going to be towed to Siewert's Towing in Cannon Falls. I then lost connection with the Registered Owner/Driver 1. 
The vehicle was towed by Siewert's towing.</t>
  </si>
  <si>
    <t>Unit 1 was NB Ravenna Trail. Road conditions were frost covered and slippery. Unit 1 entered the left uphill curve and began to slide into the left oncoming lane. Unit 1 corrected and began to slide towards the ditch. Unit 1 entered the ditch right. Unit 1 came to rest in a tree line in the right ditch.</t>
  </si>
  <si>
    <t>Vehicle 1 was traveling north on Ravenna Trail, approaching 185th street East. Vehicle 1 lost control due to icy road conditions and went off road right. Vehicle 1 then collided with a tree in the ditch. Vehicle 1 sustained moderate front end damage, and damage to the front driver's side tire. Vehicle 1 driver was checked and cleared by medics on scene for minor back/neck pain. Vehicle 1 was towed by Southeast Towing out of Hastings.</t>
  </si>
  <si>
    <t>200TH STREET E</t>
  </si>
  <si>
    <t>Unit 1 was driving southbound Ravenna Trail approaching 200th Street East. Unit 1's rear tires broke loose on the ice/slushy road causing the vehicle loose control. Unit 1 went off the roadway left. Unit 1 entered the left ditch and caused Unit 1 to roll over. Unit 1 came to stop on its roof.
Driver of Unit 1 informed me his rear tires need to be replaced and it was why the rear end broke loose. He only replaced the front tires of the vehicle recently. The driver of Unit 1 said auto shops would not replace just his front tires as he requested. The auto shops informed the driver it is a liability to not replace all of the bad tires at once and refused service.  
End of Report.</t>
  </si>
  <si>
    <t>Unit one was traveling north on Ravenna Trail about a mile south of 185th St.  The driver went into the east side ditch and struck a tree.  No apparent injuries. Driver's email address:  erodwilliams@gmail.com</t>
  </si>
  <si>
    <t>Vehicle 1 was traveling northbound of Ravenna Trail from 200th Street East. Vehicle 1 passed a vehicle traveling at slow speeds in a legal passing zone. As vehicle 1 returned to the northbound lane, vehicle 1 caught the shoulder and lost control. The shoulder was covered in hard packed snow and ice. Vehicle 1 then went off road right, and rolled over in the ditch coming to rest on the vehicles roof. Vehicle 1 sustained disabling damage, and was towed by Southeast Towing. No injuries resulted from this accident.</t>
  </si>
  <si>
    <t>On September 21, 2019 at approximately 1730 hours, Unit 1 was traveling South bound on Ravenna Trail.  Unit 1 was slowly moving forward as there was a back up to turn east bound 200th Street East.  Unit 2 rear ended Unit 1. Unit 2 male ran up to Unit 1 driver and stated he was sorry.  Unit 2 did a U turn and left the scene of the accident. Unit 2 occupants stated they left because they didn't see any damage to either vehicles.</t>
  </si>
  <si>
    <t>08-TWNS</t>
  </si>
  <si>
    <t>0800006594641102-I</t>
  </si>
  <si>
    <t>Unit one was driving Northbound on Ravenna Trail. Unit two was stopped at stop sign on 185th Street at Ravenna Trail. Driver one turned left onto 185th Street. Driver two turned left from 185th Street onto Ravenna Trail. Unit two struck Unit one. Unit 2 failed to yield the right of way to unit 1 and the driver was cited.</t>
  </si>
  <si>
    <t>Segment Crash Data: Detour Route Section 1 (Glendale Road)</t>
  </si>
  <si>
    <t>On June 29th, 2023, Dakota County Sheriff's Office Deputies were dispatched to 16185 Nicolai Avenue in Marshan Township for an accident with no injuries at 1708 hours. 
Deputies arrived on the scene and observed Unit 1 on the shoulder of Nicolai Avenue in front of the address and Unit 2 in the middle of the road disabled. Deputies spoke with both drivers. 
The driver of Unit 1 was an older male believed to have dementia. The driver was not making sense of what they were saying but kept repeating they were out getting the mail. The driver was believed to be facing north on Nicolai Avenue before they made a left-hand turn to return to the address. While making the left-hand turn, they collided with Unit 2. The driver did not need medical attention. They were given citation 190023901023 for driving after cancelation, duty to drive with due care, and failing to yield the right of way. A driver exam and medical exam is requested for this driver. 
The driver and young passenger of Unit 2 were seen by Hastings Fire Medics and were cleared at the scene. The driver stated they were traveling south when Unit 1 turned in front of them, causing them to collide. Unit 2 was towed by Southeast Towing out of Hastings due to disabling damage to the front end. 
Body-worn camera and squad footage were marked and will be saved to this case file. Photos will be uploaded to this file. 
END OF REPORT.</t>
  </si>
  <si>
    <t>160TH ST E</t>
  </si>
  <si>
    <t>Wrong Way into Opposing Traffic</t>
  </si>
  <si>
    <t>Wrong Side or Wrong Way</t>
  </si>
  <si>
    <t>Unit One was driving Northbound on Nicolai Avenue in Marshan Township. As Unit One was approaching the driveway of 16185 Nicolai Avenue, Unit Two exited the driveway. Unit One slowed down when Unit Two entered the roadway.
Unit Two proceeded to drive southbound in the northbound lane of traffic towards the oncoming traffic. Unit One came to a complete stop in the northbound lane. Unit Two proceeded to drive straight at Unit One. Unit Two drove approximately 200 feet in the wrong lane of traffic and hit the front of Unit One. Unit Two proceeded to pick up the front of Unit One with the loader bucket of Unit Two. 
Unit Two set Unit One back down, turned around, and drove back into the drive way of 16185 Nicolai Avenue. Unit One pulled over on the shoulder and waited for responders to arrive.</t>
  </si>
  <si>
    <t>On 10/17/22 at 0540 hours, I (Ofc. Bukkila #1429) went to Glendale Dr by Spiral Blvd for a vehicle verses deer crash.
I spoke to the driver Jennifer Lynn Anderson 4/13/1954 she said she was north on Glendale Rd when three deer came out of the woods on her right side. One of the deer broadsided the vehicle on the passenger side front tire. Slight damage on the tire/rim and possibly other areas.
Deer continued on it's way. 
Information only</t>
  </si>
  <si>
    <t>On 03/15/2019 at approximately 0005 hours I, Officer Beuch, was dispatched to the area of Ravenna Trail and Glendale Road for the report of a vehicle which had drove off the roadway. Upon arrival I observed a vehicle in the east ditch of Glendale Road. The vehicle had made a southbound turn onto Glendale from Ravenna since Ravenna was barricaded off due to flooding. 
The vehicle had driven off the roadway into significant flooding in the east ditch. The driver was inside the vehicle which was approximately half submerged in the water. She was able to walk out however. She just initially did not want to get wet. She stated she noticed the barricades on Ravenna Trail and made a wide turn onto Glendale. She saw the snow banks and assumed they bordered the road, however they were significantly far from the roadway. She then drove into the large pool of water near the shoulder and got sucked in. The vehicle then was submerged and quit running since the tailpipe was flooded. The vehicle appeared to have electrical malfunctioning as well. She was unfamiliar with the area and did not initially see the water.
I identified the driver and collected insurance information. There were no signs of impairment. The vehicle was removed from the water by South East Towing. It would not start and appeared to have issues with electronics. The vehicle was towed to South East's Yard and she was given a ride to gas station. Photos were taken.</t>
  </si>
  <si>
    <t>On 10/11/19 at around 0209hrs, I, Officer Vomastek, was flagged down by an individual at the intersection of Vermillion Street and 10th Street. The individual informed me that he had just hit a coyote and the front end of his vehicle was damaged. The accident occurred at the intersection of Glendale and Ravenna Trail. 
I identified the individual by MN DL as Nathan Paul Schauer DOB 10/01/1979, Driver 1. Driver 1 was operating a 2014 Hyundia Sonata, Unit 1. On 10/11/19 at around 0150hrs, Driver 1 was traveling westbound on Ravenna Trail near the intersection of Glendale when a coyote ran out in front of him. Driver 1 was unable to stop for the animal and struck it with the front end of Unit 1. I looked at Unit 1 and observed the front bumper to be cracked and pushed it. As I looked closer, I observed the motor's radiator to also be pushed it. I took pictures of the damage and attached them to the report. 
Driver 1 was insured through American National Prop and Cas Co. The policy number was 22-A-86051U-5.</t>
  </si>
  <si>
    <t>05-MSAS</t>
  </si>
  <si>
    <t>SPIRAL BLVD</t>
  </si>
  <si>
    <t>0500023943200140-I</t>
  </si>
  <si>
    <t>On 2/4/19 at 626hrs, FTO Jacobson and I, Officer Vomastek,  were dispatched to a traffic accident near the intersection of Spiral and Voyageur way.
I went to the intersection and identified the two vehicles involved. Unit 1 was identified as a 2005 white Hyundai Elantra, MN plates 142 UKN. Unit 1, Driver 1 was identified as Andrew Joseph Johnson, DOB 11/04/1999. Driver 1 stated he was driving eastbound on Spiral and proceeded down the hill. As Driver 1 proceeded down the hill, Unit 2 entered into the eastbound lane. Driver 1 said he attempted to stop for Unit 2 but was unable to due to the icy roads. Unit 1 had significant front end damage and the airbag was deployed. 
I identified Unit 2 as a 2016 blue Ford Fusion MN plates 563TXK. Unit 2, Driver 2 was identified as Daniel Thomas Sulivan DOB 08/10/1986. Driver 2 stated he was going up the hill, westbound, on Spiral. Due to the icy road conditions, Unit 2 lost traction to the road. Unit 2 slid down the hill and into the eastbound lane. Unit 2 was struck by Unit 1. Unit 2 had significant damage to the right rear passenger fender.  
Both Unit's were towed by South East towing. Both drivers were given a copy of the driver exchange information.</t>
  </si>
  <si>
    <t>Segment Crash Data: Detour Route Section 2 (Red Wing Boulevard)</t>
  </si>
  <si>
    <t>03-MNTH</t>
  </si>
  <si>
    <t>RED WING BLVD</t>
  </si>
  <si>
    <t>200TH ST</t>
  </si>
  <si>
    <t>0300000000000316-I</t>
  </si>
  <si>
    <t>Medical Issue (Ill, Sick or Fainted)</t>
  </si>
  <si>
    <t>MN State Patrol District 2400 - Oakdale</t>
  </si>
  <si>
    <t>State Patrol</t>
  </si>
  <si>
    <t>THIS CRASH OCCURRED ON SB 316 JUST NORTH OF 200TH STREET, RAVENNA TOWNSHIP, DAKOTA COUNTY.
V1D1 WAS SB 316.  D1 WENT OFF THE ROAD TO THE LEFT, STRUCK A SIGN AND THEN THEN INSIDE OF A GUARDRAIL.  AFTER STRIKING THE GUARDRAIL, V1 ROLLED ONE TIME.  D1 WAS PICKED UP FROM THE SCENE AND WAS TAKEN TO RED WING HOSPITAL.  
D1 WAS CITED FOR NUMEROUS VIOLATIONS INCLUDING NO INSURANCE AND HIT &amp; RUN.
V1 WAS TOWED BY SOUTHEAST TOWING - HASTINGS.</t>
  </si>
  <si>
    <t>PINE RIDGE RD</t>
  </si>
  <si>
    <t>On October 15th, 2021 at approximately 21:39 hours, vehicle 1 was driving Northbound on HWY 316 near Pine Ridge Road in Ravenna Township, Dakota County.  A deer ran from the West side of the road and ran in front of vehicle 1 just South of Pine Ridge Road.  Vehicle 1 hit the deer with its front drivers side bumper, quarter panel, and side mirror.  Deer was gone, but there was deer hair stuck between the front quarter panel and bumper.
END OF REPORT</t>
  </si>
  <si>
    <t>RED WING BLVD AT 200TH ST</t>
  </si>
  <si>
    <t>SB MNTH 316 AT 200TH ST
DV1 stated he was heading south when a vehicle passed going the opposite way and right after that a deer came out onto the road and he was unable to avoid hitting the deer.  He stated he hit the brakes but it was too late to stop.  
One possible injury was reported.
One tow was needed for V1.</t>
  </si>
  <si>
    <t>Roadway Sign or Sign Structure</t>
  </si>
  <si>
    <t>UNIT WAS NORTHBOUND MNTH 316 APPROACHING PINE RIDGE ROAD WHEN DRIVER DOZED OFF. UNIT THEN CROSSED CENTERLINE, INTO SOUTHBOUND LANE, THEN INTO CULVERT SENDING THE UNIT AIRBORNE AND INTO A ROAD SIGN COMING TO REST IN THE SOUTHBOUND DITCH.
STATE PROPERTY: SIGN, WHITE BYPASS LANE
UNIT TOWED BY SOUTHEAST HASTINGS TOW</t>
  </si>
  <si>
    <t>Cargo Van 10,000lbs Less (No Seats Behind Driver)</t>
  </si>
  <si>
    <t>UNITS 1 AND 2 WERE DRIVING SOUTHBOUND ON MNTH 316 PASSING SOUTH OF 190TH STREET IN RAVANNA TOWNSHIP.  UNIT 1 WAS AHEAD OF UNIT 2.  
DRIVER 1 STATED THAT HE WAS STOPPED IN THE SOUTHBOUND LANE OF MNTH 316 WAITING TO TURN LEFT INTO HIS DRIVEWAY WHEN HIS UNIT WAS HIT FROM BEHIND BY UNIT 2.  DRIVER 1 WAS ABLE TO PULL TO THE RIGHT SHOULDER.  
DRIVER 2 STATED THAT HE WAS DRIVING SOUTHBOUND ON MNTH 316 BEHIND UNIT 1.  DRIVER 2 STATED THAT HE SAW UNIT 1 A WAYS AHEAD OF HIM AND SAW THAT IT WAS BRAKING.  DRIVER 2 SAID THAT HE HAS ALLERGIES AND BEGAN TO HAVE A SNEEZING ATTACK.  DRIVER 2 SAID THAT SUDDENLY, UNIT 1 WAS AHEAD OF HIM STOPPED AND HE WAS NOT ABLE TO AVOID UNIT 1.  UNIT 2'S FRONT END IMPACTED THE REAR END OF UNIT 1.  UNIT 2 BECAME DISABLED IN THE SOUTHBOUND LANE.  
UNIT 1 SUSTAINED DAMAGE TO THE REAR END AND WAS TOWED FROM THE SCENE.  UNIT 2 SUSTAINED DAMAGE TO THE FRONT END AND WAS TOWED FROM THE SCENE.  NO INJURIES.</t>
  </si>
  <si>
    <t>BOTH UNITS NB ON USTH 315. UNIT 2 SLOWED DUE TO SLOWED DUE TO TRAFFIC IN FRONT OF HIM SLOWING. DRIVER OF UNIT 1 SAID HE WAS LOOKING DOWN AT HIS GPS ON HIS PHONE. WHEN HE LOOKED UP HE SAW TRAFFIC SLOWING. UNIT 1 RAN INTO THE BACK OF UNIT 2.</t>
  </si>
  <si>
    <t>MN State Patrol District 2100 - Rochester</t>
  </si>
  <si>
    <t>Unit 1 is a Jeep Liberty MN license plate CHW284 driven by Eugenia Simpson (03/02/1952).
Unit 2 is a Honda Odyssey MN license plate 389RUT driven by Edward John Koenigs (11/23/1971).  The passengers in this unit were Rachel Ann Koenigs (10/09/1973), who was in the front right passengers seat. The two passengers in the back seats were Lauren Rose Koenigs (05/24/2003), and Claire Elizabeth Koenigs (07/18/2007). 
I spoke to both driver's involved in this crash.  KOENIGS was stopped on MNTH 316 at Bauer Circle with his left blinker on to turn left onto Bauer Circle.  SIMPSON was traveling Southbound MNTH 316.  There is a bypass lane at this intersection for vehicles to pass on the right, if there is a vehicle turning left onto Bauer Circle.  KOENIGS stated that two cars behind him took the bypass lane to the right, then he saw the Jeep Liberty behind him not slowing down.  KOENIGS stated that he attempted to hit the gas and move forward to avoid getting rear-ended, but the Jeep Liberty rear-ended him.
SIMPSON stated that when she was traveling SB on MNTH 316 she was following a vehicle that "switched lanes" (to the bypass lane), and then there was a car parked in the road, and she stated she put stepped on her brakes, but didn't have enough time, and rear-ended the vehicle.  SIMPSON stated she was traveling between 50-60 MPH.  SIMPSON was taken by Hastings Ambulance to United Hospital with chest pain.  
No other injuries were reported in this crash.  The Jeep Liberty was towed by Midway Auto out of Red Wing.  Dakota County Sheriffs Office assited on scene.  No airbags in either vehicle deployed.  The Honda Odyssey was driven from the scene to the nearby home of Edward Koenigs. 
SIMPSON was the at fault driver in this crash and was cited with MN Statute 169.14.1 Duty to drive with due care.</t>
  </si>
  <si>
    <t>Crash occurred on hwy 316 at Oxley Ave.
Driver 1 said he was NB on Hwy 316 when he observed another vehicle began to drift into his lane. Driver 1 said he swerved to avoid the vehicle which caused him to lose control on his vehicle, cross over past the SB lane and into the west ditch where it struck a tree and power line pole. The impact caused the power lines to come down over Hwy 316 and caused a residence at 19420 Oxley Ave to lose power in their backyard shed.
Minor injuries, vehicle was towed, no citations.</t>
  </si>
  <si>
    <t>V1 WAS SB ON 316 AND V2 WAS NB 316.
THE CRASH OCCURRED ON HWY 316 NORTH OF BAUER CIRCLE. 
V1 CROSSED CENTER LINE AND HIT V2 HEAD ON. 
DRIVER OF V1 FLIGHTED TO REGIONS. 
DRIVER OF V2 TAKEN BY GROUND AMBULANCE TO REGIONS. 
BOTH VEHICLES TOWED BY SOUTHEAST.
STATE PATROL DID A RECON OF THE CRASH.</t>
  </si>
  <si>
    <t>Unit 1 was going south on MN 316.  driver said she was going approximately 50 mph and ran over black ice.  She lost control in went into the ditch.  The vehicle overturned.</t>
  </si>
  <si>
    <t>Four-Way Intersection</t>
  </si>
  <si>
    <t>The crash happened at the intersection of Minnesota Trunk Highway 316 (MNTH 316) at 190th St.  Unit 1 (Chevrolet) was traveling westbound on 190th St.  Unit 2 (Ram) was traveling south on MNTH 316.  Traveling on 190th St. there is a stop sign before entering MNTH 316.  I spoke with witness Bart Cordes and he stated that he was behind the Ram traveling at the posted speed limit.  Stated it appeared that the other vehicle came to a stop then proceeded through the intersection.  The driver of Unit 1 stated he looked both ways and did not see anyone so proceeded through.  The front of Unit 1 made contact with the driver-side of Unit 2 in the southbound lane of MNTH 316.  The driver of Unit 1 stated he bought the vehicle on Monday and made contact with insurance company.  During our time on-scene, the insurance company for Unit 1 stated they would tell him if the crash was covered within 24 hours.  All parties declined medical.  Both vehicles were towed from the scene.</t>
  </si>
  <si>
    <t>UNIT 1 S/B ON MNTH 316.  UNIT 1 WENT OFF THE ROAD TO THE RIGHT AND HIT A POWER POLE.  POLE OWNED BY DAKOTA ELECTRIC</t>
  </si>
  <si>
    <t>Unit 1 was traveling northbound on Redwing Boulevard and collided with a deer north of Orlando Avenue.  Unit 1 had moderate front damage. Unit 1 was towed from the scene by a private tow.</t>
  </si>
  <si>
    <t>On October 12th, 2019, at around 2200 hours, I, Deputy Jon Grimes, badge number 130, was driving west on 200th Street, approaching Highway 316.  Unit 1 was two vehicles in front of me and as we approached Hwy 316, I saw unit 1 cross over the fog line and almost drive into the ditch.  As unit 1 approached the intersection (controlled by a stop sign), unit 1 drove past the stop sign and came to a stop partially blocking the northbound lane of Hwy 316.  Unit 1 made a right turn to go north on Hwy 316.  When unit 1 made the turn, they made a wide turn and began driving north in the southbound turn lane on Hwy 316.  Unit 1 corrected itself and began driving north in the northbound lane of Hwy 316.
I turned on my emergency lights and unit 1 continued driving at a slower speed than the posted speed limit (60 MPH).  I activated my emergency sirens and the vehicle continued driving.  Around the area of Hwy 316 and Bauer Circle, unit 1 slowed significantly and it appeared it was going to stop.  Instead, it side swiped a mailbox at a slow speed, causing the passenger side mirror to come off.
Unit 1 drove to the driveway of 19330 Red Wing Boulevard (Hwy 316 is also Red Wing Boulevard).  Unit 1 attempted to turn into the driveway.  Instead, it drove through the culvert style ditch north of the driveway and came to a stop across the driveway of the address.  When the vehicle stopped, I saw the windshield was significantly caved in.  It was obvious the vehicle had been involved in a crash.
The driver was ordered out of the vehicle and placed under arrest.  The driver tested a .16 on the DMT-g with fuel cell option.
Deputies later found the mailbox at 18355 Red Wing Boulevard (Berean Bible Baptist Chruch) was missing.  The following day, a Deputy located the mailbox in the area of Hwy 316 and Pine Ridge Road.
The driver was arrested for 3rd degree DWI and failure to maintain single lane.</t>
  </si>
  <si>
    <t>Other - Non-Motorist</t>
  </si>
  <si>
    <t>WB HWY 316 AT 180TH ST</t>
  </si>
  <si>
    <t>Other Personal Conveyance</t>
  </si>
  <si>
    <t>Travel Lane - Other Location</t>
  </si>
  <si>
    <t>Westbound highway 361 at 180th St E. Weather/road conditions: clear/dry.
Driver of unit 1 stated he was traveling WB on highway 361 at approximately 62-63mph. Driver of unit 1 stated he saw the red tractor cross the highway but did not see the equipment that was being pulled behind it across the road. Unit 1 crashed into the farm equipment (sprinkler). No injuries.
Driver of unit 2 stated he waited for traffic to clear prior to crossing the roadway with his equipment. Driver of unit 2 stated he saw unit 1 and estimated at least a 1/4 mile of distance prior to crossing. No injuries. (Reuter Farms farm insurance is with Vasa Spring Garden Mutual, Policy # 2888.  Nelson Insurance Agency handles their farm insurance)</t>
  </si>
  <si>
    <t>Work on Shoulder/Median</t>
  </si>
  <si>
    <t>Has Been Taking Illicit Drugs</t>
  </si>
  <si>
    <t>UNIT 1 WAS TRAVELING AT A HIGH RATE OF SPEED NB ON HWY 316 / MICHAEL AVE IN AN ERRATIC DANGEROUS MANNER. 
UNIT 2 WAS TRAVELING SB ON HWY 316 / MICHAEL AVE ACCELERATING UP TO THE SPEED LIMIT. 
UNIT 1 DRIVER SAID HE WAS PLAYING CHICKEN WITH THE SEMI PRIOR AS UNIT APPROACHED THE SEMI, RETURNED TO ITS NB LANE, AND THEN UNINTENTIONALLY SWERVED INTO THE SB LANES AND STRUCK UNIT 2. 
UNIT 2 DRIVER SAID UNIT 1 WAS DRIVING AT A HIGH RATE OF SPEED, BRAKING HARD, SWERVING INTO THE SB LANES, AND THEN STRUCK HIM DRIVER SIDE TRAILER WHEELS. 
UNIT 1 MINOR INJURIES
UNIT 1 TOWED BY SOUTH EAST TOWING
UNIT 1 DRIVER ARRESTED FOR DWI AND ASSAULT
END OF REPORT</t>
  </si>
  <si>
    <t>UNIT 1 N/B ON MNTH 316.  UNIT 1 FELL ASLEEP AND WENT OFF THE ROAD TO THE LEFT INTO THE WEST DITCH.  UNIT 1 HIT A COUPLE OF SUPPORT WIRES THAT HOLD THE ELECTRIC POLE.  SUPPORT WIRES SHOT UP TO THE TOP AND KNOCKED THE POWER OUT.  DAMAGE TO THE FRONT OF UNIT 1
DRIVER OF UNIT 1 SAID HE MAY HAVE A POSSIBLE EXHAUST LEAK.  HE SAID HE PATCHED IT LAST WEEK AND COULD FEEL HIMSELF GETTING VERY TIRED AS HE WAS NORTH BOUND ON MNTH 316 AFTER WASHING HIS CAR</t>
  </si>
  <si>
    <t>Intersection Related</t>
  </si>
  <si>
    <t>SB MNTH 316/RED WING BLVD</t>
  </si>
  <si>
    <t>MNTH 316 at Nicolai Avenue. Weather conditions sunny/dry.
Driver of Unit 1 stated he was traveling north on MNTH 316. He noticed a vehicle traveling westbound on Nicolai Avenue. He was slowing as the vehicle was still moving towards the stop sign. He then felt the impact of Unit 3. This caused his truck to spin out, in addition items flew out from the bed of the truck.
Driver of Unit 2 stated she was traveling south on MNTH 316. She quickly noticed the crash and still traveling at roadway speeds, items from Unit 1 flew up and hit her vehicle.
Driver of Unit 3 stated he was traveling west on Nicolai Avenue. He was behind a mini van that slowed at the stop sign. He continued through the stop sign and struck Unit 1.Unit 1 then spun out of control and stopped int he middle of the roadway.
Minor injuries at scene.
Driver of Unit 3 was cited for fail to obey traffic control device citation # 881906370324</t>
  </si>
  <si>
    <t>CRASH HAPPENED EASTBOUND ON HIGHWAY 316 AT THE INTERSECTION OF NICOLAI AVE (CR91). VEHICLE 1 WAS SOUTHBOUND ON NICOLAI AVE APPROACHING THE INTERSECTION OF HWY 316.  VEHICLE 1 TRIED STOPPING FOR THE STOP SIGN BUT WAS GOING TOO FAST FOR THE ROAD CONDITIONS AND COULD NOT STOP.  VEHICLE 1 SPUN OUT, WENT THROUGH THE STOP SIGN AND INTO TRAFFIC ON HIGHWAY 316.  VEHICLE 2 WAS EAST ON HIGHWAY 316 AND COULD NOT AVOID VEHICLE 1.  VEHICLES CRASHED IN THE INTERSECTION,  VEHICLE 2 THEN RAN OFF THE ROAD TO THE LEFT.</t>
  </si>
  <si>
    <t>ALL FOUR VEHICLE'S WERE SOUTHBOUND ON MNTH 316 IN THE SINGLE SOUTHBOUND LANE OF TRAFFIC. VEHICLE 1 WAS IN THE LEAD, STOPPED IN TRAFFIC BEHIND A VEHICLE WHO WAS YIELDING TO MAKE A LEFT TURN. VEHICLE 2 WAS STOPPED BEHIND VEHICLE 2. VEHICLE 3 WAS STOPPED BEHIND VEHICLE 2. VEHICLE 4 WAS MOVING FORWARD IN TRAFFIC; WHICH THE DRIVER OF STATED SHE WAS REACHING DOWN GRAB HER WATER BOTTLE, WHEN SHE LOOKED UP AND SAW TRAFFIC AHEAD STOPPED, SHE STARTED SLOWING. VEHICLE 4 THEN REAR ENDED VEHICLE 3, PUSHING VEHICLE 3 ONTO THE RIGHT SHOULDER. AFTER REAR ENDING VEHICLE 3, VEHICLE 4 REAR ENDED VEHICLE 2, CAUSING VEHICLE 2 TO REAR END VEHICLE 1.
THE DRIVER OF VEHICLE 2 WAS SEEN BY HASTINGS FIRE FOR A CUT ON HIS FOREHEAD, BUT DECLINED TRANSPORT TO THE HOSPITAL. 
VEHICLE'S 2 AND 4 WERE BOTH TOWED BY SOUTHEAST TOWING IN HASTINGS.</t>
  </si>
  <si>
    <t>SB MNTH 316 AT 200TH ST E</t>
  </si>
  <si>
    <t>SB MNTH 316 AT 200TH ST
DV1 stated he was traveling southbound on 316 when a dark blue vehicle ran the stop sign.  Driver stated that he attempted to slow but was unable to avoid crashing into V2.  He stated he observed a female driver and he stated he saw her with her phone in her hand.  He stated himself and a witness stopped and V2 took off the way it came.
DV2 had to be stopped by Prairie Island Police Officer Sam Whitebear #513.  He stated he heard Dakota County radio give a description of a hit and run suspect and stopped the vehicle that fit the description.  V2 had damage on the front passenger side where both DV1 and the witness had stated it would be.  Dakota County Deputy Fendrick tracked leaking fluid from the scene of the crash to where Prairie Island had her stopped.  
DV2 did not speak english and had a friend on the phone translating for her.  She stated she has Covid 19 and was dizzy and short of breath.  Stated she did not see the stop sign and that is why she did not stop.  
Witness stated he was three cars back from V1 and saw V2 fail to stop at the stop sign and stopped in the middle of the intersection.  He stated V1 was not going to be able to avoid the crash.
One possible injury was reported.
V2 was told to make its own tow arrangements
DV2 was cited for Driving after Cancellation, Fail to stop at a stop sign and Hit and Run.</t>
  </si>
  <si>
    <t>0800006594641255-I</t>
  </si>
  <si>
    <t>Unit 1 was traveling south on Hwy 316. Unit 1 got in the eastbound turn lane to turn onto 200th St E. Unit 1 was inching forward while waiting for an opportunity to turn. Unit 1 left its turn lane while inching forward. 
Unit 2 was north on 316. Unit 2 saw Unit 1 was beginning to turn eastbound into his lane and attempted to veer right to avoid a collision. Unit 2's drivers side struck Unit 1's front dumper before going off the roadway. Unit 2 went off a steep ditch and went airborne. Unit 2 rolled landing on its passenger side.
Witnesses and both drivers gave similar accounts for this incident. 
Unit 1 stated the sun was in his eyes waiting to turn and then felt Unit 2 strike his vehicle. 
One witness (Reader) was in the turn lane behind Unit 1 stated. Said Unit 1 kept gradually inching  forward while waiting to turn until he had inched his way out of the turn lane.</t>
  </si>
  <si>
    <t>M</t>
  </si>
  <si>
    <t>Tue</t>
  </si>
  <si>
    <t>S</t>
  </si>
  <si>
    <t>F</t>
  </si>
  <si>
    <t>MNMHP0100</t>
  </si>
  <si>
    <t>Fri</t>
  </si>
  <si>
    <t>MN0190000</t>
  </si>
  <si>
    <t>Segment Crash Data: Detour Route Section 3 (County Road 68)</t>
  </si>
  <si>
    <t>Entering Traffic Lane</t>
  </si>
  <si>
    <t>Vehicle 1 was stopped at the stop sign on 200th Street East to go north on Red Wing Boulevard. Vehicle 1 entered the intersection, and was hit by with vehicle 2 which was traveling southbound on Red Wing boulevard. Vehicle 1 driver stated she couldn't see behind a garbage truck which was turning off Red Wing boulevard to go west on 200th Street East, and thought it was clear for her to enter the intersection. Vehicle 2 driver stated she was driving South on Red Wing Boulevard, approaching 200th Street East. Vehicle 2 driver stated a garbage truck in front of her was turning to go west on 200th Street East. Vehicle 2 driver said vehicle 1 then pulled into the intersection, causing a collision. At this intersection, vehicle 2 had the right of way. Vehicle 1 driver was checked by medics but declined transport. Both vehicle were towed from the scene by Southeast Towing.</t>
  </si>
  <si>
    <t>Traffic Signal or Signal Structure</t>
  </si>
  <si>
    <t>On March 7, 2020 at 2100 hours, I Deputy Schepers #173 was dispatched to a stop sign down at Highway 316 and 200th Street East in Ravenna Township. I observed the stop sign from west bound 200th Street to Highway 316 was knocked over laying on the ground.  I saw tire tracks then went onto the shoulder, ran over the stop sign, and continued onto north bound Highway 316.  There was a blue fender from a GM vehicle and a washer fluid container left in the ditch.  I contacted Minnesota DOT to replace the stop sign. MN DOT arrived on scene and put up a new stop sign.  A vehicle arrived on scene to take photographs of the scene.  I spoke with Becky Austin (651-388-3667) who stated her mother was the one who ran over the stop sign.  Becky stated her mother, Judy didn't remember what happened.  Becky stated her mother arrived home with obvious damage to her Gran Prix.  The fender left at the scene matched the damage done to her vehicle and the color.  Becky provided me with her mother's information.</t>
  </si>
  <si>
    <t>Both vehicles were west bound on 200th Street.
V2 stopped in the right turn lane at stop sign with intersection of Hwy 316.
V1 stopped behind V2.
V1 saw an opening and thought V2 was going to turn, V1 started to move forward and rear ended V2.
No injuries reported.
No tows needed.
V1 called Hastings PD for a jump</t>
  </si>
  <si>
    <t>Fog/Smog/Smoke</t>
  </si>
  <si>
    <t>Unit 2 was traveling west bound on 200th Street.  Unit 2 slowing at the stop sign on 200th street at the intersection of Red Wing Boulevard. Unit 1 was also traveling west bound on 200th street behind Unit 2.  Driver of Unit 1 said he didn't see the vehicle and attempted to break.  Unit 1 collided with the rear end of Unit 2.
The front airbags in Unit 1 were deployed.  Driver of Unit 1 was seen by medics on scene but declined any medical attention.  Unit 1 had severe damage to the front end and was towed from the scene.
Unit 2 did not have any airbags deployed and there were no apparent injuries.  Unit 2 had moderate damage to the rear end of the vehicle.  Unit 2 was able to drive away from the scene.
The driver of Unit 1 was cited for failure to yield.</t>
  </si>
  <si>
    <t>Prairie Island</t>
  </si>
  <si>
    <t>Deputies were dispatched to a motorcycle rider down in the ditch northeast of the intersection of MN 316 and 200th Street East.   The rider of the motorcycle was identified by his Minnesota license as Peter Jeffery Hanson date of birth 06/03/1960.  He was also the owner of the motorcycle.   
Hanson went off road right near the curve on 200th Street that is close to he intersection at MN 316.   His tracks indicated he drove straight into the ditch and then it appeared his front wheel caught the ditch and he tipped over.   Hanson was a little confused but mostly coherent.   He was confused what happened.   Medics treated his injuries and eventually transported him because he was roughed up from falling off the motorcycle.  
I gathered Hanson's information before he left the scene.  Impairment was not suspected.   
On 9/21/2022 Hanson called me and told me thought maybe another vehicle may have forced him off the road.  He described the other vehicle as coming up on his side going the same direction and he had to make a choice so he chose the ditch.</t>
  </si>
  <si>
    <t>DC23001667</t>
  </si>
  <si>
    <t>Unit 1 was traveling westbound attempting a right hand uphill curve on on 200th street east, East of Redwing Boulevard. Unit 1 was traveling at appropriate speeds. Unit 1 slid on ice and was unable to recover. Unit 1 ran off road into the ditch on the south side of 200th street west.</t>
  </si>
  <si>
    <t>Other - Non Fixed Object</t>
  </si>
  <si>
    <t>On December 28, 2022 at 1834 hours I, Deputy Erik Langgaard badge #164 was dispatched to a single vehicle accident in the Ravenna Township. I arrived and spoke with Margo Jean Bellanger date of birth 07-15-1966, the reporting party, and Mark Allen Bellanger date of birth 01-04-1967. Mr. Bellanger said he was driving eastbound on 200th Street East when he struck an object which was in the trafficway. Mr. Bellanger was driving a 2021 Black GMC Sierra bearing Minnesota license YNF1926. Upon inspection the object appeared to be a chassis for a side by side off-road utility vehicle. There was a piece of cardboard with a handwritten make, model, and VIN taped to the chassis. I was unable to locate a VIN stamped on the chassis. The handwritten markings labeled the chassis as a 2017 Yamaha VXZ 1000. The VIN was 5Y4AN33Y3KA100235. A check through Dakota County Communications (DCC) showed this as a valid VIN and clear with no registered owner.
I took a recorded statement from Mr. and Ms. Bellanger at the scene. Mr. Bellanger said he was driving his truck eastbound on the 200th Street East. He said he was behind a slower vehicle and passed it on the left side. Mr. Bellanger said as he merged back into his lane, he saw a large object in the middle of the roadway. He said he attempted to steer left to avoid it, but instead struck the object, sending it into the right-side ditch and disabling his truck. Mr. Bellanger said he did not see any vehicles in the area which may have been towing the chassis.
I took pictures of the marks in the roadway where the chassis caused scratches, as well as pictures of the chassis. The scratches in the roadway are clearly in the lane of traffic, and consistent with Mr. Bellanger's story. The pictures are attached to this report. The recorded statement I took from Mr. and Ms. Bellanger is also attached to this report. Body Worn Camera footage was marked for preservation.
As there was no identified owner of the chassis at the time of the crash, it was towed and impounded by Southeast Towing in Hastings. Mr. Bellanger ordered a private tow for his vehicle.
END OF REPORT</t>
  </si>
  <si>
    <t>Vehicle 1 was traveling east on 200th Street East approaching Ravenna Trail. A deer ran into the road from the south side ditch of 200th Street East. Vehicle 1 collided with the deer resulting in minor damage to vehicle 1 passenger side front quarter. No injuries resulted from this accident.</t>
  </si>
  <si>
    <t>Vehicle 1 was enroute to a separate accident near 200th Street East and Quamme Avenue. As vehicle 1 was arriving to the scene, vehicle 1 rear ended vehicle 2, which was stalled on the side of the road. At this time, there were multiple vehicles stalled on the shoulder due to severe weather related road conditions. Vehicle 1 sustained minor damage consisting of a golf ball sized dent in the front bumper. Vehicle 2 sustained no visible damage. No injuries resulted from this accident.
Vehicle 1 driver email: jcysiewskimn@hastings.gov
Vehicle 2 driver email: aoaks62@aol.com</t>
  </si>
  <si>
    <t>Parked Motor Vehicle</t>
  </si>
  <si>
    <t>Parked/Stalled Motor Vehicle</t>
  </si>
  <si>
    <t>On February 4th, 2019, at around 0550 hours, I responded to the area of 17562 200th Street East in Ravenna Township.  Dispatch stated there was an accident in the area.  I responded to the area and noted the roadway was covered in ice.  There were many vehicles stuck on the roadway, off the roadway, and parked on the shoulder.
I made contact with driver 1 (associated with vehicle 1) who stated he had been side swiped by vehicle 3.  I noted minor damage on the left area of his vehicle.  Driver 1 said he parked on the shoulder due to the conditions of the roadway prior to vehicle 3 side swiping him.  The front right passenger was identified as Trevyn Ray Nelson- Blayvelt DOB: 2/23/1994 and the back right passenger as Kayla Jane Burdick DOB: 10/21/1996.
I went further east on the roadway and spoke to driver 2 who is the owner of vehicle 2.  He said he was parked on the shoulder due to the conditions of the roadway.  He said his seatbelt was off because he had exited his vehicle to check on other motorists on this side of the road.  He entered his vehicle and was rear ended by vehicle 3.  He asked to be checked out by medics.  He stated he suffered whiplash when he was rear ended.  Medics checked him on scene and did not transport.  Driver 2 said he would drive himself to the hospital.
I spoke to driver 3 who is the owner of vehicle 3.  He said he was driving eastbound approximately 30 miles per hour.  He said he saw vehicles on the shoulder and roadway and applied his brakes.  When he did so, he started to slid on the roadway and could not stop.  He said his vehicle drifted into vehicle 1 and then the front of his vehicle hit the rear bumper of vehicle 2.  When he hit vehicle 2, his vehicle was thrown sideways and his rear right bumper made contact with vehicle 2's rear bumper, where it came to a stop.
Driver 3 stated his chest hurt and he was also checked out by medics.  He was not transported.  His vehicle was towed due to disabling damage.
Driver 1 cell phone: 651-424-5555
Drover 1 email: burdickkayla28@gmail.com
Driver 2 cell phone: 651-332-9673
Driver 2 email: berge589@ymn.edu
Driver 3 cell phone: 651-829-1659
Driver 3 email: nmarce@live.com</t>
  </si>
  <si>
    <t>On February 3rd, 2019, at around 2215 hours, I, Deputy Jon Grimes, badge number 130, was dispatched to a vehicle off the roadway.  When I came to the area, I located vehicle 1, which was unrelated to the call I was en route to.
I stopped and spoke to driver 1 who stated he was not injured.  He said he was going eastbound and stated he was going around 30 miles per hour.  He said as he was going through the curve, he went into the ditch and ended in the driveway of 17831 200th Street East in Ravenna Township.
The roads were extremely icy and the road was shut down because of the conditions.
Driver 1 requested a tow for his vehicle and the vehicle was towed by Southeast Towing in Hastings.
Cell phone: 651-503-3867
Email: dnwrkse@yahoo.com</t>
  </si>
  <si>
    <t>On 02-06-2023 at 2039 hours, Deputy Regenscheid was dispatched to a two vehicle crash on 200th Street East, on the downhill S curves between Quamme Avenue and Ravenna Trail. While Deputy Regenscheid was enroute, dispatch aired two more vehicle were involved in the same crash.
Shorty after Deputy Regenscheid arrived, a fifth vehicle slid on the icy road, crashing into the other involved vehicles.  Due to extremely icy road conditions and vehicles blocking the roadway, Deputies shut down 200th Street East where the crash was located.
Unit 1 was Eastbound 200th Street, just East of Quamme Avenue, when it slid on ice, getting stuck on the edge of the ditch to the South.  Driver 1 of Unit 1 went to his home nearby, took Unit 5 to go pull out Unit 1.  While Driver 1 of Unit was back at Unit 1, Unit 2 was driving Eastbound, slid on the ice, striking the driver's side of Unit 1.  While Unit 2 struck Unit 1, Driver 1 of Unit 1 somehow injured his leg while attempting to move out of the way.  Driver 1 of Unit 1 wasn't sure if he was clipped by Unit 2 or if he was hit by debris.  When Unit 1 was struck by Unit 2, Unit 1 was pushed into Unit 5's rear end.
Driver 1 of Unit 1 and Driver 1 of Unit 2, both stood off of the roadway to avoid any further danger.  Unit 3 was Eastbound, slid on the ice, striking Unit 2's driver's side.  Driver 1 of Unit 3 stood off to the side with the others.  Deputy Regenscheid arrived.  Unit 4 was Eastbound, slid on the ice, striking Unit 3's driver's side, and continued across both lanes, entering the Northern ditch.
Unit 1 and 2 were both towed by Southeast Towing out of Hastings.  Unit 3, 4, and 5 were able to be driven away.
END OF REPORT</t>
  </si>
  <si>
    <t>Vehicle 1 was traveling westbound on 200th Street East, approaching Quamme Avenue. A deer ran into the road from the north side ditch, colliding with the front passenger quarter of the vehicle. Vehicle 1 sustained moderate damage, and was able to drive away from the scene. No injuries resulted from this accident.</t>
  </si>
  <si>
    <t>Unit was going westbound on 200th Street East near Ravenna Trail. Road curved slightly to the right. Driver was traveling 40mph in a 45mph zone. Driver stated he slide on an ice patch and lost control. This caused the unit to travel south into the ditch. The unit came to a stop after hitting several trees. 
Driver was wearing a seatbelt and the front airbags deployed.</t>
  </si>
  <si>
    <t>Vehicle 1 was traveling east on 200th Street East approaching Ravenna Trail. Vehicle 1 started to slide due to icy road conditions. Vehicle 1 slid into the north ditch of 200th Street East. Vehicle 1 came to rest the north ditch, wedged between shrubs. No injuries resulted form this accident. Vehicle 1 sustained damage to the driver side rear corner, and a flat front passenger tire. Vehicle called for a private tow. 
Vehicle 1 email: ecrisp85@yahoo.com</t>
  </si>
  <si>
    <t>On 04 February, 2019 around 0505 hours, Vehicle 1 was traveling East on 200th street. Vehicle 2 was traveling West on 200th street. The roads were covered in ice from rain during the night. Vehicle 2 started to spin and Vehicle 1 struck Vehicle 2 on the passenger side as it crossed into the East bound lane.
Vehicle 2 stalled in the middle of 200th street and Ravanna Trail. Vehicle 1 stopped on the shoulder of Ravanna Trail and 200th street. 
Vehicle 1 - Russell - RMYERS07@hotmail.com  651-755-9912
Vehicle 2 - Karen - Kaseygartin@gmail.com   651-274-0828
End of Report.</t>
  </si>
  <si>
    <t>Unit 1 was going west on 200th street.  The road was covered in ice.  Driver was driving to fast for conditions.  He lost control and went off road, left.  Unit 1 hit the curb and snow bank causing Unit 1 to roll.  Unit 1 rolled into a tree.</t>
  </si>
  <si>
    <t>On November 30th 2019, Unit 1 was travelling Eastbound on 200th Street in Ravenna township. The driver of Unit 1 stated as they were coming down the hill coming up to Ravenna Trail, she lost control of the vehicle. Unit 1 started sliding down the hill sideways. Unit 1 rolled multiple times. Unit 1 ended up on the North side of 200th Street in the ditch in the upright position. 
I located the occupants of Unit 1 sitting in the vehicle when I arrived. There were no apparent injuries to them. They stated they were not injured. Both occupants said they were wearing there seatbelts. The driver stated they were going about 10 miles per hour. The passenger said they were going about 40 miles per hour. 
There was significant damage to the exterior of all sides of the vehicle due to rolling over.
I wrote the driver a citation for driving without proof of insurance.</t>
  </si>
  <si>
    <t>Table 4 - No Build Vehicle Routing Assumptions (Original Route with slower speeds)</t>
  </si>
  <si>
    <t>Speed Limit (mph)</t>
  </si>
  <si>
    <t>Variable</t>
  </si>
  <si>
    <t>Table 5 - Detour Vehicle Routing Assumptions (due to construction)</t>
  </si>
  <si>
    <t>Table 6 - Build Vehicle Routing Assumptions</t>
  </si>
  <si>
    <t>No Build - Original Speed</t>
  </si>
  <si>
    <t>No Build - Slower Speed</t>
  </si>
  <si>
    <t>No Build Route Due to Reduced Speeds Annual VHT</t>
  </si>
  <si>
    <t>Year of Reduced Speeds (due to poor roadway conditions)</t>
  </si>
  <si>
    <t>Traffic Diverted</t>
  </si>
  <si>
    <t>Traffic Remaining</t>
  </si>
  <si>
    <t>Yes</t>
  </si>
  <si>
    <t>Posted Speed (mph)</t>
  </si>
  <si>
    <t>Original Travel Time (min/veh)</t>
  </si>
  <si>
    <t>Restricted Travel Time (min/veh)</t>
  </si>
  <si>
    <t>Table 8 - Flagging Travel Time Delay</t>
  </si>
  <si>
    <t>Table 9 - Flagging Queue Length and Signal Delay</t>
  </si>
  <si>
    <t>Cycles/Hr (queues/hr)</t>
  </si>
  <si>
    <t>Hours of Flagging (Hrs/Day)</t>
  </si>
  <si>
    <t>Annual VHT</t>
  </si>
  <si>
    <t>Travel Time Cost</t>
  </si>
  <si>
    <t>Non-Construction Months</t>
  </si>
  <si>
    <t>Total Annual VHT</t>
  </si>
  <si>
    <t>K Crashes per Vehicle/Year</t>
  </si>
  <si>
    <t>A Crashes per Vehicle/Year</t>
  </si>
  <si>
    <t>B Crashes per Vehicle/Year</t>
  </si>
  <si>
    <t>C Crashes per Vehicle/Year</t>
  </si>
  <si>
    <t>PDO Crashes per Vehicle/Year</t>
  </si>
  <si>
    <t>SAFETY - CRASH SAVINGS DURING CONSTRUCTION YEARS</t>
  </si>
  <si>
    <t>Crack Sealant</t>
  </si>
  <si>
    <t>Chip Seal</t>
  </si>
  <si>
    <t>Mill and Overlay Costs Build</t>
  </si>
  <si>
    <t>Crack Sealant and Chip Seal Roadway Costs Build</t>
  </si>
  <si>
    <t>No Build Annual VMT Due to Reduced Speeds</t>
  </si>
  <si>
    <t>Various Emissions Savings Estimations</t>
  </si>
  <si>
    <t>Unit Cost</t>
  </si>
  <si>
    <t>Total Square Feet</t>
  </si>
  <si>
    <t>Remaining Life</t>
  </si>
  <si>
    <t>Capital Costs (2022$)</t>
  </si>
  <si>
    <t>Right-of-Way</t>
  </si>
  <si>
    <t>Grading and Drainage</t>
  </si>
  <si>
    <t>Sub Base and Base</t>
  </si>
  <si>
    <t>Table 2 - Service Life and RCV Assumptions</t>
  </si>
  <si>
    <t>Table 1 - GDP Deflator Method</t>
  </si>
  <si>
    <t>CSAH 54: BCA Assumptions</t>
  </si>
  <si>
    <t>Table 5 -  CSAH 54 Mainline Traffic Volume Data</t>
  </si>
  <si>
    <t>Table 6 -  CSAH 54 Corridor Construction Data</t>
  </si>
  <si>
    <t>Figure 1. CSAH 54 Study Area</t>
  </si>
  <si>
    <t>CSAH 54: BCA SUMMARY</t>
  </si>
  <si>
    <t>Existing CSAH 54 AADT Data:</t>
  </si>
  <si>
    <t>Table 1 - Existing CSAH 54 AADT</t>
  </si>
  <si>
    <t>Table 2 - CSAH 54 Traffic Data</t>
  </si>
  <si>
    <t>Table 2 - Existing 5-Year Crash History on CSAH 54 Corridor (2019-2023)</t>
  </si>
  <si>
    <t>Table 3 - Corridor Wide AADT on CSAH 54 Corridor</t>
  </si>
  <si>
    <t>Figure 1 - 2019-2023 Crash Data At the Intersection of CSAH 54 and CSAH 68.</t>
  </si>
  <si>
    <t>Table 7 - No-Build Crashes on CSAH 54 Corridor</t>
  </si>
  <si>
    <t>Table 8 - Build Crashes on CSAH 54 Corridor</t>
  </si>
  <si>
    <t>No Build Route</t>
  </si>
  <si>
    <t>COMMUNITY LIVABILITY (QUALITY OF LIFE) BENEFITS OF TRAIL FACILITY</t>
  </si>
  <si>
    <t xml:space="preserve">Impacted by New Trail </t>
  </si>
  <si>
    <t>Induced by New Trail</t>
  </si>
  <si>
    <t>Annual Quality of Benefits</t>
  </si>
  <si>
    <t>Existing Daily Cyclists - Commuter</t>
  </si>
  <si>
    <t>New Daily Cyclists - Commuter</t>
  </si>
  <si>
    <t>New Daily Cyclists - Recreational</t>
  </si>
  <si>
    <t>Mobility Cost Savings</t>
  </si>
  <si>
    <t>Mortality (Health) Cost Savings</t>
  </si>
  <si>
    <t>Recreation  Cost Savings</t>
  </si>
  <si>
    <t>Cycling Facility Improvement (Amenity) Cost Savings</t>
  </si>
  <si>
    <t>Reduced Auto Use (Congestion) Cost Savings</t>
  </si>
  <si>
    <t>Quality of Life Benefits</t>
  </si>
  <si>
    <t>Distance from project</t>
  </si>
  <si>
    <t>Population</t>
  </si>
  <si>
    <t>Less than 1/4 mile</t>
  </si>
  <si>
    <t>1/4 mile to 1/2 mile</t>
  </si>
  <si>
    <t>1/2 mile to 1 mile</t>
  </si>
  <si>
    <t>Table 2 - Relevent Population Characteristics</t>
  </si>
  <si>
    <r>
      <t>Annual population growth rate</t>
    </r>
    <r>
      <rPr>
        <vertAlign val="superscript"/>
        <sz val="11"/>
        <color theme="1"/>
        <rFont val="Calibri"/>
        <family val="2"/>
        <scheme val="minor"/>
      </rPr>
      <t>2</t>
    </r>
  </si>
  <si>
    <r>
      <t>Population between 20-65 years old</t>
    </r>
    <r>
      <rPr>
        <vertAlign val="superscript"/>
        <sz val="11"/>
        <color theme="1"/>
        <rFont val="Calibri"/>
        <family val="2"/>
        <scheme val="minor"/>
      </rPr>
      <t>3</t>
    </r>
  </si>
  <si>
    <r>
      <t>Commute to work on bicycle</t>
    </r>
    <r>
      <rPr>
        <vertAlign val="superscript"/>
        <sz val="11"/>
        <color theme="1"/>
        <rFont val="Calibri"/>
        <family val="2"/>
        <scheme val="minor"/>
      </rPr>
      <t>4</t>
    </r>
  </si>
  <si>
    <r>
      <t>Average Cycling Trip Length (miles)</t>
    </r>
    <r>
      <rPr>
        <vertAlign val="superscript"/>
        <sz val="11"/>
        <color theme="1"/>
        <rFont val="Calibri"/>
        <family val="2"/>
        <scheme val="minor"/>
      </rPr>
      <t>6</t>
    </r>
  </si>
  <si>
    <t>Total daily adult cyclists</t>
  </si>
  <si>
    <t>Commuters</t>
  </si>
  <si>
    <t>Recreational</t>
  </si>
  <si>
    <t>All Adult Bicyclists</t>
  </si>
  <si>
    <t>Low Estimate</t>
  </si>
  <si>
    <t>Moderate Estimate</t>
  </si>
  <si>
    <t>High Estimate</t>
  </si>
  <si>
    <t>Table 5 - Mobility Benefit Calculations</t>
  </si>
  <si>
    <r>
      <t xml:space="preserve">Commuting days per year </t>
    </r>
    <r>
      <rPr>
        <vertAlign val="superscript"/>
        <sz val="11"/>
        <color theme="1"/>
        <rFont val="Calibri"/>
        <family val="2"/>
        <scheme val="minor"/>
      </rPr>
      <t>5</t>
    </r>
  </si>
  <si>
    <t>Rpt 552, page# 39 (50 wks, 5 days per week)</t>
  </si>
  <si>
    <r>
      <t xml:space="preserve">Trips per day </t>
    </r>
    <r>
      <rPr>
        <vertAlign val="superscript"/>
        <sz val="11"/>
        <color theme="1"/>
        <rFont val="Calibri"/>
        <family val="2"/>
        <scheme val="minor"/>
      </rPr>
      <t>5</t>
    </r>
  </si>
  <si>
    <t>Rpt 552, page# 39</t>
  </si>
  <si>
    <t>NCHRP 552 Logit model (page# D-11 Table 24): Facility D to A improvement is worth 21.6 min; B to A: 5.2 min; E to A: 30.5 min; and E to C: 16.4 min.</t>
  </si>
  <si>
    <r>
      <t>Value of time (2018 Dollars per minute)</t>
    </r>
    <r>
      <rPr>
        <vertAlign val="superscript"/>
        <sz val="11"/>
        <color theme="1"/>
        <rFont val="Calibri"/>
        <family val="2"/>
        <scheme val="minor"/>
      </rPr>
      <t>9</t>
    </r>
  </si>
  <si>
    <t>Rpt 552, page# 36</t>
  </si>
  <si>
    <t>Fraction of riders accounted for mobility benefits</t>
  </si>
  <si>
    <t xml:space="preserve">Table 6 - Mortality (Health) Savings Calculations </t>
  </si>
  <si>
    <t xml:space="preserve">Population percentage between 20-65 was determined using the data gathered from the GIS buffers as described in Note 1. </t>
  </si>
  <si>
    <t>Page# 39 uses 365 days. 3 months were excluded to acount for the local weather conditions</t>
  </si>
  <si>
    <r>
      <t xml:space="preserve">Table 7 - Recreation Benefit Calculations </t>
    </r>
    <r>
      <rPr>
        <b/>
        <vertAlign val="superscript"/>
        <sz val="11"/>
        <color theme="1"/>
        <rFont val="Calibri"/>
        <family val="2"/>
        <scheme val="minor"/>
      </rPr>
      <t>5</t>
    </r>
  </si>
  <si>
    <t>Value of recreation per trip (2006$)</t>
  </si>
  <si>
    <t xml:space="preserve">Values for bicycle demand and benefit calculations based on a methodology described in the National Cooperative Highway Research Program's (NCHRP) Report 552: Guidelines for Analysis of Investments in Bicycle Facilities (2006). (http://onlinepubs.trb.org/onlinepubs/nchrp/nchrp_rpt_552.pdf). </t>
  </si>
  <si>
    <t>Recommended values were obtained from Benefit-Cost Analysis Guidance for Discretionary Grant Programs - January 2023.</t>
  </si>
  <si>
    <r>
      <t xml:space="preserve">Daily value of recreation </t>
    </r>
    <r>
      <rPr>
        <vertAlign val="superscript"/>
        <sz val="11"/>
        <color theme="1"/>
        <rFont val="Calibri"/>
        <family val="2"/>
        <scheme val="minor"/>
      </rPr>
      <t>6</t>
    </r>
  </si>
  <si>
    <t>Rpt 552, page# 39, G-1</t>
  </si>
  <si>
    <t>8)</t>
  </si>
  <si>
    <t>Savings per mile (2006$)</t>
  </si>
  <si>
    <t>9)</t>
  </si>
  <si>
    <t xml:space="preserve">Demand and benefit for pedestrians were not included as a part of the BCA.  According to NCHRP Report 552 (p. 44), "walking is 10 times as common as bicycling. An estimated 70% of adults walk at least once per week (in the NHTS baseline sample) while about 7% bike. Because so many people walk already it seems unlikely that new facilities will have a significant impact on total demand, although they may influence where walking is done." </t>
  </si>
  <si>
    <t xml:space="preserve">Population was determined using 2022 American Community Survey Estimates at the 2020 census tract level. A buffer was created in GIS with no overlap. The census tract data was apportioned based on the area meaning if 25% of the tract was in the buffer than 25% of the population from the ACS estimates was included in the buffer. A Map showing the buffer is to the right of Table 1. </t>
  </si>
  <si>
    <t>According to the Dakota County Transportation Plan Update (2020), the County is one of the fastest growing counties in the State. The County is projected to increase 21% in population from 2020-2040. Therefore, a 21% increase per 20 year period. (Approx. 1.05% per year). https://www.co.dakota.mn.us/Transportation/PlanningPrograms/Documents/2040TransportationPlan.pdf (Page 2-13)</t>
  </si>
  <si>
    <r>
      <rPr>
        <sz val="11"/>
        <rFont val="Calibri"/>
        <family val="2"/>
        <scheme val="minor"/>
      </rPr>
      <t>Percentage of Cycling commuters were determined by using 2022 ACS 5-Year Estimates (Table S0801) for MN</t>
    </r>
    <r>
      <rPr>
        <u/>
        <sz val="11"/>
        <color theme="10"/>
        <rFont val="Calibri"/>
        <family val="2"/>
        <scheme val="minor"/>
      </rPr>
      <t xml:space="preserve"> </t>
    </r>
    <r>
      <rPr>
        <sz val="11"/>
        <rFont val="Calibri"/>
        <family val="2"/>
        <scheme val="minor"/>
      </rPr>
      <t>https://data.census.gov/table/ACSST1Y2022.S0801?q=cycling%20commuter&amp;g=040XX00US27</t>
    </r>
  </si>
  <si>
    <r>
      <t>Adults who commute</t>
    </r>
    <r>
      <rPr>
        <vertAlign val="superscript"/>
        <sz val="11"/>
        <color theme="1"/>
        <rFont val="Calibri"/>
        <family val="2"/>
        <scheme val="minor"/>
      </rPr>
      <t>4</t>
    </r>
  </si>
  <si>
    <t>Adult Cyclist Breakdown - Moderate Estimate</t>
  </si>
  <si>
    <t>Daily Total (2022)</t>
  </si>
  <si>
    <t>Figure 1 - Buffer Analysis Zone</t>
  </si>
  <si>
    <t>Commuting Days in a Year</t>
  </si>
  <si>
    <r>
      <t>Mobility benefit methodology</t>
    </r>
    <r>
      <rPr>
        <vertAlign val="superscript"/>
        <sz val="11"/>
        <color theme="1"/>
        <rFont val="Calibri"/>
        <family val="2"/>
        <scheme val="minor"/>
      </rPr>
      <t>5</t>
    </r>
    <r>
      <rPr>
        <sz val="11"/>
        <color theme="1"/>
        <rFont val="Calibri"/>
        <family val="2"/>
        <scheme val="minor"/>
      </rPr>
      <t xml:space="preserve"> assumes, "no bicycle facility previously existed nearby, aside from streets with parking". Therefore, some of estimated new cyclists should be considered as existing cyclists in case of a bike facility presence in the proximity of the study area. Additional users beyond this total will be discounted as half.</t>
    </r>
  </si>
  <si>
    <t>Existing Daily Cyclists (2022)</t>
  </si>
  <si>
    <r>
      <t>Table 1 - 2022 Population Near Project Area</t>
    </r>
    <r>
      <rPr>
        <b/>
        <vertAlign val="superscript"/>
        <sz val="11"/>
        <color theme="1"/>
        <rFont val="Calibri"/>
        <family val="2"/>
        <scheme val="minor"/>
      </rPr>
      <t>1</t>
    </r>
  </si>
  <si>
    <r>
      <t>Table 3 - Total Cyclists</t>
    </r>
    <r>
      <rPr>
        <b/>
        <vertAlign val="superscript"/>
        <sz val="11"/>
        <color theme="1"/>
        <rFont val="Calibri"/>
        <family val="2"/>
        <scheme val="minor"/>
      </rPr>
      <t>5,7</t>
    </r>
    <r>
      <rPr>
        <b/>
        <sz val="11"/>
        <color theme="1"/>
        <rFont val="Calibri"/>
        <family val="2"/>
        <scheme val="minor"/>
      </rPr>
      <t xml:space="preserve"> </t>
    </r>
    <r>
      <rPr>
        <b/>
        <i/>
        <sz val="11"/>
        <color theme="1"/>
        <rFont val="Calibri"/>
        <family val="2"/>
        <scheme val="minor"/>
      </rPr>
      <t>(Rpt 552 page 38-39)</t>
    </r>
  </si>
  <si>
    <t>Total Additional Daily Cyclists (2022)</t>
  </si>
  <si>
    <t>Half of Additional Daily Cyclists (2022)</t>
  </si>
  <si>
    <t>Table 4 - Relevant Benefit Cost Assumptions</t>
  </si>
  <si>
    <t xml:space="preserve"> Convert 2006$ to 2022$</t>
  </si>
  <si>
    <t xml:space="preserve"> Convert 2018$ to 2022$</t>
  </si>
  <si>
    <r>
      <t>Willingness to travel (minutes)</t>
    </r>
    <r>
      <rPr>
        <vertAlign val="superscript"/>
        <sz val="11"/>
        <color theme="1"/>
        <rFont val="Calibri"/>
        <family val="2"/>
        <scheme val="minor"/>
      </rPr>
      <t xml:space="preserve"> 5</t>
    </r>
  </si>
  <si>
    <r>
      <t>Mobility adjustment factor</t>
    </r>
    <r>
      <rPr>
        <vertAlign val="superscript"/>
        <sz val="11"/>
        <color theme="1"/>
        <rFont val="Calibri"/>
        <family val="2"/>
        <scheme val="minor"/>
      </rPr>
      <t xml:space="preserve"> 7</t>
    </r>
  </si>
  <si>
    <r>
      <t>Annual cycling savings per induced trip (2022)</t>
    </r>
    <r>
      <rPr>
        <vertAlign val="superscript"/>
        <sz val="11"/>
        <color theme="1"/>
        <rFont val="Calibri"/>
        <family val="2"/>
        <scheme val="minor"/>
      </rPr>
      <t>6</t>
    </r>
  </si>
  <si>
    <r>
      <t>Value of time (2022 Dollars per minute)</t>
    </r>
    <r>
      <rPr>
        <vertAlign val="superscript"/>
        <sz val="11"/>
        <color theme="1"/>
        <rFont val="Calibri"/>
        <family val="2"/>
        <scheme val="minor"/>
      </rPr>
      <t>9</t>
    </r>
  </si>
  <si>
    <t>Benefit-Cost Analysis Guidance for RAISE Applications, January 2023 &amp; Implicit Price Deflators for Gross Domestic Product (Bureau of Economic Analysis). The recommended values for operative cost were inflated to year 2022 dollars from year 2018 dollars.</t>
  </si>
  <si>
    <t xml:space="preserve">Table 8 - Cycling Facility Improvement (Amenity) Benefit Calculations </t>
  </si>
  <si>
    <r>
      <t xml:space="preserve">Table 9 - Reduced Auto Use (Congestion) Benefit Calculations </t>
    </r>
    <r>
      <rPr>
        <b/>
        <vertAlign val="superscript"/>
        <sz val="11"/>
        <color theme="1"/>
        <rFont val="Calibri"/>
        <family val="2"/>
        <scheme val="minor"/>
      </rPr>
      <t>5</t>
    </r>
  </si>
  <si>
    <r>
      <t xml:space="preserve">Table 10 - Inflation Factor </t>
    </r>
    <r>
      <rPr>
        <b/>
        <vertAlign val="superscript"/>
        <sz val="11"/>
        <color theme="1"/>
        <rFont val="Calibri"/>
        <family val="2"/>
        <scheme val="minor"/>
      </rPr>
      <t>6</t>
    </r>
  </si>
  <si>
    <t>Value of recreation per trip (2022$)</t>
  </si>
  <si>
    <t>Quality of Life</t>
  </si>
  <si>
    <t>Quality of Life Cost Savings</t>
  </si>
  <si>
    <t>The estimated value per projected cyclist on a proposed facility should be capped at 2.38 miles, the average length of a cycling trip in the 2017 National Household Travel Survey.</t>
  </si>
  <si>
    <t>Annual Recreational Days</t>
  </si>
  <si>
    <r>
      <t xml:space="preserve">Page# 39: 3.5₵ </t>
    </r>
    <r>
      <rPr>
        <i/>
        <sz val="11"/>
        <color theme="0" tint="-0.499984740745262"/>
        <rFont val="Calibri"/>
        <family val="2"/>
      </rPr>
      <t>for Congestion, 4₵ for pollution, and 3₵ for user cost savings assuming the average between central city and suburban land uses.</t>
    </r>
  </si>
  <si>
    <t>Months of Construction in First Year (July through October)</t>
  </si>
  <si>
    <t>Months of Construction in Second Year (March through October)</t>
  </si>
  <si>
    <t>This analysis assumed that the Build Alternative would be constructed over a two-year period, starting in Year 2027, and finishing in Year 2028.  Year 2029 was assumed to be the first full year that most benefits will be accrued from the entirety of the project.  The analysis primarily focused on annual benefits for the 20-year period from Year 2029 to Year 2048.</t>
  </si>
  <si>
    <t>The corridor-wide truck percentage used in the analysis was 5 percent, based on Year 2022 AADT and heavy vehicle percentages obtained from Dakota County.</t>
  </si>
  <si>
    <t>This analysis assumed a 365-day year to account for benefits incurred on weekends and recreational peaks in the project area. Quality of Life benefits assumed 250 days of commuting a year, and 275 days of recreational travel a year.</t>
  </si>
  <si>
    <t>The assumed heavy vehicle percentage used in this analysis was 5% and was obtained from Dakota County.</t>
  </si>
  <si>
    <t>Vehicle routing assumptions were obtained through coordination with Dakota County. Refer to the hyper links of Google Maps routes on the Traffic Volume and Route Data tab to view these routes.</t>
  </si>
  <si>
    <t xml:space="preserve">Benefits for years between Existing Year 2019 and Forecast Year 2040 were interpolated based on an annual growth rate, and benefits for years beyond year 2040 were extrapolated using the same annual growth rate. </t>
  </si>
  <si>
    <t>In the No Build, traffic along CSAH 54 is assumed to divert due reduced speed along CSAH 54 at the appropriate time in year 2040 based on dates obtained through Dakota County. CSAH 54 is assumed to remain open, though the fastest path from the city of Hastings to the Prairie Island Indian Community would no longer be along CSAH 54, so vehicles would likely detour with the decreased speed limit.</t>
  </si>
  <si>
    <t>Project construction is anticipated to begin in Year 2027 and end in Year 2028.  Therefore, Year 2029 is assumed to be the first full year of project benefits.  Project Corridor is anticipated to remain partially open during construction for 4 months during the summer of Year 2027 and 8 months during the Year 2028. Local traffic will remain along CSAH 54, while through traffic will be diverted to the detour route.</t>
  </si>
  <si>
    <t xml:space="preserve">Average emission rates per vehicle type were obtained from the Environmental Protection Agency’s Motor Vehicle Emission Simulator (MOVES) version 3 .  Emission rates per vehicle type are provided in this BCA Workbook. The change in VMT by year was applied to emission rates by vehicle type. </t>
  </si>
  <si>
    <t>Existing Daily 
Cyclists - Recreational</t>
  </si>
  <si>
    <t>Note: The table above stops calculating crashes at the appropriate year after closure of the corridor when vehicles are forced to take alternate routes. The only crashes included in this analysis are along the highlighted route. See the Figure 1.</t>
  </si>
  <si>
    <t>Note: The table above uses  the assumed existing year crash frequencies and multiplies it by a constant value equal to the appropriate CMF for all safety improvements. The table above begins the application of the CMF at the appropriate time when construction is completed on the corridor in year 2028. The only crashes included in this analysis are along the route shown in Figure 1. The years of construction are not accounted for in this table, but are accounted for in the Construction Safety Improvements Tab for construction and non-construction months.</t>
  </si>
  <si>
    <t>Crash data was obtained through coordination with Dakota County project staff and through the Minnesota MnCMAT2 Tool. Crashes along CSAH 54 are included in this analysis, though the crashes at the intersection of CSAH 54 and CSAH 68 are not included (see the Intersection Safety Improvment tab). This tab monetizes crashes costs along the portion of the project corridor which involves the installation of 8 foot shoulders and dedicated turn lanes.</t>
  </si>
  <si>
    <t>Note: The table above uses a trend of the assumed existing year crash frequencies to predict future crashes. The only crashes included in this analysis are at the intersection of CSAH 54 and CSAH 68. See the Figure 1.</t>
  </si>
  <si>
    <t>Note: The table above uses  the assumed existing year crash frequencies and multiplies it by a constant value equal to the appropriate CMF for all safety improvements. The table above begins the application of the CMF at the appropriate time when construction is completed on the corridor in year 2028. The only crashes included in this analysis are at the intersection shown in Figure 1. The years of construction are not accounted for in this table, but are accounted for in the Construction Safety Improvements Tab for construction and non-construction months.</t>
  </si>
  <si>
    <t>This tab monetizes crashes along the along the detour route due to construction in years 2027 and 2028. Crash costs and crashes by severity along the CSAH 54 project corridor are located in the "Corridor Safety Improvement" Tab of this BCA Workbook. The "Intersection Safety Improvement" Tab of this BCA Workbook describes the improvements at the intersection of CSAH 54 and CSAH 68. This tab only describes the crashes occurring along the detour route.</t>
  </si>
  <si>
    <t>Note: he table above uses a trend of the assumed existing year crash frequencies to predict future crashes. The only crashes included in this analysis are those during the years of construction. See Figure 1.</t>
  </si>
  <si>
    <t>Note: The table above uses  the assumed existing year crash frequencies and multiplies it by a constant value equal to the appropriate CMF for all safety improvements. The table above begins the application of the CMF at the appropriate time when construction is completed on the corridor in year 2028. This analysis includes the crashes along the detour route in addition to the crashes along the original route, depending on the months of construction in a year.</t>
  </si>
  <si>
    <t>Estimated Build Maintenance Cost (first 10 years)*</t>
  </si>
  <si>
    <t>*Maintenance costs in the Build Scenario are lesser for the first 10 years</t>
  </si>
  <si>
    <t>Crack Sealant and Chip Seal Roadway Costs No-Build</t>
  </si>
  <si>
    <t>Annual roadway maintenance costs and rehabilitation costs as well as schedules for the No-Build and Build scenarios were provided by Dakota County.</t>
  </si>
  <si>
    <t>https://www.google.com/maps/dir/44.7292429,-92.8225734/44.663531,-92.739891/@44.7012943,-92.8780147,12z/am=t/data=!3m1!4b1!4m10!4m9!1m5!3m4!1m2!1d-92.7841982!2d44.6687075!3s0x87f7c006580482c7:0x5c2b0478fb5560dc!1m1!4e1!3e0?entry=ttu</t>
  </si>
  <si>
    <t>Table 1: Annualized VHT and VMT Totals</t>
  </si>
  <si>
    <t>Post- Construction Years</t>
  </si>
  <si>
    <t>Figure 1: Annualized VHT (Build Vs. No-Build)</t>
  </si>
  <si>
    <t>Figure 2: Annualized VMT (Build Vs. No-Build)</t>
  </si>
  <si>
    <r>
      <t>Table 7 - Assumed Percentage of Traffic Diverted During Construction</t>
    </r>
    <r>
      <rPr>
        <b/>
        <vertAlign val="superscript"/>
        <sz val="11"/>
        <color theme="1"/>
        <rFont val="Calibri"/>
        <family val="2"/>
        <scheme val="minor"/>
      </rPr>
      <t>7</t>
    </r>
  </si>
  <si>
    <t>It is assumed that 10 percent of vehicles are locally based vehicles along CSAH 54, and therefore would remain on CSAH 54 during construction. The other 90 percent of vehicles are assumed to be regional trips traveling through the project area and would then take the detour route during construction.</t>
  </si>
  <si>
    <t>Min Travel Time</t>
  </si>
  <si>
    <t>Seconds of Green (for each direction)</t>
  </si>
  <si>
    <r>
      <t>Restricted Speed (mph)</t>
    </r>
    <r>
      <rPr>
        <vertAlign val="superscript"/>
        <sz val="11"/>
        <color theme="1"/>
        <rFont val="Calibri"/>
        <family val="2"/>
        <scheme val="minor"/>
      </rPr>
      <t>8</t>
    </r>
  </si>
  <si>
    <t>Seconds of Yellow (clearance time)</t>
  </si>
  <si>
    <t>Seconds of Red between directions</t>
  </si>
  <si>
    <t>Minnesota Department of Transportation suggests recommended workzone speed limits according to the existing speed limits. See https://dot.state.mn.us/trafficeng/workzone/swzsc/speedlimitsinwz.pdf#:~:text=The%20speed%20limit%20on%20a%20road%20having%20an,closed%20in%20either%20direction%20and%20Workers%20are%20present (slide 18)</t>
  </si>
  <si>
    <r>
      <t>Lengths (mi)</t>
    </r>
    <r>
      <rPr>
        <vertAlign val="superscript"/>
        <sz val="11"/>
        <color theme="1"/>
        <rFont val="Calibri"/>
        <family val="2"/>
        <scheme val="minor"/>
      </rPr>
      <t>9</t>
    </r>
  </si>
  <si>
    <t>Minnsota Manual on Uniform Traffic Control Devices (MN MUTCD) recommends a flagging distance of 1 mile, though this is not a requirement but a recommendation. 1 mile was assumed for this analysis. See https://www.dot.state.mn.us/trafficeng/workzone/wzmanual.html (6k-17)</t>
  </si>
  <si>
    <t>*Hours of flagging assumed based on daylight conditions during the summer months in Minnesota</t>
  </si>
  <si>
    <t>Travel Time Delay (hr/veh)</t>
  </si>
  <si>
    <t>Construction Months (Detour Route only)</t>
  </si>
  <si>
    <t>Construction Months (Original Route with Flagging Delay)</t>
  </si>
  <si>
    <t>Max Delay per Vehicle (min/veh)</t>
  </si>
  <si>
    <t>Max Delay per Vehicle (hr/veh)</t>
  </si>
  <si>
    <r>
      <t>Table 6 - Assumed Percentage of Traffic Diverted During Construction</t>
    </r>
    <r>
      <rPr>
        <b/>
        <vertAlign val="superscript"/>
        <sz val="11"/>
        <color theme="1"/>
        <rFont val="Calibri"/>
        <family val="2"/>
        <scheme val="minor"/>
      </rPr>
      <t>6</t>
    </r>
  </si>
  <si>
    <t>Table 3 - No Build Crashes per Vehicle per Year by Severity</t>
  </si>
  <si>
    <t>Table 4 - Additional Crash Rates On Detour Route per Year by Severity</t>
  </si>
  <si>
    <t>Percentage Detoured Per Year</t>
  </si>
  <si>
    <t>Table 5 - No-Build Additional Crashes Along Network During Construction Years</t>
  </si>
  <si>
    <t>Table 6 - Build Crashes on Corridor and Network Due to Closure</t>
  </si>
  <si>
    <t>Changes in annual roadway maintenance costs are expected due to intensified maintenance that will be required to keep the No Build Alternative serviceable compared to what will be required on new infrastructure under the Build Alternative.  An assumption of 25 percent reduction in maintenance costs for the Build Alternative was assumed for analysis purposes through discussions with Dakota County.</t>
  </si>
  <si>
    <t>Table 1: 2022 Crash Rate Calculations: No Build Route (Non-Intersection Specific)</t>
  </si>
  <si>
    <t>Table 2: 2022 Crash Rate Calculations: No Build Route (Intersection Specific)</t>
  </si>
  <si>
    <t>Table 3: Crash Rate Calculations: Detour Route Due to Closure</t>
  </si>
  <si>
    <t>Table 4: Crash Rate Calculations: Detour Route Increase Due to Closure</t>
  </si>
  <si>
    <t>Table 5: Crash Data Information</t>
  </si>
  <si>
    <t>Segment Crash Data: County Road 54 (From Glendale Road to County Road 68, no intersections included)</t>
  </si>
  <si>
    <t>-- NOT ON ROADWAY --</t>
  </si>
  <si>
    <t>Unit 1 was going south on Ravenna trail.  He was lost control of his car while going into the curve.  Driver over corrected and went into the ditch.  Unit1 went over small trees.  driver wasn't not injured.  Driver said he was going 45 mph. 
Driver does not have an email address.</t>
  </si>
  <si>
    <t>Train - Cargo</t>
  </si>
  <si>
    <t>Parked or Entering or Leaving</t>
  </si>
  <si>
    <t>On October 17th, 2020, I, Deputy Ryan Van Gundy, badge number 132, was on duty and assigned to patrol.
At 0330 hours, I was dispatched to a vehicle stuck on the railroad tracks near the 16400 block of Ravenna Trail. The reporting party said there was a male passed out inside the vehicle.
As I was arriving on the scene at 0337 hours. I saw unit one face north on the railroad track. I could see a train coming up behind it. The train collided with unit one and push unit on approximately 3/4 of a mile down the tracks. 
When the train came to a stop driver one got out of the vehicle. The driver did not appear to be injured. After being cleared by medics Deputy Weber transported this driver to Regina Hospital. Deputy Weber executed a search warrant for a blood draw to check for impairment. 
End of report.</t>
  </si>
  <si>
    <t>0800006594640061-I</t>
  </si>
  <si>
    <t>Driver was northbound on Polk Avenue approaching Ravenna Trail.  Polk Avenue is a straight and level gravel road.  The road has hill that goes down to Ravenna Trail the last approximate 300 feet.  The road was covered with snow that was fresh and some ice pack.  The driver was approaching the hill and she started to brake.  As she started to brake the car went into a skid and slid off road left.  The car went through the ditch and collided with a Dakota Electric utility pole.  The car hit the pole and about 4 to 5 feet of the pole snapped off the top bringing down all the wires.   The driver was able to exit the car after Dakota Electric responded and confirmed the electric line didn't have power.   The car had heavy front end damage.  The car was towed by Southeast Towing of Hastings and was brought to the tow lot.</t>
  </si>
  <si>
    <t>BLACKBIRD PATH</t>
  </si>
  <si>
    <t>0800006594641231-I</t>
  </si>
  <si>
    <t>On January 19th, 2019 at approximately 1559 hours, Driver 1 was driving Unit 1 north on Ravenna Trail near the south junction of Blackbird Trail in Ravenna Township, Dakota County. Unit 1 drove onto the right shoulder, slid into the ditch northeast of Ravenna Trail, and proceeded north until colliding into a wooden fence on the property of 17770 Ravenna Trail, Ravenna Township. The crash caused major disabling damage to the front passenger side bumper, front and rear passenger side doors, and rear of the Unit 1.  Additionally, a large piece of fencing broke through the front passenger side window, extending into the back seat.
Driver 1 stated he was driving Unit 1 just north of Blackbird Trail, traveling at approximately 60 miles per hour.  Driver 1 said his vehicle began sliding on an icy patch of the pavement, causing it to go off the roadway and collide into the wooden fence to the north of this intersection.
No injuries. Vehicle 1 was towed by Southeast Towing.  Driver 1 was issued citation number 190019900146 for 169.14.1 Speed - Duty to Drive With Due Care.
The fence owner's daughter arrived on scene.  She said she notified her father of the crash.  I also attempted to call the owner by phone and left a voicemail.
Driver 1 email: cordjohnson77@gmail.com
Property Owner's daughter:
Karalee Jeanne Bartholomew
DOB 12/24/1969
Phone: 651-503-7638
Email: tnkbart@msn.com</t>
  </si>
  <si>
    <t>Project Corridor (non-intersections)</t>
  </si>
  <si>
    <t>Project Corridor (intersections)</t>
  </si>
  <si>
    <t>CMF For Countermeasure: Provide a Left-Turn Lane on Both Major-Road Approaches (CMF ID: 268, Study Citation: Harwood, D.W., et al. "Safety Effectiveness of Intersection Left- and Right-Turn Lanes." Transportation Research Board Annual Meeting,  2003. The base case in this study involved rural two lane roadways with nominal conditions. For additional details, refer to: https://www.cmfclearinghouse.org/detail.php?facid=268. This CMF predicts an annual reduction of 48 percent for all applicable crash severities and all crash types. This CMF was only applied to intersection crashes along the Project Corridor.</t>
  </si>
  <si>
    <t>*The detour route does not include crashes that are located at either endpoint intersection. These intersections would overlap between the detour route and the original route.</t>
  </si>
  <si>
    <t>CSAH 54 Expansion from Hastings City Limit to CSAH 68 (200th ST. East) &amp;</t>
  </si>
  <si>
    <t>Construction of Roundabout at 54/68 Intersection in Ravenna Township</t>
  </si>
  <si>
    <t>ROADWORKS</t>
  </si>
  <si>
    <t>BID ITEM DESCRIPTION</t>
  </si>
  <si>
    <t>QUANTITY</t>
  </si>
  <si>
    <t>UNIT</t>
  </si>
  <si>
    <t>UNIT PRICE ($)</t>
  </si>
  <si>
    <t>TOTAL PRICE ($)</t>
  </si>
  <si>
    <t>REMARKS</t>
  </si>
  <si>
    <t xml:space="preserve">Mobilization </t>
  </si>
  <si>
    <t>LS</t>
  </si>
  <si>
    <t>7.5% of the contract value</t>
  </si>
  <si>
    <t>Clearing &amp; Grubbing</t>
  </si>
  <si>
    <t>1' depth for each of 3 layers</t>
  </si>
  <si>
    <t>Excavation (existing pavement, common &amp; sub-grade)</t>
  </si>
  <si>
    <t>cu.yd</t>
  </si>
  <si>
    <t xml:space="preserve">Embankment Fill </t>
  </si>
  <si>
    <t>Granular sub-grade</t>
  </si>
  <si>
    <t>Aggregate sub-base</t>
  </si>
  <si>
    <t>Asphalt Pavement (6" in 3 lifts)</t>
  </si>
  <si>
    <t>sq.yd</t>
  </si>
  <si>
    <t>width = 48'</t>
  </si>
  <si>
    <t>Shoulder Pavement (4" in 2 lifts)</t>
  </si>
  <si>
    <t>width = 12'</t>
  </si>
  <si>
    <t>Concrete Walk/Trail</t>
  </si>
  <si>
    <t>width = 10'</t>
  </si>
  <si>
    <t>ADA Pedestrian Ramp</t>
  </si>
  <si>
    <t>each</t>
  </si>
  <si>
    <t>DRAINAGE, UTILITIES &amp; EROSION CONTROL (Rural)</t>
  </si>
  <si>
    <t>miles</t>
  </si>
  <si>
    <t>EXISTING STRUCTURE REPLACEMENT</t>
  </si>
  <si>
    <t xml:space="preserve">SIGNING &amp; STRIPING </t>
  </si>
  <si>
    <t>Signs</t>
  </si>
  <si>
    <t>Striping</t>
  </si>
  <si>
    <t>MISCELLANEOUS ITEMS</t>
  </si>
  <si>
    <t>Temporary works (detours, drianage, pavement)</t>
  </si>
  <si>
    <t>Temporary traffic control</t>
  </si>
  <si>
    <t>RISK MANAGEMENT</t>
  </si>
  <si>
    <t>GRAND TOTAL</t>
  </si>
  <si>
    <t>PRELIMINARY ENGINEERING</t>
  </si>
  <si>
    <t>RIGHT OF WAY</t>
  </si>
  <si>
    <t>Because many components of the initial capital costs have service lives well beyond the 20-year analysis period, the remaining capital value was calculated for the Build Alternative.  This value was expressed in terms of 2022 dollars and was added to other project benefits in accordance with USDOT guidance.  The assumed service life of pavement in the Build Alternative was 25 years and the assumed service life of any structures is 60 years and was obtained through coordination with Dakota County staff.  In determining the remaining capital value of the Build Alternative, project components were assumed to have a linear depreciation from the time each phase was completed to the end of the benefit-cost analysis period.  The remaining capital value quantities were discounted and attributed to other project benefits for the Build Alternative.</t>
  </si>
  <si>
    <t>Contingency, Unforseen</t>
  </si>
  <si>
    <t>FINAL DESIGN ENGINEERING</t>
  </si>
  <si>
    <t>Construction TOTAL</t>
  </si>
  <si>
    <t>Engineering + ROW TOTAL</t>
  </si>
  <si>
    <t>Capital Costs (2026$)</t>
  </si>
  <si>
    <t>Convert Year 2026 $ to 2022</t>
  </si>
  <si>
    <t>Capital Costs (2025$)</t>
  </si>
  <si>
    <t>Miscellaneous (Final Engineering)</t>
  </si>
  <si>
    <t>Delta VHT 
(No Build - Build)</t>
  </si>
  <si>
    <t>Delta VMT 
(No Build - Build)</t>
  </si>
  <si>
    <t>Operation &amp; Maintenance Costs Build</t>
  </si>
  <si>
    <t>Convert Year 2025 $ to 2022</t>
  </si>
  <si>
    <t>Note: The existing AADT data shown below for the project corridor is shown in the table below. Existing and forecasted traffic volume data was obtained from the Dakota County 2040 Transportation Plan.</t>
  </si>
  <si>
    <t>Electric Bike Chargers</t>
  </si>
  <si>
    <t>Wayfinding</t>
  </si>
  <si>
    <t>Treeplanting</t>
  </si>
  <si>
    <t>Bench nodes</t>
  </si>
  <si>
    <t>CONSTRUCTION COST ESTIMATE (2024 $)</t>
  </si>
  <si>
    <t>Conversion Factor*</t>
  </si>
  <si>
    <t>*Future years inflated by 5%, provided by Dakota County</t>
  </si>
  <si>
    <t>Capital Costs (2024$)</t>
  </si>
  <si>
    <t>Convert Year 2024 $ to 2022</t>
  </si>
  <si>
    <t>Already Completed</t>
  </si>
  <si>
    <t>Miscellaneous (Preliminary Engineering)</t>
  </si>
  <si>
    <t>estimate</t>
  </si>
  <si>
    <t>~8.4%</t>
  </si>
  <si>
    <t>^This total does not include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</si>
</sst>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quot;$&quot;#,##0\ ;\(&quot;$&quot;#,##0\)"/>
    <numFmt numFmtId="166" formatCode="0.00000"/>
    <numFmt numFmtId="167" formatCode="#,##0_);\(#,##0_)"/>
    <numFmt numFmtId="168" formatCode="_(* #,##0_);_(* \(#,##0\);_(* &quot;-&quot;??_);_(@_)"/>
    <numFmt numFmtId="169" formatCode="&quot;$&quot;#,##0.00"/>
    <numFmt numFmtId="170" formatCode="0.0%"/>
    <numFmt numFmtId="171" formatCode="0.0"/>
    <numFmt numFmtId="172" formatCode="_(&quot;$&quot;* #,##0_);_(&quot;$&quot;* \(#,##0\);_(&quot;$&quot;* &quot;-&quot;??_);_(@_)"/>
    <numFmt numFmtId="173" formatCode="#,##0.000"/>
    <numFmt numFmtId="174" formatCode="0.0000"/>
    <numFmt numFmtId="175" formatCode="0.000"/>
    <numFmt numFmtId="176" formatCode="_(&quot;$&quot;* #,##0.000_);_(&quot;$&quot;* \(#,##0.000\);_(&quot;$&quot;* &quot;-&quot;??_);_(@_)"/>
    <numFmt numFmtId="177" formatCode="#,##0.000_);\(#,##0.000\)"/>
  </numFmts>
  <fonts count="41" x14ac:knownFonts="1">
    <font>
      <sz val="11"/>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sz val="11"/>
      <name val="Calibri"/>
      <family val="2"/>
      <scheme val="minor"/>
    </font>
    <font>
      <sz val="10"/>
      <name val="Arial"/>
      <family val="2"/>
    </font>
    <font>
      <sz val="11"/>
      <color theme="0" tint="-0.249977111117893"/>
      <name val="Calibri"/>
      <family val="2"/>
      <scheme val="minor"/>
    </font>
    <font>
      <sz val="11"/>
      <name val="Arial Narrow"/>
      <family val="2"/>
    </font>
    <font>
      <b/>
      <sz val="11"/>
      <name val="Calibri"/>
      <family val="2"/>
      <scheme val="minor"/>
    </font>
    <font>
      <b/>
      <sz val="11"/>
      <color rgb="FFFF0000"/>
      <name val="Calibri"/>
      <family val="2"/>
      <scheme val="minor"/>
    </font>
    <font>
      <u/>
      <sz val="11"/>
      <color theme="10"/>
      <name val="Calibri"/>
      <family val="2"/>
      <scheme val="minor"/>
    </font>
    <font>
      <sz val="11"/>
      <color theme="0" tint="-0.499984740745262"/>
      <name val="Calibri"/>
      <family val="2"/>
      <scheme val="minor"/>
    </font>
    <font>
      <sz val="10"/>
      <name val="Arial"/>
      <family val="2"/>
    </font>
    <font>
      <sz val="8"/>
      <name val="Calibri"/>
      <family val="2"/>
      <scheme val="minor"/>
    </font>
    <font>
      <u/>
      <sz val="10"/>
      <color indexed="12"/>
      <name val="Arial"/>
      <family val="2"/>
    </font>
    <font>
      <sz val="9"/>
      <color theme="0" tint="-0.34998626667073579"/>
      <name val="Calibri"/>
      <family val="2"/>
      <scheme val="minor"/>
    </font>
    <font>
      <sz val="9"/>
      <color theme="0" tint="-0.499984740745262"/>
      <name val="Calibri"/>
      <family val="2"/>
      <scheme val="minor"/>
    </font>
    <font>
      <sz val="11"/>
      <color theme="0" tint="-0.34998626667073579"/>
      <name val="Calibri"/>
      <family val="2"/>
      <scheme val="minor"/>
    </font>
    <font>
      <sz val="11"/>
      <color rgb="FFFF0000"/>
      <name val="Calibri"/>
      <family val="2"/>
      <scheme val="minor"/>
    </font>
    <font>
      <b/>
      <sz val="20"/>
      <color theme="1"/>
      <name val="Calibri"/>
      <family val="2"/>
      <scheme val="minor"/>
    </font>
    <font>
      <b/>
      <vertAlign val="subscript"/>
      <sz val="11"/>
      <color theme="1"/>
      <name val="Calibri"/>
      <family val="2"/>
      <scheme val="minor"/>
    </font>
    <font>
      <b/>
      <u/>
      <sz val="11"/>
      <color theme="1"/>
      <name val="Calibri"/>
      <family val="2"/>
      <scheme val="minor"/>
    </font>
    <font>
      <vertAlign val="subscript"/>
      <sz val="11"/>
      <color theme="1"/>
      <name val="Calibri"/>
      <family val="2"/>
      <scheme val="minor"/>
    </font>
    <font>
      <sz val="11"/>
      <name val="Arial"/>
      <family val="2"/>
    </font>
    <font>
      <sz val="11"/>
      <color theme="0"/>
      <name val="Calibri"/>
      <family val="2"/>
      <scheme val="minor"/>
    </font>
    <font>
      <b/>
      <i/>
      <sz val="11"/>
      <name val="Calibri"/>
      <family val="2"/>
      <scheme val="minor"/>
    </font>
    <font>
      <i/>
      <sz val="11"/>
      <name val="Calibri"/>
      <family val="2"/>
      <scheme val="minor"/>
    </font>
    <font>
      <b/>
      <u/>
      <sz val="18"/>
      <color theme="1"/>
      <name val="Calibri"/>
      <family val="2"/>
      <scheme val="minor"/>
    </font>
    <font>
      <vertAlign val="subscript"/>
      <sz val="11"/>
      <name val="Calibri"/>
      <family val="2"/>
      <scheme val="minor"/>
    </font>
    <font>
      <b/>
      <sz val="9"/>
      <color theme="1"/>
      <name val="Calibri"/>
      <family val="2"/>
      <scheme val="minor"/>
    </font>
    <font>
      <b/>
      <vertAlign val="superscript"/>
      <sz val="11"/>
      <color theme="1"/>
      <name val="Calibri"/>
      <family val="2"/>
      <scheme val="minor"/>
    </font>
    <font>
      <sz val="11"/>
      <color indexed="8"/>
      <name val="Calibri"/>
      <family val="2"/>
      <scheme val="minor"/>
    </font>
    <font>
      <b/>
      <i/>
      <sz val="11"/>
      <color theme="1"/>
      <name val="Calibri"/>
      <family val="2"/>
      <scheme val="minor"/>
    </font>
    <font>
      <vertAlign val="superscript"/>
      <sz val="11"/>
      <color theme="1"/>
      <name val="Calibri"/>
      <family val="2"/>
      <scheme val="minor"/>
    </font>
    <font>
      <i/>
      <sz val="11"/>
      <color theme="0" tint="-0.499984740745262"/>
      <name val="Calibri"/>
      <family val="2"/>
      <scheme val="minor"/>
    </font>
    <font>
      <b/>
      <sz val="16"/>
      <color rgb="FFFF0000"/>
      <name val="Calibri"/>
      <family val="2"/>
      <scheme val="minor"/>
    </font>
    <font>
      <sz val="10"/>
      <color rgb="FFFF0000"/>
      <name val="Times"/>
      <family val="1"/>
    </font>
    <font>
      <i/>
      <sz val="11"/>
      <color theme="1"/>
      <name val="Calibri"/>
      <family val="2"/>
      <scheme val="minor"/>
    </font>
    <font>
      <i/>
      <sz val="11"/>
      <color theme="0" tint="-0.499984740745262"/>
      <name val="Calibri"/>
      <family val="2"/>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42">
    <xf numFmtId="0" fontId="0"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3"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2" fillId="0" borderId="0"/>
    <xf numFmtId="0" fontId="14" fillId="0" borderId="0" applyNumberFormat="0" applyFill="0" applyBorder="0" applyAlignment="0" applyProtection="0">
      <alignment vertical="top"/>
      <protection locked="0"/>
    </xf>
    <xf numFmtId="0" fontId="31" fillId="0" borderId="0"/>
  </cellStyleXfs>
  <cellXfs count="543">
    <xf numFmtId="0" fontId="0" fillId="0" borderId="0" xfId="0"/>
    <xf numFmtId="0" fontId="3" fillId="0" borderId="0" xfId="0" applyFont="1"/>
    <xf numFmtId="0" fontId="0" fillId="0" borderId="0" xfId="0" applyAlignment="1">
      <alignment horizontal="right"/>
    </xf>
    <xf numFmtId="0" fontId="0" fillId="0" borderId="0" xfId="0" applyAlignment="1">
      <alignment horizontal="center"/>
    </xf>
    <xf numFmtId="0" fontId="3" fillId="2" borderId="36" xfId="0" applyFont="1" applyFill="1" applyBorder="1"/>
    <xf numFmtId="0" fontId="3" fillId="2" borderId="35" xfId="0" applyFont="1" applyFill="1" applyBorder="1"/>
    <xf numFmtId="9" fontId="3" fillId="2" borderId="31" xfId="0" applyNumberFormat="1" applyFont="1" applyFill="1" applyBorder="1" applyAlignment="1">
      <alignment horizontal="center"/>
    </xf>
    <xf numFmtId="0" fontId="0" fillId="0" borderId="0" xfId="0" applyAlignment="1">
      <alignment vertical="top" wrapText="1"/>
    </xf>
    <xf numFmtId="0" fontId="9" fillId="0" borderId="0" xfId="0" applyFont="1" applyAlignment="1">
      <alignment horizontal="center"/>
    </xf>
    <xf numFmtId="0" fontId="4" fillId="0" borderId="0" xfId="0" applyFont="1" applyAlignment="1">
      <alignment horizontal="right"/>
    </xf>
    <xf numFmtId="0" fontId="4" fillId="0" borderId="0" xfId="2" applyFont="1" applyAlignment="1">
      <alignment horizontal="right"/>
    </xf>
    <xf numFmtId="0" fontId="4" fillId="0" borderId="0" xfId="2" applyFont="1" applyAlignment="1">
      <alignment vertical="top" wrapText="1"/>
    </xf>
    <xf numFmtId="0" fontId="0" fillId="0" borderId="0" xfId="0" applyAlignment="1">
      <alignment horizontal="left"/>
    </xf>
    <xf numFmtId="1" fontId="0" fillId="0" borderId="0" xfId="0" applyNumberFormat="1"/>
    <xf numFmtId="0" fontId="3" fillId="0" borderId="0" xfId="0" applyFont="1" applyAlignment="1">
      <alignment horizontal="right"/>
    </xf>
    <xf numFmtId="0" fontId="0" fillId="0" borderId="0" xfId="0" applyAlignment="1">
      <alignment wrapText="1"/>
    </xf>
    <xf numFmtId="0" fontId="3" fillId="0" borderId="26" xfId="0" applyFont="1" applyBorder="1" applyAlignment="1">
      <alignment horizontal="left"/>
    </xf>
    <xf numFmtId="6" fontId="0" fillId="0" borderId="0" xfId="0" applyNumberFormat="1"/>
    <xf numFmtId="0" fontId="3" fillId="2" borderId="48" xfId="0" applyFont="1" applyFill="1" applyBorder="1"/>
    <xf numFmtId="0" fontId="3" fillId="2" borderId="29" xfId="0" applyFont="1" applyFill="1" applyBorder="1"/>
    <xf numFmtId="0" fontId="0" fillId="0" borderId="25" xfId="0" applyBorder="1"/>
    <xf numFmtId="0" fontId="0" fillId="0" borderId="25" xfId="0" applyBorder="1" applyAlignment="1">
      <alignment horizontal="center"/>
    </xf>
    <xf numFmtId="0" fontId="0" fillId="0" borderId="25" xfId="0" applyBorder="1" applyAlignment="1">
      <alignment horizontal="left"/>
    </xf>
    <xf numFmtId="0" fontId="4" fillId="4" borderId="25" xfId="0" applyFont="1" applyFill="1" applyBorder="1" applyAlignment="1">
      <alignment horizontal="center"/>
    </xf>
    <xf numFmtId="6" fontId="2" fillId="0" borderId="0" xfId="0" applyNumberFormat="1" applyFont="1" applyAlignment="1">
      <alignment horizontal="right" indent="1"/>
    </xf>
    <xf numFmtId="168" fontId="0" fillId="0" borderId="0" xfId="136" applyNumberFormat="1" applyFont="1" applyBorder="1"/>
    <xf numFmtId="168" fontId="0" fillId="0" borderId="0" xfId="0" applyNumberFormat="1"/>
    <xf numFmtId="0" fontId="0" fillId="0" borderId="25" xfId="0" applyBorder="1" applyAlignment="1">
      <alignment horizontal="center" vertical="center"/>
    </xf>
    <xf numFmtId="0" fontId="3" fillId="0" borderId="0" xfId="0" applyFont="1" applyAlignment="1">
      <alignment horizontal="left"/>
    </xf>
    <xf numFmtId="0" fontId="3" fillId="0" borderId="25" xfId="0" applyFont="1" applyBorder="1" applyAlignment="1">
      <alignment horizontal="center"/>
    </xf>
    <xf numFmtId="0" fontId="8" fillId="0" borderId="0" xfId="2" applyFont="1" applyAlignment="1">
      <alignment horizontal="left"/>
    </xf>
    <xf numFmtId="0" fontId="3" fillId="0" borderId="33" xfId="0" applyFont="1" applyBorder="1" applyAlignment="1">
      <alignment horizontal="right"/>
    </xf>
    <xf numFmtId="0" fontId="4" fillId="0" borderId="0" xfId="0" applyFont="1" applyAlignment="1">
      <alignment horizontal="left" vertical="top" wrapText="1"/>
    </xf>
    <xf numFmtId="0" fontId="2" fillId="0" borderId="0" xfId="0" applyFont="1" applyAlignment="1">
      <alignment horizontal="center" vertical="center"/>
    </xf>
    <xf numFmtId="0" fontId="0" fillId="0" borderId="0" xfId="0" applyAlignment="1">
      <alignment horizontal="right" vertical="top"/>
    </xf>
    <xf numFmtId="0" fontId="4" fillId="0" borderId="0" xfId="0" applyFont="1" applyAlignment="1">
      <alignment vertical="top" wrapText="1"/>
    </xf>
    <xf numFmtId="164" fontId="15" fillId="0" borderId="0" xfId="0" applyNumberFormat="1" applyFont="1" applyAlignment="1">
      <alignment horizontal="center"/>
    </xf>
    <xf numFmtId="0" fontId="0" fillId="4" borderId="25" xfId="0" applyFill="1" applyBorder="1" applyAlignment="1">
      <alignment horizontal="center"/>
    </xf>
    <xf numFmtId="0" fontId="11" fillId="0" borderId="0" xfId="0" applyFont="1" applyAlignment="1">
      <alignment horizontal="center" vertical="top"/>
    </xf>
    <xf numFmtId="43" fontId="16" fillId="0" borderId="0" xfId="136" applyFont="1" applyAlignment="1">
      <alignment horizontal="right" vertical="center"/>
    </xf>
    <xf numFmtId="164" fontId="17" fillId="0" borderId="0" xfId="0" applyNumberFormat="1" applyFont="1" applyAlignment="1">
      <alignment horizontal="center"/>
    </xf>
    <xf numFmtId="0" fontId="17" fillId="0" borderId="0" xfId="0" applyFont="1" applyAlignment="1">
      <alignment horizontal="center"/>
    </xf>
    <xf numFmtId="2" fontId="3" fillId="0" borderId="49" xfId="0" applyNumberFormat="1" applyFont="1" applyBorder="1" applyAlignment="1">
      <alignment horizontal="center"/>
    </xf>
    <xf numFmtId="0" fontId="18" fillId="0" borderId="0" xfId="0" applyFont="1"/>
    <xf numFmtId="0" fontId="2" fillId="0" borderId="25" xfId="0" applyFont="1" applyBorder="1" applyAlignment="1">
      <alignment horizontal="center"/>
    </xf>
    <xf numFmtId="2" fontId="2" fillId="0" borderId="25" xfId="0" applyNumberFormat="1" applyFont="1" applyBorder="1" applyAlignment="1">
      <alignment horizontal="center"/>
    </xf>
    <xf numFmtId="169" fontId="0" fillId="0" borderId="0" xfId="0" applyNumberFormat="1" applyAlignment="1">
      <alignment horizontal="left"/>
    </xf>
    <xf numFmtId="0" fontId="3" fillId="0" borderId="25" xfId="0" applyFont="1" applyBorder="1"/>
    <xf numFmtId="0" fontId="3" fillId="0" borderId="25" xfId="0" applyFont="1" applyBorder="1" applyAlignment="1">
      <alignment horizontal="center" vertical="center"/>
    </xf>
    <xf numFmtId="0" fontId="4"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textRotation="90" wrapText="1"/>
    </xf>
    <xf numFmtId="0" fontId="0" fillId="0" borderId="7" xfId="0" applyBorder="1"/>
    <xf numFmtId="0" fontId="0" fillId="0" borderId="9" xfId="0" applyBorder="1"/>
    <xf numFmtId="0" fontId="0" fillId="0" borderId="5" xfId="0" applyBorder="1"/>
    <xf numFmtId="164" fontId="0" fillId="0" borderId="0" xfId="0" applyNumberFormat="1"/>
    <xf numFmtId="0" fontId="0" fillId="3" borderId="25" xfId="0" applyFill="1" applyBorder="1" applyAlignment="1">
      <alignment horizontal="center"/>
    </xf>
    <xf numFmtId="0" fontId="10" fillId="0" borderId="0" xfId="138"/>
    <xf numFmtId="44" fontId="2" fillId="0" borderId="25" xfId="1" applyFont="1" applyFill="1" applyBorder="1" applyAlignment="1">
      <alignment horizontal="center"/>
    </xf>
    <xf numFmtId="0" fontId="3" fillId="0" borderId="0" xfId="0" applyFont="1" applyAlignment="1">
      <alignment horizontal="center"/>
    </xf>
    <xf numFmtId="0" fontId="0" fillId="0" borderId="14" xfId="0" applyBorder="1" applyAlignment="1">
      <alignment horizontal="center"/>
    </xf>
    <xf numFmtId="0" fontId="0" fillId="0" borderId="15" xfId="0" applyBorder="1" applyAlignment="1">
      <alignment horizontal="center"/>
    </xf>
    <xf numFmtId="0" fontId="21" fillId="0" borderId="0" xfId="0" applyFont="1"/>
    <xf numFmtId="0" fontId="0" fillId="0" borderId="9" xfId="0" applyBorder="1" applyAlignment="1">
      <alignment horizontal="center"/>
    </xf>
    <xf numFmtId="0" fontId="4" fillId="0" borderId="0" xfId="2" applyFont="1" applyAlignment="1">
      <alignment horizontal="left"/>
    </xf>
    <xf numFmtId="0" fontId="4" fillId="0" borderId="0" xfId="2" applyFont="1"/>
    <xf numFmtId="6" fontId="3" fillId="0" borderId="0" xfId="0" applyNumberFormat="1" applyFont="1"/>
    <xf numFmtId="0" fontId="0" fillId="0" borderId="7" xfId="0" applyBorder="1" applyAlignment="1">
      <alignment horizontal="center"/>
    </xf>
    <xf numFmtId="6" fontId="2" fillId="0" borderId="0" xfId="0" applyNumberFormat="1" applyFont="1"/>
    <xf numFmtId="2" fontId="0" fillId="4" borderId="25" xfId="137" applyNumberFormat="1" applyFont="1" applyFill="1" applyBorder="1" applyAlignment="1">
      <alignment horizontal="center"/>
    </xf>
    <xf numFmtId="0" fontId="4" fillId="0" borderId="25" xfId="0" applyFont="1" applyBorder="1" applyAlignment="1">
      <alignment horizontal="center"/>
    </xf>
    <xf numFmtId="44" fontId="0" fillId="0" borderId="0" xfId="1" applyFont="1" applyAlignment="1"/>
    <xf numFmtId="0" fontId="0" fillId="0" borderId="13" xfId="0" applyBorder="1" applyAlignment="1">
      <alignment horizontal="center" vertical="center" wrapText="1"/>
    </xf>
    <xf numFmtId="0" fontId="23" fillId="0" borderId="0" xfId="0" applyFont="1" applyAlignment="1">
      <alignment horizontal="right"/>
    </xf>
    <xf numFmtId="0" fontId="0" fillId="0" borderId="39" xfId="0" applyBorder="1" applyAlignment="1">
      <alignment horizontal="center"/>
    </xf>
    <xf numFmtId="164" fontId="0" fillId="0" borderId="0" xfId="0" applyNumberFormat="1" applyAlignment="1">
      <alignment horizontal="center"/>
    </xf>
    <xf numFmtId="6" fontId="11" fillId="0" borderId="0" xfId="136" applyNumberFormat="1" applyFont="1" applyAlignment="1">
      <alignment horizontal="right" vertical="center"/>
    </xf>
    <xf numFmtId="0" fontId="0" fillId="0" borderId="0" xfId="0" applyAlignment="1">
      <alignment horizontal="center" vertical="center" wrapText="1"/>
    </xf>
    <xf numFmtId="0" fontId="3" fillId="0" borderId="0" xfId="0" applyFont="1" applyAlignment="1">
      <alignment horizontal="center" vertical="center" wrapText="1"/>
    </xf>
    <xf numFmtId="164" fontId="0" fillId="0" borderId="0" xfId="0" applyNumberFormat="1" applyAlignment="1">
      <alignment horizontal="center" vertical="center"/>
    </xf>
    <xf numFmtId="164" fontId="11" fillId="0" borderId="0" xfId="136" applyNumberFormat="1" applyFont="1" applyAlignment="1">
      <alignment horizontal="right" vertical="center"/>
    </xf>
    <xf numFmtId="6" fontId="0" fillId="0" borderId="47" xfId="0" applyNumberFormat="1" applyBorder="1" applyAlignment="1">
      <alignment horizontal="right"/>
    </xf>
    <xf numFmtId="6" fontId="0" fillId="0" borderId="19" xfId="0" applyNumberFormat="1" applyBorder="1" applyAlignment="1">
      <alignment horizontal="right"/>
    </xf>
    <xf numFmtId="6" fontId="0" fillId="0" borderId="45" xfId="0" applyNumberFormat="1" applyBorder="1" applyAlignment="1">
      <alignment horizontal="right"/>
    </xf>
    <xf numFmtId="6" fontId="0" fillId="0" borderId="52" xfId="0" applyNumberFormat="1" applyBorder="1" applyAlignment="1">
      <alignment horizontal="right"/>
    </xf>
    <xf numFmtId="6" fontId="0" fillId="0" borderId="20" xfId="0" applyNumberFormat="1" applyBorder="1" applyAlignment="1">
      <alignment horizontal="right"/>
    </xf>
    <xf numFmtId="6" fontId="0" fillId="0" borderId="29" xfId="0" applyNumberFormat="1" applyBorder="1" applyAlignment="1">
      <alignment horizontal="right"/>
    </xf>
    <xf numFmtId="6" fontId="0" fillId="0" borderId="0" xfId="0" applyNumberFormat="1" applyAlignment="1">
      <alignment horizontal="right"/>
    </xf>
    <xf numFmtId="164" fontId="0" fillId="0" borderId="38" xfId="0" applyNumberFormat="1" applyBorder="1" applyAlignment="1">
      <alignment horizontal="right"/>
    </xf>
    <xf numFmtId="164" fontId="0" fillId="0" borderId="47" xfId="0" applyNumberFormat="1" applyBorder="1" applyAlignment="1">
      <alignment horizontal="right"/>
    </xf>
    <xf numFmtId="164" fontId="0" fillId="0" borderId="19" xfId="0" applyNumberFormat="1" applyBorder="1" applyAlignment="1">
      <alignment horizontal="right"/>
    </xf>
    <xf numFmtId="6" fontId="0" fillId="0" borderId="53" xfId="0" applyNumberFormat="1" applyBorder="1" applyAlignment="1">
      <alignment horizontal="right"/>
    </xf>
    <xf numFmtId="6" fontId="0" fillId="0" borderId="18" xfId="0" applyNumberFormat="1" applyBorder="1" applyAlignment="1">
      <alignment horizontal="right"/>
    </xf>
    <xf numFmtId="6" fontId="0" fillId="0" borderId="28" xfId="0" applyNumberFormat="1" applyBorder="1" applyAlignment="1">
      <alignment horizontal="right"/>
    </xf>
    <xf numFmtId="164" fontId="0" fillId="0" borderId="13" xfId="0" applyNumberFormat="1" applyBorder="1"/>
    <xf numFmtId="6" fontId="0" fillId="0" borderId="36" xfId="0" applyNumberFormat="1" applyBorder="1"/>
    <xf numFmtId="6" fontId="0" fillId="0" borderId="39" xfId="0" applyNumberFormat="1" applyBorder="1"/>
    <xf numFmtId="164" fontId="0" fillId="0" borderId="14" xfId="0" applyNumberFormat="1" applyBorder="1"/>
    <xf numFmtId="6" fontId="0" fillId="0" borderId="7" xfId="0" applyNumberFormat="1" applyBorder="1"/>
    <xf numFmtId="6" fontId="0" fillId="0" borderId="14" xfId="0" applyNumberFormat="1" applyBorder="1"/>
    <xf numFmtId="37" fontId="0" fillId="0" borderId="37" xfId="136" applyNumberFormat="1" applyFont="1" applyFill="1" applyBorder="1" applyAlignment="1"/>
    <xf numFmtId="6" fontId="0" fillId="0" borderId="38" xfId="136" applyNumberFormat="1" applyFont="1" applyFill="1" applyBorder="1" applyAlignment="1"/>
    <xf numFmtId="37" fontId="0" fillId="0" borderId="45" xfId="136" applyNumberFormat="1" applyFont="1" applyFill="1" applyBorder="1" applyAlignment="1"/>
    <xf numFmtId="6" fontId="0" fillId="0" borderId="19" xfId="136" applyNumberFormat="1" applyFont="1" applyFill="1" applyBorder="1" applyAlignment="1"/>
    <xf numFmtId="6" fontId="0" fillId="0" borderId="8" xfId="136" applyNumberFormat="1" applyFont="1" applyFill="1" applyBorder="1" applyAlignment="1"/>
    <xf numFmtId="6" fontId="0" fillId="0" borderId="14" xfId="136" applyNumberFormat="1" applyFont="1" applyFill="1" applyBorder="1" applyAlignment="1"/>
    <xf numFmtId="37" fontId="0" fillId="0" borderId="29" xfId="136" applyNumberFormat="1" applyFont="1" applyFill="1" applyBorder="1" applyAlignment="1"/>
    <xf numFmtId="6" fontId="0" fillId="0" borderId="17" xfId="136" applyNumberFormat="1" applyFont="1" applyFill="1" applyBorder="1" applyAlignment="1"/>
    <xf numFmtId="6" fontId="0" fillId="0" borderId="20" xfId="136" applyNumberFormat="1" applyFont="1" applyFill="1" applyBorder="1" applyAlignment="1"/>
    <xf numFmtId="6" fontId="0" fillId="0" borderId="10" xfId="136" applyNumberFormat="1" applyFont="1" applyFill="1" applyBorder="1" applyAlignment="1"/>
    <xf numFmtId="6" fontId="0" fillId="0" borderId="15" xfId="136" applyNumberFormat="1" applyFont="1" applyFill="1" applyBorder="1" applyAlignment="1"/>
    <xf numFmtId="6" fontId="0" fillId="0" borderId="12" xfId="0" applyNumberFormat="1" applyBorder="1"/>
    <xf numFmtId="0" fontId="4" fillId="0" borderId="25" xfId="0" applyFont="1" applyBorder="1" applyAlignment="1">
      <alignment horizontal="left"/>
    </xf>
    <xf numFmtId="164" fontId="0" fillId="0" borderId="64" xfId="0" applyNumberFormat="1" applyBorder="1"/>
    <xf numFmtId="0" fontId="0" fillId="0" borderId="17" xfId="0" applyBorder="1" applyAlignment="1">
      <alignment horizontal="center" vertical="center"/>
    </xf>
    <xf numFmtId="0" fontId="0" fillId="0" borderId="5" xfId="0" applyBorder="1" applyAlignment="1">
      <alignment horizontal="center" vertical="center" wrapText="1"/>
    </xf>
    <xf numFmtId="6" fontId="0" fillId="0" borderId="43" xfId="0" applyNumberFormat="1" applyBorder="1" applyAlignment="1">
      <alignment horizontal="right"/>
    </xf>
    <xf numFmtId="6" fontId="0" fillId="0" borderId="41" xfId="0" applyNumberFormat="1" applyBorder="1" applyAlignment="1">
      <alignment horizontal="right"/>
    </xf>
    <xf numFmtId="6" fontId="0" fillId="0" borderId="13" xfId="0" applyNumberFormat="1" applyBorder="1" applyAlignment="1">
      <alignment horizontal="right"/>
    </xf>
    <xf numFmtId="6" fontId="0" fillId="0" borderId="54" xfId="0" applyNumberFormat="1" applyBorder="1" applyAlignment="1">
      <alignment horizontal="right"/>
    </xf>
    <xf numFmtId="0" fontId="0" fillId="0" borderId="7" xfId="0" applyBorder="1" applyAlignment="1">
      <alignment horizontal="center" vertical="center" wrapText="1"/>
    </xf>
    <xf numFmtId="6" fontId="0" fillId="0" borderId="25" xfId="0" applyNumberFormat="1" applyBorder="1" applyAlignment="1">
      <alignment horizontal="right"/>
    </xf>
    <xf numFmtId="6" fontId="0" fillId="0" borderId="21" xfId="0" applyNumberFormat="1" applyBorder="1" applyAlignment="1">
      <alignment horizontal="right"/>
    </xf>
    <xf numFmtId="6" fontId="0" fillId="0" borderId="14" xfId="0" applyNumberFormat="1" applyBorder="1" applyAlignment="1">
      <alignment horizontal="right"/>
    </xf>
    <xf numFmtId="6" fontId="0" fillId="0" borderId="56" xfId="0" applyNumberFormat="1" applyBorder="1" applyAlignment="1">
      <alignment horizontal="right"/>
    </xf>
    <xf numFmtId="6" fontId="0" fillId="0" borderId="44" xfId="0" applyNumberFormat="1" applyBorder="1" applyAlignment="1">
      <alignment horizontal="right"/>
    </xf>
    <xf numFmtId="6" fontId="0" fillId="0" borderId="51" xfId="0" applyNumberFormat="1" applyBorder="1" applyAlignment="1">
      <alignment horizontal="right"/>
    </xf>
    <xf numFmtId="6" fontId="0" fillId="0" borderId="15" xfId="0" applyNumberFormat="1" applyBorder="1" applyAlignment="1">
      <alignment horizontal="right"/>
    </xf>
    <xf numFmtId="6" fontId="0" fillId="0" borderId="66" xfId="0" applyNumberFormat="1" applyBorder="1" applyAlignment="1">
      <alignment horizontal="right"/>
    </xf>
    <xf numFmtId="164" fontId="17" fillId="0" borderId="0" xfId="0" applyNumberFormat="1" applyFont="1" applyAlignment="1">
      <alignment horizontal="right"/>
    </xf>
    <xf numFmtId="1" fontId="0" fillId="0" borderId="0" xfId="0" applyNumberFormat="1" applyAlignment="1">
      <alignment horizontal="center"/>
    </xf>
    <xf numFmtId="164" fontId="6" fillId="0" borderId="0" xfId="0" applyNumberFormat="1" applyFont="1" applyAlignment="1">
      <alignment horizontal="center"/>
    </xf>
    <xf numFmtId="164" fontId="0" fillId="0" borderId="40" xfId="0" applyNumberFormat="1" applyBorder="1" applyAlignment="1">
      <alignment horizontal="center"/>
    </xf>
    <xf numFmtId="164" fontId="0" fillId="0" borderId="27" xfId="0" applyNumberFormat="1" applyBorder="1" applyAlignment="1">
      <alignment horizontal="center"/>
    </xf>
    <xf numFmtId="2" fontId="0" fillId="0" borderId="0" xfId="0" applyNumberFormat="1" applyAlignment="1">
      <alignment horizontal="center"/>
    </xf>
    <xf numFmtId="164" fontId="0" fillId="2" borderId="38" xfId="0" applyNumberFormat="1" applyFill="1" applyBorder="1" applyAlignment="1">
      <alignment horizontal="center"/>
    </xf>
    <xf numFmtId="164" fontId="0" fillId="2" borderId="34" xfId="0" applyNumberFormat="1" applyFill="1" applyBorder="1" applyAlignment="1">
      <alignment horizontal="center"/>
    </xf>
    <xf numFmtId="164" fontId="0" fillId="0" borderId="20" xfId="0" applyNumberFormat="1" applyBorder="1" applyAlignment="1">
      <alignment horizontal="center"/>
    </xf>
    <xf numFmtId="0" fontId="4" fillId="0" borderId="25" xfId="2" applyFont="1" applyBorder="1" applyAlignment="1">
      <alignment horizontal="left" vertical="center"/>
    </xf>
    <xf numFmtId="0" fontId="4" fillId="0" borderId="0" xfId="2" applyFont="1" applyAlignment="1">
      <alignment horizontal="left" vertical="center"/>
    </xf>
    <xf numFmtId="0" fontId="8" fillId="0" borderId="0" xfId="2" applyFont="1" applyAlignment="1">
      <alignment horizontal="left" vertical="center"/>
    </xf>
    <xf numFmtId="166" fontId="4" fillId="0" borderId="0" xfId="2" applyNumberFormat="1" applyFont="1" applyAlignment="1">
      <alignment horizontal="left"/>
    </xf>
    <xf numFmtId="0" fontId="4" fillId="4" borderId="25" xfId="2" applyFont="1" applyFill="1" applyBorder="1" applyAlignment="1">
      <alignment horizontal="center" vertical="center"/>
    </xf>
    <xf numFmtId="10" fontId="4" fillId="0" borderId="0" xfId="2" applyNumberFormat="1" applyFont="1" applyAlignment="1">
      <alignment horizontal="center" vertical="center"/>
    </xf>
    <xf numFmtId="0" fontId="25" fillId="0" borderId="0" xfId="2" applyFont="1" applyAlignment="1">
      <alignment horizontal="left"/>
    </xf>
    <xf numFmtId="169" fontId="24" fillId="0" borderId="0" xfId="2" applyNumberFormat="1" applyFont="1" applyAlignment="1">
      <alignment horizontal="center" vertical="center"/>
    </xf>
    <xf numFmtId="0" fontId="4" fillId="0" borderId="0" xfId="2" applyFont="1" applyAlignment="1">
      <alignment horizontal="center" vertical="center"/>
    </xf>
    <xf numFmtId="0" fontId="8" fillId="0" borderId="0" xfId="0" applyFont="1" applyAlignment="1">
      <alignment horizontal="left"/>
    </xf>
    <xf numFmtId="167" fontId="26" fillId="0" borderId="0" xfId="2" applyNumberFormat="1" applyFont="1" applyAlignment="1">
      <alignment horizontal="left"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xf>
    <xf numFmtId="6" fontId="0" fillId="0" borderId="6" xfId="0" applyNumberFormat="1" applyBorder="1" applyAlignment="1">
      <alignment horizontal="right"/>
    </xf>
    <xf numFmtId="6" fontId="0" fillId="0" borderId="37" xfId="0" applyNumberFormat="1" applyBorder="1" applyAlignment="1">
      <alignment horizontal="right"/>
    </xf>
    <xf numFmtId="6" fontId="0" fillId="0" borderId="38" xfId="0" applyNumberFormat="1" applyBorder="1" applyAlignment="1">
      <alignment horizontal="right"/>
    </xf>
    <xf numFmtId="173" fontId="0" fillId="0" borderId="45" xfId="0" applyNumberFormat="1" applyBorder="1" applyAlignment="1">
      <alignment horizontal="right"/>
    </xf>
    <xf numFmtId="173" fontId="0" fillId="0" borderId="25" xfId="0" applyNumberFormat="1" applyBorder="1" applyAlignment="1">
      <alignment horizontal="right"/>
    </xf>
    <xf numFmtId="173" fontId="0" fillId="0" borderId="19" xfId="0" applyNumberFormat="1" applyBorder="1" applyAlignment="1">
      <alignment horizontal="right"/>
    </xf>
    <xf numFmtId="6" fontId="0" fillId="0" borderId="8" xfId="0" applyNumberFormat="1" applyBorder="1" applyAlignment="1">
      <alignment horizontal="right"/>
    </xf>
    <xf numFmtId="0" fontId="0" fillId="2" borderId="25" xfId="0" applyFill="1" applyBorder="1" applyAlignment="1">
      <alignment vertical="center"/>
    </xf>
    <xf numFmtId="6" fontId="0" fillId="2" borderId="25" xfId="0" applyNumberFormat="1" applyFill="1" applyBorder="1"/>
    <xf numFmtId="173" fontId="0" fillId="0" borderId="29" xfId="0" applyNumberFormat="1" applyBorder="1" applyAlignment="1">
      <alignment horizontal="right"/>
    </xf>
    <xf numFmtId="173" fontId="0" fillId="0" borderId="44" xfId="0" applyNumberFormat="1" applyBorder="1" applyAlignment="1">
      <alignment horizontal="right"/>
    </xf>
    <xf numFmtId="173" fontId="0" fillId="0" borderId="20" xfId="0" applyNumberFormat="1" applyBorder="1" applyAlignment="1">
      <alignment horizontal="right"/>
    </xf>
    <xf numFmtId="6" fontId="0" fillId="0" borderId="10" xfId="0" applyNumberFormat="1" applyBorder="1" applyAlignment="1">
      <alignment horizontal="right"/>
    </xf>
    <xf numFmtId="6" fontId="0" fillId="0" borderId="0" xfId="0" applyNumberFormat="1" applyAlignment="1">
      <alignment horizontal="center"/>
    </xf>
    <xf numFmtId="6" fontId="0" fillId="0" borderId="0" xfId="0" applyNumberFormat="1" applyAlignment="1">
      <alignment horizontal="right" indent="1"/>
    </xf>
    <xf numFmtId="0" fontId="0" fillId="0" borderId="22" xfId="0" applyBorder="1" applyAlignment="1">
      <alignment vertical="top" wrapText="1"/>
    </xf>
    <xf numFmtId="0" fontId="0" fillId="0" borderId="0" xfId="0" applyAlignment="1">
      <alignment vertical="top"/>
    </xf>
    <xf numFmtId="6" fontId="0" fillId="0" borderId="24" xfId="0" applyNumberFormat="1" applyBorder="1" applyAlignment="1">
      <alignment horizontal="right"/>
    </xf>
    <xf numFmtId="0" fontId="18" fillId="0" borderId="0" xfId="0" applyFont="1" applyAlignment="1">
      <alignment vertical="top" wrapText="1"/>
    </xf>
    <xf numFmtId="0" fontId="18" fillId="0" borderId="0" xfId="0" applyFont="1" applyAlignment="1">
      <alignment horizontal="right"/>
    </xf>
    <xf numFmtId="0" fontId="4" fillId="0" borderId="22" xfId="2" applyFont="1" applyBorder="1" applyAlignment="1">
      <alignment vertical="center"/>
    </xf>
    <xf numFmtId="0" fontId="4" fillId="0" borderId="0" xfId="2" applyFont="1" applyAlignment="1">
      <alignment vertical="center"/>
    </xf>
    <xf numFmtId="1" fontId="0" fillId="0" borderId="25" xfId="0" applyNumberFormat="1" applyBorder="1" applyAlignment="1">
      <alignment horizontal="left"/>
    </xf>
    <xf numFmtId="0" fontId="0" fillId="0" borderId="64" xfId="0" applyBorder="1"/>
    <xf numFmtId="1" fontId="0" fillId="3" borderId="25" xfId="0" applyNumberFormat="1" applyFill="1" applyBorder="1" applyAlignment="1">
      <alignment horizontal="center"/>
    </xf>
    <xf numFmtId="164" fontId="0" fillId="4" borderId="25" xfId="0" applyNumberFormat="1" applyFill="1" applyBorder="1" applyAlignment="1">
      <alignment horizontal="center"/>
    </xf>
    <xf numFmtId="2" fontId="0" fillId="4" borderId="25" xfId="0" applyNumberFormat="1" applyFill="1" applyBorder="1" applyAlignment="1">
      <alignment horizontal="center"/>
    </xf>
    <xf numFmtId="0" fontId="19" fillId="0" borderId="0" xfId="0" applyFont="1" applyAlignment="1">
      <alignment vertical="center" textRotation="90"/>
    </xf>
    <xf numFmtId="0" fontId="2" fillId="0" borderId="0" xfId="0" applyFont="1"/>
    <xf numFmtId="2" fontId="4" fillId="4" borderId="25" xfId="2" applyNumberFormat="1" applyFont="1" applyFill="1" applyBorder="1" applyAlignment="1">
      <alignment horizontal="center" vertical="center"/>
    </xf>
    <xf numFmtId="0" fontId="4" fillId="3" borderId="25" xfId="2" applyFont="1" applyFill="1" applyBorder="1" applyAlignment="1">
      <alignment horizontal="center" vertical="center"/>
    </xf>
    <xf numFmtId="170" fontId="4" fillId="3" borderId="25" xfId="2" applyNumberFormat="1" applyFont="1" applyFill="1" applyBorder="1" applyAlignment="1">
      <alignment horizontal="center" vertical="center"/>
    </xf>
    <xf numFmtId="169" fontId="4" fillId="4" borderId="25" xfId="2" applyNumberFormat="1" applyFont="1" applyFill="1" applyBorder="1" applyAlignment="1">
      <alignment horizontal="center" vertical="center"/>
    </xf>
    <xf numFmtId="37" fontId="1" fillId="4" borderId="25" xfId="136" applyNumberFormat="1" applyFont="1" applyFill="1" applyBorder="1" applyAlignment="1">
      <alignment horizontal="center"/>
    </xf>
    <xf numFmtId="169" fontId="0" fillId="3" borderId="25" xfId="1" applyNumberFormat="1" applyFont="1" applyFill="1" applyBorder="1" applyAlignment="1">
      <alignment horizontal="center"/>
    </xf>
    <xf numFmtId="170" fontId="0" fillId="3" borderId="25" xfId="137" applyNumberFormat="1" applyFont="1" applyFill="1" applyBorder="1" applyAlignment="1">
      <alignment horizontal="center"/>
    </xf>
    <xf numFmtId="2" fontId="0" fillId="3" borderId="25" xfId="137" applyNumberFormat="1" applyFont="1" applyFill="1" applyBorder="1" applyAlignment="1">
      <alignment horizontal="center"/>
    </xf>
    <xf numFmtId="0" fontId="10" fillId="4" borderId="25" xfId="138" applyFill="1" applyBorder="1" applyAlignment="1">
      <alignment horizontal="right"/>
    </xf>
    <xf numFmtId="171" fontId="0" fillId="4" borderId="25" xfId="0" applyNumberFormat="1" applyFill="1" applyBorder="1" applyAlignment="1">
      <alignment horizontal="center"/>
    </xf>
    <xf numFmtId="0" fontId="0" fillId="4" borderId="25" xfId="0" applyFill="1" applyBorder="1" applyAlignment="1">
      <alignment vertical="center"/>
    </xf>
    <xf numFmtId="6" fontId="0" fillId="4" borderId="25" xfId="0" applyNumberFormat="1" applyFill="1" applyBorder="1"/>
    <xf numFmtId="174" fontId="0" fillId="4" borderId="25" xfId="0" applyNumberFormat="1" applyFill="1" applyBorder="1" applyAlignment="1">
      <alignment horizontal="center" vertical="center"/>
    </xf>
    <xf numFmtId="6" fontId="0" fillId="0" borderId="26" xfId="0" applyNumberFormat="1" applyBorder="1" applyAlignment="1">
      <alignment horizontal="right" vertical="center" wrapText="1"/>
    </xf>
    <xf numFmtId="164" fontId="0" fillId="0" borderId="13" xfId="0" applyNumberFormat="1" applyBorder="1" applyAlignment="1">
      <alignment horizontal="right"/>
    </xf>
    <xf numFmtId="164" fontId="0" fillId="0" borderId="54" xfId="0" applyNumberFormat="1" applyBorder="1" applyAlignment="1">
      <alignment horizontal="right"/>
    </xf>
    <xf numFmtId="164" fontId="0" fillId="0" borderId="39" xfId="0" applyNumberFormat="1" applyBorder="1" applyAlignment="1">
      <alignment horizontal="right"/>
    </xf>
    <xf numFmtId="164" fontId="0" fillId="0" borderId="55" xfId="0" applyNumberFormat="1" applyBorder="1" applyAlignment="1">
      <alignment horizontal="right"/>
    </xf>
    <xf numFmtId="164" fontId="0" fillId="0" borderId="14" xfId="0" applyNumberFormat="1" applyBorder="1" applyAlignment="1">
      <alignment horizontal="right"/>
    </xf>
    <xf numFmtId="164" fontId="0" fillId="0" borderId="56" xfId="0" applyNumberFormat="1" applyBorder="1" applyAlignment="1">
      <alignment horizontal="right"/>
    </xf>
    <xf numFmtId="6" fontId="3" fillId="0" borderId="0" xfId="0" applyNumberFormat="1" applyFont="1" applyAlignment="1">
      <alignment horizontal="right"/>
    </xf>
    <xf numFmtId="0" fontId="0" fillId="0" borderId="0" xfId="0" applyAlignment="1">
      <alignment horizontal="left" vertical="top"/>
    </xf>
    <xf numFmtId="0" fontId="4" fillId="0" borderId="25" xfId="2" applyFont="1" applyBorder="1" applyAlignment="1">
      <alignment horizontal="center"/>
    </xf>
    <xf numFmtId="10" fontId="1" fillId="3" borderId="25" xfId="137" applyNumberFormat="1" applyFont="1" applyFill="1" applyBorder="1" applyAlignment="1">
      <alignment horizontal="center"/>
    </xf>
    <xf numFmtId="0" fontId="8" fillId="0" borderId="0" xfId="0" applyFont="1" applyAlignment="1">
      <alignment horizontal="right"/>
    </xf>
    <xf numFmtId="0" fontId="0" fillId="4" borderId="25" xfId="0" applyFill="1" applyBorder="1" applyAlignment="1">
      <alignment horizontal="left"/>
    </xf>
    <xf numFmtId="0" fontId="4" fillId="3" borderId="25" xfId="0" applyFont="1" applyFill="1" applyBorder="1" applyAlignment="1">
      <alignment horizontal="left"/>
    </xf>
    <xf numFmtId="0" fontId="3" fillId="0" borderId="2" xfId="0" applyFont="1" applyBorder="1" applyAlignment="1">
      <alignment horizontal="center" vertical="center" wrapText="1"/>
    </xf>
    <xf numFmtId="0" fontId="0" fillId="4" borderId="25" xfId="136" applyNumberFormat="1" applyFont="1" applyFill="1" applyBorder="1" applyAlignment="1">
      <alignment horizontal="center"/>
    </xf>
    <xf numFmtId="0" fontId="0" fillId="0" borderId="0" xfId="0" applyAlignment="1">
      <alignment horizontal="center" vertical="center"/>
    </xf>
    <xf numFmtId="44" fontId="2" fillId="0" borderId="0" xfId="1" applyFont="1" applyFill="1" applyBorder="1" applyAlignment="1">
      <alignment horizontal="center"/>
    </xf>
    <xf numFmtId="6" fontId="0" fillId="0" borderId="68" xfId="0" applyNumberFormat="1" applyBorder="1" applyAlignment="1">
      <alignment horizontal="right"/>
    </xf>
    <xf numFmtId="1" fontId="0" fillId="3" borderId="25" xfId="136" applyNumberFormat="1" applyFont="1" applyFill="1" applyBorder="1" applyAlignment="1">
      <alignment horizontal="center"/>
    </xf>
    <xf numFmtId="174" fontId="0" fillId="3" borderId="25" xfId="0" applyNumberFormat="1" applyFill="1" applyBorder="1" applyAlignment="1">
      <alignment horizontal="center" vertical="center"/>
    </xf>
    <xf numFmtId="0" fontId="27" fillId="0" borderId="0" xfId="0" applyFont="1"/>
    <xf numFmtId="0" fontId="3" fillId="2" borderId="33" xfId="0" applyFont="1" applyFill="1" applyBorder="1"/>
    <xf numFmtId="0" fontId="4" fillId="0" borderId="25" xfId="0" applyFont="1" applyBorder="1" applyAlignment="1">
      <alignment horizontal="center" vertical="center"/>
    </xf>
    <xf numFmtId="44" fontId="0" fillId="3" borderId="25" xfId="0" applyNumberFormat="1" applyFill="1" applyBorder="1"/>
    <xf numFmtId="44" fontId="0" fillId="4" borderId="25" xfId="1" applyFont="1" applyFill="1" applyBorder="1" applyAlignment="1">
      <alignment horizontal="center"/>
    </xf>
    <xf numFmtId="6" fontId="0" fillId="0" borderId="6" xfId="0" applyNumberFormat="1" applyBorder="1" applyAlignment="1">
      <alignment horizontal="right" vertical="center" wrapText="1"/>
    </xf>
    <xf numFmtId="164" fontId="0" fillId="0" borderId="18" xfId="0" applyNumberFormat="1" applyBorder="1" applyAlignment="1">
      <alignment horizontal="right"/>
    </xf>
    <xf numFmtId="164" fontId="0" fillId="0" borderId="53" xfId="0" applyNumberFormat="1" applyBorder="1" applyAlignment="1">
      <alignment horizontal="right"/>
    </xf>
    <xf numFmtId="0" fontId="0" fillId="0" borderId="0" xfId="0" applyAlignment="1">
      <alignment vertical="center" wrapText="1"/>
    </xf>
    <xf numFmtId="37" fontId="0" fillId="0" borderId="0" xfId="0" applyNumberFormat="1"/>
    <xf numFmtId="172" fontId="0" fillId="0" borderId="0" xfId="1" applyNumberFormat="1" applyFont="1"/>
    <xf numFmtId="164" fontId="0" fillId="0" borderId="0" xfId="1" applyNumberFormat="1" applyFont="1"/>
    <xf numFmtId="9" fontId="4" fillId="4" borderId="25" xfId="137" applyFont="1" applyFill="1" applyBorder="1" applyAlignment="1">
      <alignment horizontal="center" vertical="center"/>
    </xf>
    <xf numFmtId="170" fontId="4" fillId="4" borderId="25" xfId="137" applyNumberFormat="1" applyFont="1" applyFill="1" applyBorder="1" applyAlignment="1">
      <alignment horizontal="center" vertical="center"/>
    </xf>
    <xf numFmtId="10" fontId="4" fillId="0" borderId="25" xfId="2" applyNumberFormat="1" applyFont="1" applyBorder="1" applyAlignment="1">
      <alignment horizontal="center" vertical="center"/>
    </xf>
    <xf numFmtId="169" fontId="4" fillId="3" borderId="25" xfId="2" applyNumberFormat="1" applyFont="1" applyFill="1" applyBorder="1" applyAlignment="1">
      <alignment horizontal="center" vertical="center"/>
    </xf>
    <xf numFmtId="170" fontId="3" fillId="2" borderId="31" xfId="0" applyNumberFormat="1" applyFont="1" applyFill="1" applyBorder="1" applyAlignment="1">
      <alignment horizontal="center"/>
    </xf>
    <xf numFmtId="1" fontId="0" fillId="3" borderId="25" xfId="136" applyNumberFormat="1" applyFont="1" applyFill="1" applyBorder="1" applyAlignment="1">
      <alignment horizontal="center" vertical="center"/>
    </xf>
    <xf numFmtId="0" fontId="4" fillId="0" borderId="26" xfId="2" applyFont="1" applyBorder="1" applyAlignment="1">
      <alignment vertical="center"/>
    </xf>
    <xf numFmtId="37" fontId="0" fillId="0" borderId="30" xfId="136" applyNumberFormat="1" applyFont="1" applyFill="1" applyBorder="1" applyAlignment="1"/>
    <xf numFmtId="37" fontId="0" fillId="0" borderId="24" xfId="136" applyNumberFormat="1" applyFont="1" applyFill="1" applyBorder="1" applyAlignment="1"/>
    <xf numFmtId="37" fontId="0" fillId="0" borderId="44" xfId="136" applyNumberFormat="1" applyFont="1" applyFill="1" applyBorder="1" applyAlignment="1"/>
    <xf numFmtId="37" fontId="0" fillId="0" borderId="71" xfId="136" applyNumberFormat="1" applyFont="1" applyFill="1" applyBorder="1" applyAlignment="1"/>
    <xf numFmtId="37" fontId="0" fillId="0" borderId="67" xfId="136" applyNumberFormat="1" applyFont="1" applyFill="1" applyBorder="1" applyAlignment="1"/>
    <xf numFmtId="37" fontId="0" fillId="0" borderId="25" xfId="136" applyNumberFormat="1" applyFont="1" applyFill="1" applyBorder="1" applyAlignment="1"/>
    <xf numFmtId="6" fontId="0" fillId="0" borderId="67" xfId="0" applyNumberFormat="1" applyBorder="1" applyAlignment="1">
      <alignment horizontal="right"/>
    </xf>
    <xf numFmtId="164" fontId="0" fillId="3" borderId="25" xfId="0" applyNumberFormat="1" applyFill="1" applyBorder="1" applyAlignment="1">
      <alignment horizontal="center"/>
    </xf>
    <xf numFmtId="171" fontId="0" fillId="3" borderId="25" xfId="0" applyNumberFormat="1" applyFill="1" applyBorder="1" applyAlignment="1">
      <alignment horizontal="center"/>
    </xf>
    <xf numFmtId="1" fontId="0" fillId="3" borderId="21" xfId="0" applyNumberFormat="1" applyFill="1" applyBorder="1" applyAlignment="1">
      <alignment horizontal="center"/>
    </xf>
    <xf numFmtId="0" fontId="0" fillId="0" borderId="21" xfId="0" applyBorder="1" applyAlignment="1">
      <alignment horizontal="center"/>
    </xf>
    <xf numFmtId="0" fontId="0" fillId="3" borderId="8" xfId="0" applyFill="1" applyBorder="1" applyAlignment="1">
      <alignment horizontal="centerContinuous"/>
    </xf>
    <xf numFmtId="0" fontId="0" fillId="3" borderId="47" xfId="0" applyFill="1" applyBorder="1" applyAlignment="1">
      <alignment horizontal="centerContinuous"/>
    </xf>
    <xf numFmtId="174" fontId="0" fillId="3" borderId="25" xfId="0" applyNumberFormat="1" applyFill="1" applyBorder="1" applyAlignment="1">
      <alignment horizontal="center"/>
    </xf>
    <xf numFmtId="175" fontId="0" fillId="3" borderId="25" xfId="0" applyNumberFormat="1" applyFill="1" applyBorder="1" applyAlignment="1">
      <alignment horizontal="center"/>
    </xf>
    <xf numFmtId="174" fontId="0" fillId="3" borderId="25" xfId="136" applyNumberFormat="1" applyFont="1" applyFill="1" applyBorder="1" applyAlignment="1">
      <alignment horizontal="center"/>
    </xf>
    <xf numFmtId="175" fontId="0" fillId="3" borderId="25" xfId="136" applyNumberFormat="1" applyFont="1" applyFill="1" applyBorder="1" applyAlignment="1">
      <alignment horizontal="center"/>
    </xf>
    <xf numFmtId="37" fontId="0" fillId="3" borderId="25" xfId="0" applyNumberFormat="1" applyFill="1" applyBorder="1" applyAlignment="1">
      <alignment horizontal="center"/>
    </xf>
    <xf numFmtId="37" fontId="1" fillId="3" borderId="25" xfId="136" applyNumberFormat="1" applyFont="1" applyFill="1" applyBorder="1" applyAlignment="1">
      <alignment horizontal="center"/>
    </xf>
    <xf numFmtId="170" fontId="4" fillId="4" borderId="25" xfId="2" applyNumberFormat="1" applyFont="1" applyFill="1" applyBorder="1" applyAlignment="1">
      <alignment horizontal="center" vertical="center"/>
    </xf>
    <xf numFmtId="0" fontId="10" fillId="0" borderId="0" xfId="138" applyFill="1" applyAlignment="1">
      <alignment horizontal="left" vertical="top"/>
    </xf>
    <xf numFmtId="2" fontId="4" fillId="3" borderId="25" xfId="2" applyNumberFormat="1" applyFont="1" applyFill="1" applyBorder="1" applyAlignment="1">
      <alignment horizontal="center" vertical="center"/>
    </xf>
    <xf numFmtId="0" fontId="0" fillId="4" borderId="25" xfId="0" applyFill="1" applyBorder="1" applyAlignment="1">
      <alignment horizontal="right"/>
    </xf>
    <xf numFmtId="166" fontId="0" fillId="3" borderId="25" xfId="0" applyNumberFormat="1" applyFill="1" applyBorder="1" applyAlignment="1">
      <alignment horizontal="center"/>
    </xf>
    <xf numFmtId="44" fontId="0" fillId="3" borderId="25" xfId="1" applyFont="1" applyFill="1" applyBorder="1" applyAlignment="1">
      <alignment horizontal="center"/>
    </xf>
    <xf numFmtId="0" fontId="0" fillId="0" borderId="6" xfId="0" applyBorder="1" applyAlignment="1">
      <alignment horizontal="center" vertical="center" wrapText="1"/>
    </xf>
    <xf numFmtId="0" fontId="4" fillId="0" borderId="25" xfId="0" applyFont="1" applyBorder="1" applyAlignment="1">
      <alignment vertical="center"/>
    </xf>
    <xf numFmtId="0" fontId="4" fillId="4" borderId="21" xfId="0" applyFont="1" applyFill="1" applyBorder="1" applyAlignment="1">
      <alignment horizontal="center"/>
    </xf>
    <xf numFmtId="0" fontId="0" fillId="0" borderId="8" xfId="0" applyBorder="1" applyAlignment="1">
      <alignment horizontal="center" vertical="center" wrapText="1"/>
    </xf>
    <xf numFmtId="168" fontId="0" fillId="3" borderId="28" xfId="136" applyNumberFormat="1" applyFont="1" applyFill="1" applyBorder="1"/>
    <xf numFmtId="168" fontId="0" fillId="3" borderId="18" xfId="136" applyNumberFormat="1" applyFont="1" applyFill="1" applyBorder="1"/>
    <xf numFmtId="168" fontId="0" fillId="3" borderId="45" xfId="136" applyNumberFormat="1" applyFont="1" applyFill="1" applyBorder="1"/>
    <xf numFmtId="168" fontId="0" fillId="3" borderId="19" xfId="136" applyNumberFormat="1" applyFont="1" applyFill="1" applyBorder="1"/>
    <xf numFmtId="168" fontId="0" fillId="3" borderId="29" xfId="136" applyNumberFormat="1" applyFont="1" applyFill="1" applyBorder="1"/>
    <xf numFmtId="168" fontId="0" fillId="3" borderId="20" xfId="136" applyNumberFormat="1" applyFont="1" applyFill="1" applyBorder="1"/>
    <xf numFmtId="0" fontId="0" fillId="0" borderId="36" xfId="0" applyBorder="1" applyAlignment="1">
      <alignment horizontal="center" vertical="center" wrapText="1"/>
    </xf>
    <xf numFmtId="6" fontId="0" fillId="0" borderId="71" xfId="0" applyNumberFormat="1" applyBorder="1" applyAlignment="1">
      <alignment horizontal="right"/>
    </xf>
    <xf numFmtId="6" fontId="0" fillId="0" borderId="26" xfId="0" applyNumberFormat="1" applyBorder="1" applyAlignment="1">
      <alignment horizontal="right"/>
    </xf>
    <xf numFmtId="6" fontId="0" fillId="0" borderId="39" xfId="0" applyNumberFormat="1" applyBorder="1" applyAlignment="1">
      <alignment horizontal="right"/>
    </xf>
    <xf numFmtId="6" fontId="0" fillId="0" borderId="55" xfId="0" applyNumberFormat="1" applyBorder="1" applyAlignment="1">
      <alignment horizontal="right"/>
    </xf>
    <xf numFmtId="0" fontId="0" fillId="0" borderId="9" xfId="0" applyBorder="1" applyAlignment="1">
      <alignment horizontal="center" vertical="center" wrapText="1"/>
    </xf>
    <xf numFmtId="37" fontId="0" fillId="0" borderId="21" xfId="136" applyNumberFormat="1" applyFont="1" applyFill="1" applyBorder="1" applyAlignment="1"/>
    <xf numFmtId="37" fontId="0" fillId="0" borderId="72" xfId="136" applyNumberFormat="1" applyFont="1" applyFill="1" applyBorder="1" applyAlignment="1"/>
    <xf numFmtId="6" fontId="0" fillId="0" borderId="12" xfId="0" applyNumberFormat="1" applyBorder="1" applyAlignment="1">
      <alignment horizontal="right" indent="1"/>
    </xf>
    <xf numFmtId="164" fontId="0" fillId="0" borderId="15" xfId="0" applyNumberFormat="1" applyBorder="1"/>
    <xf numFmtId="6" fontId="0" fillId="0" borderId="9" xfId="0" applyNumberFormat="1" applyBorder="1"/>
    <xf numFmtId="6" fontId="0" fillId="0" borderId="15" xfId="0" applyNumberFormat="1" applyBorder="1"/>
    <xf numFmtId="6" fontId="0" fillId="0" borderId="5" xfId="0" applyNumberFormat="1" applyBorder="1"/>
    <xf numFmtId="6" fontId="0" fillId="0" borderId="13" xfId="0" applyNumberFormat="1" applyBorder="1"/>
    <xf numFmtId="6" fontId="0" fillId="0" borderId="10" xfId="0" applyNumberFormat="1" applyBorder="1" applyAlignment="1">
      <alignment horizontal="right" vertical="center" wrapText="1"/>
    </xf>
    <xf numFmtId="164" fontId="0" fillId="0" borderId="20" xfId="0" applyNumberFormat="1" applyBorder="1" applyAlignment="1">
      <alignment horizontal="right"/>
    </xf>
    <xf numFmtId="164" fontId="0" fillId="0" borderId="52" xfId="0" applyNumberFormat="1" applyBorder="1" applyAlignment="1">
      <alignment horizontal="right"/>
    </xf>
    <xf numFmtId="22" fontId="0" fillId="0" borderId="0" xfId="0" applyNumberFormat="1"/>
    <xf numFmtId="16" fontId="0" fillId="0" borderId="0" xfId="0" applyNumberFormat="1"/>
    <xf numFmtId="9" fontId="0" fillId="4" borderId="25" xfId="137" applyFont="1" applyFill="1" applyBorder="1" applyAlignment="1">
      <alignment horizontal="center"/>
    </xf>
    <xf numFmtId="9" fontId="0" fillId="3" borderId="25" xfId="137" applyFont="1" applyFill="1" applyBorder="1" applyAlignment="1">
      <alignment horizontal="center"/>
    </xf>
    <xf numFmtId="0" fontId="0" fillId="4" borderId="25" xfId="137" applyNumberFormat="1" applyFont="1" applyFill="1" applyBorder="1" applyAlignment="1">
      <alignment horizontal="center"/>
    </xf>
    <xf numFmtId="2" fontId="0" fillId="3" borderId="25" xfId="0" applyNumberFormat="1" applyFill="1" applyBorder="1" applyAlignment="1">
      <alignment horizontal="center"/>
    </xf>
    <xf numFmtId="6" fontId="0" fillId="0" borderId="21" xfId="136" applyNumberFormat="1" applyFont="1" applyFill="1" applyBorder="1" applyAlignment="1"/>
    <xf numFmtId="6" fontId="0" fillId="0" borderId="72" xfId="136" applyNumberFormat="1" applyFont="1" applyFill="1" applyBorder="1" applyAlignment="1"/>
    <xf numFmtId="0" fontId="0" fillId="4" borderId="25" xfId="0" applyFill="1" applyBorder="1"/>
    <xf numFmtId="164" fontId="0" fillId="0" borderId="0" xfId="0" applyNumberFormat="1" applyAlignment="1">
      <alignment horizontal="left"/>
    </xf>
    <xf numFmtId="0" fontId="4" fillId="0" borderId="21" xfId="0" applyFont="1" applyBorder="1" applyAlignment="1">
      <alignment horizontal="center"/>
    </xf>
    <xf numFmtId="0" fontId="4" fillId="0" borderId="47" xfId="0" applyFont="1" applyBorder="1" applyAlignment="1">
      <alignment horizontal="center"/>
    </xf>
    <xf numFmtId="9" fontId="4" fillId="3" borderId="25" xfId="137" applyFont="1" applyFill="1" applyBorder="1" applyAlignment="1">
      <alignment horizontal="center"/>
    </xf>
    <xf numFmtId="172" fontId="4" fillId="3" borderId="25" xfId="1" applyNumberFormat="1" applyFont="1" applyFill="1" applyBorder="1" applyAlignment="1">
      <alignment horizontal="center"/>
    </xf>
    <xf numFmtId="172" fontId="4" fillId="3" borderId="47" xfId="1" applyNumberFormat="1" applyFont="1" applyFill="1" applyBorder="1" applyAlignment="1">
      <alignment horizontal="center"/>
    </xf>
    <xf numFmtId="0" fontId="0" fillId="0" borderId="16" xfId="0" applyBorder="1" applyAlignment="1">
      <alignment horizontal="center" vertical="center" wrapText="1"/>
    </xf>
    <xf numFmtId="0" fontId="0" fillId="0" borderId="32" xfId="0" applyBorder="1" applyAlignment="1">
      <alignment horizontal="center" vertical="center" wrapText="1"/>
    </xf>
    <xf numFmtId="0" fontId="0" fillId="0" borderId="73" xfId="0" applyBorder="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xf>
    <xf numFmtId="0" fontId="32" fillId="0" borderId="0" xfId="0" applyFont="1"/>
    <xf numFmtId="3" fontId="0" fillId="0" borderId="0" xfId="136" applyNumberFormat="1" applyFont="1"/>
    <xf numFmtId="0" fontId="34" fillId="0" borderId="0" xfId="0" applyFont="1"/>
    <xf numFmtId="3" fontId="0" fillId="0" borderId="0" xfId="0" applyNumberFormat="1" applyAlignment="1">
      <alignment horizontal="center"/>
    </xf>
    <xf numFmtId="0" fontId="29" fillId="0" borderId="0" xfId="0" applyFont="1" applyAlignment="1">
      <alignment horizontal="right"/>
    </xf>
    <xf numFmtId="164" fontId="29" fillId="0" borderId="0" xfId="0" applyNumberFormat="1" applyFont="1" applyAlignment="1">
      <alignment horizontal="center"/>
    </xf>
    <xf numFmtId="3" fontId="0" fillId="0" borderId="0" xfId="0" applyNumberFormat="1"/>
    <xf numFmtId="0" fontId="34" fillId="0" borderId="0" xfId="0" applyFont="1" applyAlignment="1">
      <alignment horizontal="left"/>
    </xf>
    <xf numFmtId="0" fontId="34" fillId="0" borderId="0" xfId="0" applyFont="1" applyAlignment="1">
      <alignment wrapText="1"/>
    </xf>
    <xf numFmtId="0" fontId="35" fillId="0" borderId="0" xfId="0" applyFont="1"/>
    <xf numFmtId="172" fontId="18" fillId="0" borderId="0" xfId="1" applyNumberFormat="1" applyFont="1" applyBorder="1"/>
    <xf numFmtId="3" fontId="18" fillId="0" borderId="0" xfId="136" applyNumberFormat="1" applyFont="1"/>
    <xf numFmtId="0" fontId="10" fillId="0" borderId="0" xfId="138" applyAlignment="1">
      <alignment vertical="top" wrapText="1"/>
    </xf>
    <xf numFmtId="0" fontId="34" fillId="0" borderId="0" xfId="0" applyFont="1" applyAlignment="1">
      <alignment vertical="top" wrapText="1"/>
    </xf>
    <xf numFmtId="0" fontId="34" fillId="0" borderId="0" xfId="0" applyFont="1" applyAlignment="1">
      <alignment vertical="top"/>
    </xf>
    <xf numFmtId="0" fontId="37" fillId="0" borderId="25" xfId="0" applyFont="1" applyBorder="1" applyAlignment="1">
      <alignment horizontal="center"/>
    </xf>
    <xf numFmtId="0" fontId="0" fillId="0" borderId="76" xfId="0" applyBorder="1" applyAlignment="1">
      <alignment horizontal="left"/>
    </xf>
    <xf numFmtId="3" fontId="0" fillId="3" borderId="25" xfId="0" applyNumberFormat="1" applyFill="1" applyBorder="1" applyAlignment="1">
      <alignment horizontal="center"/>
    </xf>
    <xf numFmtId="3" fontId="0" fillId="3" borderId="77" xfId="0" applyNumberFormat="1" applyFill="1" applyBorder="1" applyAlignment="1">
      <alignment horizontal="center"/>
    </xf>
    <xf numFmtId="0" fontId="0" fillId="0" borderId="21" xfId="0" applyBorder="1"/>
    <xf numFmtId="0" fontId="36" fillId="0" borderId="0" xfId="0" applyFont="1" applyAlignment="1">
      <alignment wrapText="1"/>
    </xf>
    <xf numFmtId="0" fontId="0" fillId="0" borderId="65" xfId="0" applyBorder="1"/>
    <xf numFmtId="0" fontId="0" fillId="5" borderId="21" xfId="0" applyFill="1" applyBorder="1"/>
    <xf numFmtId="0" fontId="4" fillId="4" borderId="25" xfId="137" applyNumberFormat="1" applyFont="1" applyFill="1" applyBorder="1" applyAlignment="1">
      <alignment horizontal="center" vertical="center"/>
    </xf>
    <xf numFmtId="44" fontId="0" fillId="4" borderId="25" xfId="1" applyFont="1" applyFill="1" applyBorder="1" applyAlignment="1">
      <alignment horizontal="right"/>
    </xf>
    <xf numFmtId="3" fontId="0" fillId="4" borderId="25" xfId="136" applyNumberFormat="1" applyFont="1" applyFill="1" applyBorder="1" applyAlignment="1">
      <alignment horizontal="center"/>
    </xf>
    <xf numFmtId="10" fontId="0" fillId="4" borderId="25" xfId="0" applyNumberFormat="1" applyFill="1" applyBorder="1" applyAlignment="1">
      <alignment horizontal="center"/>
    </xf>
    <xf numFmtId="170" fontId="0" fillId="3" borderId="25" xfId="0" applyNumberFormat="1" applyFill="1" applyBorder="1" applyAlignment="1">
      <alignment horizontal="center"/>
    </xf>
    <xf numFmtId="170" fontId="0" fillId="4" borderId="25" xfId="0" applyNumberFormat="1" applyFill="1" applyBorder="1" applyAlignment="1">
      <alignment horizontal="center"/>
    </xf>
    <xf numFmtId="9" fontId="0" fillId="4" borderId="25" xfId="0" applyNumberFormat="1" applyFill="1" applyBorder="1" applyAlignment="1">
      <alignment horizontal="center"/>
    </xf>
    <xf numFmtId="172" fontId="0" fillId="3" borderId="25" xfId="1" applyNumberFormat="1" applyFont="1" applyFill="1" applyBorder="1"/>
    <xf numFmtId="172" fontId="0" fillId="4" borderId="25" xfId="1" applyNumberFormat="1" applyFont="1" applyFill="1" applyBorder="1"/>
    <xf numFmtId="0" fontId="0" fillId="0" borderId="26" xfId="0" applyBorder="1" applyAlignment="1">
      <alignment horizontal="center" vertical="center" wrapText="1"/>
    </xf>
    <xf numFmtId="0" fontId="0" fillId="0" borderId="10" xfId="0" applyBorder="1" applyAlignment="1">
      <alignment horizontal="center" vertical="center" wrapText="1"/>
    </xf>
    <xf numFmtId="44" fontId="0" fillId="4" borderId="25" xfId="1" applyFont="1" applyFill="1" applyBorder="1"/>
    <xf numFmtId="176" fontId="0" fillId="4" borderId="25" xfId="1" applyNumberFormat="1" applyFont="1" applyFill="1" applyBorder="1"/>
    <xf numFmtId="175" fontId="0" fillId="4" borderId="25" xfId="0" applyNumberFormat="1" applyFill="1" applyBorder="1" applyAlignment="1">
      <alignment horizontal="center"/>
    </xf>
    <xf numFmtId="0" fontId="4" fillId="0" borderId="0" xfId="138" applyFont="1" applyFill="1" applyAlignment="1">
      <alignment vertical="top" wrapText="1"/>
    </xf>
    <xf numFmtId="177" fontId="0" fillId="0" borderId="45" xfId="136" applyNumberFormat="1" applyFont="1" applyFill="1" applyBorder="1" applyAlignment="1"/>
    <xf numFmtId="6" fontId="0" fillId="0" borderId="72" xfId="0" applyNumberFormat="1" applyBorder="1" applyAlignment="1">
      <alignment horizontal="right"/>
    </xf>
    <xf numFmtId="177" fontId="0" fillId="0" borderId="25" xfId="136" applyNumberFormat="1" applyFont="1" applyFill="1" applyBorder="1" applyAlignment="1"/>
    <xf numFmtId="177" fontId="0" fillId="0" borderId="28" xfId="136" applyNumberFormat="1" applyFont="1" applyFill="1" applyBorder="1" applyAlignment="1"/>
    <xf numFmtId="177" fontId="0" fillId="0" borderId="43" xfId="136" applyNumberFormat="1" applyFont="1" applyFill="1" applyBorder="1" applyAlignment="1"/>
    <xf numFmtId="177" fontId="0" fillId="0" borderId="18" xfId="136" applyNumberFormat="1" applyFont="1" applyFill="1" applyBorder="1" applyAlignment="1"/>
    <xf numFmtId="177" fontId="0" fillId="0" borderId="19" xfId="136" applyNumberFormat="1" applyFont="1" applyFill="1" applyBorder="1" applyAlignment="1"/>
    <xf numFmtId="0" fontId="0" fillId="0" borderId="5" xfId="0" applyBorder="1" applyAlignment="1">
      <alignment horizontal="center" vertical="center"/>
    </xf>
    <xf numFmtId="3" fontId="0" fillId="5" borderId="28" xfId="136" applyNumberFormat="1" applyFont="1" applyFill="1" applyBorder="1" applyAlignment="1">
      <alignment horizontal="center"/>
    </xf>
    <xf numFmtId="3" fontId="0" fillId="5" borderId="18" xfId="0" applyNumberFormat="1" applyFill="1" applyBorder="1" applyAlignment="1">
      <alignment horizontal="center"/>
    </xf>
    <xf numFmtId="164" fontId="0" fillId="5" borderId="28" xfId="0" applyNumberFormat="1" applyFill="1" applyBorder="1" applyAlignment="1">
      <alignment horizontal="center"/>
    </xf>
    <xf numFmtId="164" fontId="0" fillId="5" borderId="43" xfId="0" applyNumberFormat="1" applyFill="1" applyBorder="1" applyAlignment="1">
      <alignment horizontal="center"/>
    </xf>
    <xf numFmtId="164" fontId="0" fillId="5" borderId="18" xfId="0" applyNumberFormat="1" applyFill="1" applyBorder="1" applyAlignment="1">
      <alignment horizontal="center"/>
    </xf>
    <xf numFmtId="164" fontId="0" fillId="5" borderId="53" xfId="0" applyNumberFormat="1" applyFill="1" applyBorder="1" applyAlignment="1">
      <alignment horizontal="center"/>
    </xf>
    <xf numFmtId="0" fontId="0" fillId="0" borderId="7" xfId="0" applyBorder="1" applyAlignment="1">
      <alignment horizontal="center" vertical="center"/>
    </xf>
    <xf numFmtId="3" fontId="0" fillId="5" borderId="45" xfId="136" applyNumberFormat="1" applyFont="1" applyFill="1" applyBorder="1" applyAlignment="1">
      <alignment horizontal="center"/>
    </xf>
    <xf numFmtId="3" fontId="0" fillId="5" borderId="19" xfId="0" applyNumberFormat="1" applyFill="1" applyBorder="1" applyAlignment="1">
      <alignment horizontal="center"/>
    </xf>
    <xf numFmtId="164" fontId="0" fillId="5" borderId="45" xfId="0" applyNumberFormat="1" applyFill="1" applyBorder="1" applyAlignment="1">
      <alignment horizontal="center"/>
    </xf>
    <xf numFmtId="164" fontId="0" fillId="5" borderId="25" xfId="0" applyNumberFormat="1" applyFill="1" applyBorder="1" applyAlignment="1">
      <alignment horizontal="center"/>
    </xf>
    <xf numFmtId="164" fontId="0" fillId="5" borderId="19" xfId="0" applyNumberFormat="1" applyFill="1" applyBorder="1" applyAlignment="1">
      <alignment horizontal="center"/>
    </xf>
    <xf numFmtId="164" fontId="0" fillId="5" borderId="47" xfId="0" applyNumberFormat="1" applyFill="1" applyBorder="1" applyAlignment="1">
      <alignment horizontal="center"/>
    </xf>
    <xf numFmtId="0" fontId="0" fillId="0" borderId="9" xfId="0" applyBorder="1" applyAlignment="1">
      <alignment horizontal="center" vertical="center"/>
    </xf>
    <xf numFmtId="3" fontId="0" fillId="5" borderId="29" xfId="136" applyNumberFormat="1" applyFont="1" applyFill="1" applyBorder="1" applyAlignment="1">
      <alignment horizontal="center"/>
    </xf>
    <xf numFmtId="3" fontId="0" fillId="5" borderId="20" xfId="0" applyNumberFormat="1" applyFill="1" applyBorder="1" applyAlignment="1">
      <alignment horizontal="center"/>
    </xf>
    <xf numFmtId="164" fontId="0" fillId="5" borderId="29" xfId="0" applyNumberFormat="1" applyFill="1" applyBorder="1" applyAlignment="1">
      <alignment horizontal="center"/>
    </xf>
    <xf numFmtId="164" fontId="0" fillId="5" borderId="44" xfId="0" applyNumberFormat="1" applyFill="1" applyBorder="1" applyAlignment="1">
      <alignment horizontal="center"/>
    </xf>
    <xf numFmtId="164" fontId="0" fillId="5" borderId="20" xfId="0" applyNumberFormat="1" applyFill="1" applyBorder="1" applyAlignment="1">
      <alignment horizontal="center"/>
    </xf>
    <xf numFmtId="164" fontId="0" fillId="5" borderId="52" xfId="0" applyNumberFormat="1" applyFill="1" applyBorder="1" applyAlignment="1">
      <alignment horizontal="center"/>
    </xf>
    <xf numFmtId="164" fontId="0" fillId="0" borderId="30" xfId="0" applyNumberFormat="1" applyBorder="1" applyAlignment="1">
      <alignment horizontal="center"/>
    </xf>
    <xf numFmtId="164" fontId="0" fillId="0" borderId="67" xfId="0" applyNumberFormat="1" applyBorder="1" applyAlignment="1">
      <alignment horizontal="center"/>
    </xf>
    <xf numFmtId="164" fontId="0" fillId="0" borderId="17" xfId="0" applyNumberFormat="1" applyBorder="1" applyAlignment="1">
      <alignment horizontal="center"/>
    </xf>
    <xf numFmtId="174" fontId="0" fillId="0" borderId="25" xfId="0" applyNumberFormat="1" applyBorder="1" applyAlignment="1">
      <alignment horizontal="center"/>
    </xf>
    <xf numFmtId="0" fontId="0" fillId="3" borderId="5" xfId="0" applyFill="1" applyBorder="1" applyAlignment="1">
      <alignment horizontal="center" vertical="center" wrapText="1"/>
    </xf>
    <xf numFmtId="37" fontId="0" fillId="3" borderId="28" xfId="0" applyNumberFormat="1" applyFill="1" applyBorder="1"/>
    <xf numFmtId="37" fontId="0" fillId="3" borderId="41" xfId="0" applyNumberFormat="1" applyFill="1" applyBorder="1"/>
    <xf numFmtId="37" fontId="0" fillId="3" borderId="18" xfId="0" applyNumberFormat="1" applyFill="1" applyBorder="1"/>
    <xf numFmtId="0" fontId="0" fillId="3" borderId="9" xfId="0" applyFill="1" applyBorder="1" applyAlignment="1">
      <alignment horizontal="center" vertical="center" wrapText="1"/>
    </xf>
    <xf numFmtId="37" fontId="0" fillId="3" borderId="29" xfId="0" applyNumberFormat="1" applyFill="1" applyBorder="1"/>
    <xf numFmtId="37" fontId="0" fillId="3" borderId="51" xfId="0" applyNumberFormat="1" applyFill="1" applyBorder="1"/>
    <xf numFmtId="37" fontId="0" fillId="3" borderId="20" xfId="0" applyNumberFormat="1" applyFill="1" applyBorder="1"/>
    <xf numFmtId="0" fontId="0" fillId="3" borderId="7" xfId="0" applyFill="1" applyBorder="1" applyAlignment="1">
      <alignment horizontal="center" vertical="center" wrapText="1"/>
    </xf>
    <xf numFmtId="37" fontId="0" fillId="3" borderId="45" xfId="0" applyNumberFormat="1" applyFill="1" applyBorder="1"/>
    <xf numFmtId="37" fontId="0" fillId="3" borderId="21" xfId="0" applyNumberFormat="1" applyFill="1" applyBorder="1"/>
    <xf numFmtId="37" fontId="0" fillId="3" borderId="19" xfId="0" applyNumberFormat="1" applyFill="1" applyBorder="1"/>
    <xf numFmtId="0" fontId="0" fillId="3" borderId="25" xfId="137" applyNumberFormat="1" applyFont="1" applyFill="1" applyBorder="1" applyAlignment="1">
      <alignment horizontal="center"/>
    </xf>
    <xf numFmtId="9" fontId="0" fillId="0" borderId="25" xfId="137" applyFont="1" applyBorder="1" applyAlignment="1">
      <alignment horizontal="center"/>
    </xf>
    <xf numFmtId="0" fontId="0" fillId="3" borderId="25" xfId="0" applyFill="1" applyBorder="1" applyAlignment="1">
      <alignment horizontal="centerContinuous"/>
    </xf>
    <xf numFmtId="0" fontId="19" fillId="0" borderId="0" xfId="0" applyFont="1"/>
    <xf numFmtId="0" fontId="39" fillId="0" borderId="0" xfId="0" applyFont="1"/>
    <xf numFmtId="0" fontId="40" fillId="0" borderId="0" xfId="0" applyFont="1"/>
    <xf numFmtId="4" fontId="0" fillId="0" borderId="0" xfId="0" applyNumberFormat="1"/>
    <xf numFmtId="3" fontId="32" fillId="0" borderId="0" xfId="0" applyNumberFormat="1" applyFont="1"/>
    <xf numFmtId="0" fontId="0" fillId="0" borderId="60" xfId="0" applyBorder="1" applyAlignment="1">
      <alignment horizontal="center"/>
    </xf>
    <xf numFmtId="6" fontId="0" fillId="0" borderId="0" xfId="0" applyNumberFormat="1" applyAlignment="1">
      <alignment horizontal="right" vertical="center" wrapText="1"/>
    </xf>
    <xf numFmtId="164" fontId="0" fillId="0" borderId="63" xfId="0" applyNumberFormat="1" applyBorder="1" applyAlignment="1">
      <alignment horizontal="right"/>
    </xf>
    <xf numFmtId="164" fontId="0" fillId="0" borderId="74" xfId="0" applyNumberFormat="1" applyBorder="1" applyAlignment="1">
      <alignment horizontal="right"/>
    </xf>
    <xf numFmtId="164" fontId="0" fillId="0" borderId="50" xfId="0" applyNumberFormat="1" applyBorder="1" applyAlignment="1">
      <alignment horizontal="right"/>
    </xf>
    <xf numFmtId="9" fontId="0" fillId="0" borderId="0" xfId="137" applyFont="1"/>
    <xf numFmtId="6" fontId="0" fillId="0" borderId="0" xfId="0" applyNumberFormat="1" applyAlignment="1">
      <alignment vertical="top" wrapText="1"/>
    </xf>
    <xf numFmtId="0" fontId="4" fillId="0" borderId="65"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0" fillId="0" borderId="13" xfId="0" applyBorder="1" applyAlignment="1">
      <alignment horizontal="center" wrapText="1"/>
    </xf>
    <xf numFmtId="0" fontId="0" fillId="0" borderId="15" xfId="0" applyBorder="1" applyAlignment="1">
      <alignment horizont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7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3" fillId="0" borderId="3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3" xfId="0" applyFont="1" applyBorder="1" applyAlignment="1">
      <alignment horizontal="center"/>
    </xf>
    <xf numFmtId="0" fontId="3" fillId="0" borderId="27" xfId="0" applyFont="1" applyBorder="1" applyAlignment="1">
      <alignment horizontal="center"/>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0" fillId="0" borderId="0" xfId="0"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26" xfId="0" applyFont="1" applyBorder="1" applyAlignment="1">
      <alignment horizontal="left"/>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wrapText="1"/>
    </xf>
    <xf numFmtId="0" fontId="0" fillId="0" borderId="65" xfId="0" applyBorder="1" applyAlignment="1">
      <alignment horizontal="left" wrapText="1"/>
    </xf>
    <xf numFmtId="0" fontId="0" fillId="0" borderId="33" xfId="0" applyBorder="1" applyAlignment="1">
      <alignment horizontal="center"/>
    </xf>
    <xf numFmtId="0" fontId="0" fillId="0" borderId="27" xfId="0" applyBorder="1" applyAlignment="1">
      <alignment horizontal="center"/>
    </xf>
    <xf numFmtId="0" fontId="0" fillId="0" borderId="42" xfId="0" applyBorder="1" applyAlignment="1">
      <alignment horizontal="center"/>
    </xf>
    <xf numFmtId="0" fontId="0" fillId="0" borderId="61" xfId="0" applyBorder="1" applyAlignment="1">
      <alignment horizontal="center" vertical="center"/>
    </xf>
    <xf numFmtId="0" fontId="0" fillId="0" borderId="43" xfId="0" applyBorder="1" applyAlignment="1">
      <alignment horizontal="center" vertical="center" wrapText="1"/>
    </xf>
    <xf numFmtId="0" fontId="0" fillId="0" borderId="25"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73"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45" xfId="0" applyBorder="1" applyAlignment="1">
      <alignment horizontal="center" vertical="center" wrapText="1"/>
    </xf>
    <xf numFmtId="0" fontId="0" fillId="0" borderId="63" xfId="0" applyBorder="1" applyAlignment="1">
      <alignment horizontal="center" vertical="center" wrapText="1"/>
    </xf>
    <xf numFmtId="0" fontId="0" fillId="0" borderId="23" xfId="0"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9" xfId="0" applyFont="1" applyBorder="1" applyAlignment="1">
      <alignment horizontal="center" vertical="center"/>
    </xf>
    <xf numFmtId="0" fontId="0" fillId="0" borderId="13" xfId="0" applyBorder="1" applyAlignment="1">
      <alignment horizontal="center" vertical="center" wrapText="1"/>
    </xf>
    <xf numFmtId="0" fontId="0" fillId="0" borderId="60" xfId="0" applyBorder="1" applyAlignment="1">
      <alignment horizontal="center" vertical="center" wrapText="1"/>
    </xf>
    <xf numFmtId="0" fontId="3" fillId="0" borderId="42" xfId="0" applyFont="1" applyBorder="1" applyAlignment="1">
      <alignment horizontal="center"/>
    </xf>
    <xf numFmtId="0" fontId="0" fillId="0" borderId="65" xfId="0" applyBorder="1" applyAlignment="1">
      <alignment horizontal="left" vertical="top" wrapText="1"/>
    </xf>
    <xf numFmtId="0" fontId="0" fillId="0" borderId="1" xfId="0" applyBorder="1" applyAlignment="1">
      <alignment horizontal="center" vertical="center"/>
    </xf>
    <xf numFmtId="0" fontId="0" fillId="0" borderId="64" xfId="0"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0" fillId="0" borderId="28" xfId="0" applyBorder="1" applyAlignment="1">
      <alignment horizontal="center" vertical="center"/>
    </xf>
    <xf numFmtId="0" fontId="0" fillId="0" borderId="57" xfId="0" applyBorder="1" applyAlignment="1">
      <alignment horizontal="center" vertical="center"/>
    </xf>
    <xf numFmtId="49" fontId="0" fillId="0" borderId="18" xfId="0" applyNumberFormat="1" applyBorder="1" applyAlignment="1">
      <alignment horizontal="center" vertical="center" wrapText="1"/>
    </xf>
    <xf numFmtId="49" fontId="0" fillId="0" borderId="50" xfId="0" applyNumberForma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9" fillId="0" borderId="58" xfId="0" applyFont="1" applyBorder="1" applyAlignment="1">
      <alignment horizontal="center" vertical="center" textRotation="90"/>
    </xf>
    <xf numFmtId="0" fontId="19" fillId="0" borderId="23" xfId="0" applyFont="1" applyBorder="1" applyAlignment="1">
      <alignment horizontal="center" vertical="center" textRotation="90"/>
    </xf>
    <xf numFmtId="0" fontId="19" fillId="0" borderId="24" xfId="0" applyFont="1" applyBorder="1" applyAlignment="1">
      <alignment horizontal="center" vertical="center" textRotation="90"/>
    </xf>
    <xf numFmtId="0" fontId="0" fillId="0" borderId="5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left" vertical="center"/>
    </xf>
    <xf numFmtId="0" fontId="0" fillId="0" borderId="25" xfId="0" applyBorder="1" applyAlignment="1">
      <alignment horizontal="center" wrapText="1"/>
    </xf>
    <xf numFmtId="0" fontId="0" fillId="5" borderId="62"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63" xfId="0" applyFill="1" applyBorder="1" applyAlignment="1">
      <alignment horizontal="center" vertical="center" wrapText="1"/>
    </xf>
    <xf numFmtId="0" fontId="0" fillId="5" borderId="17" xfId="0" applyFill="1" applyBorder="1" applyAlignment="1">
      <alignment horizontal="center" vertical="center" wrapText="1"/>
    </xf>
    <xf numFmtId="170" fontId="0" fillId="5" borderId="63" xfId="137" applyNumberFormat="1" applyFont="1" applyFill="1" applyBorder="1" applyAlignment="1">
      <alignment horizontal="center" vertical="center"/>
    </xf>
    <xf numFmtId="170" fontId="0" fillId="5" borderId="17" xfId="137" applyNumberFormat="1" applyFont="1" applyFill="1" applyBorder="1" applyAlignment="1">
      <alignment horizontal="center" vertical="center"/>
    </xf>
    <xf numFmtId="0" fontId="3" fillId="0" borderId="5" xfId="0" applyFont="1" applyBorder="1" applyAlignment="1">
      <alignment horizontal="center"/>
    </xf>
    <xf numFmtId="0" fontId="3" fillId="0" borderId="54" xfId="0" applyFont="1" applyBorder="1" applyAlignment="1">
      <alignment horizontal="center"/>
    </xf>
    <xf numFmtId="0" fontId="3" fillId="0" borderId="6" xfId="0" applyFont="1" applyBorder="1" applyAlignment="1">
      <alignment horizontal="center"/>
    </xf>
    <xf numFmtId="0" fontId="0" fillId="5" borderId="37"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38"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75" xfId="0" applyFill="1" applyBorder="1" applyAlignment="1">
      <alignment horizontal="center" vertical="center" wrapText="1"/>
    </xf>
    <xf numFmtId="0" fontId="0" fillId="5" borderId="70" xfId="0" applyFill="1" applyBorder="1" applyAlignment="1">
      <alignment horizontal="center" vertical="center" wrapText="1"/>
    </xf>
    <xf numFmtId="0" fontId="34" fillId="0" borderId="0" xfId="0" applyFont="1" applyAlignment="1">
      <alignment horizontal="left" wrapText="1"/>
    </xf>
    <xf numFmtId="0" fontId="4" fillId="0" borderId="0" xfId="138" applyFont="1" applyFill="1" applyAlignment="1">
      <alignment horizontal="left" vertical="top" wrapText="1"/>
    </xf>
    <xf numFmtId="0" fontId="10" fillId="0" borderId="0" xfId="138" applyAlignment="1">
      <alignment horizontal="left" vertical="top" wrapText="1"/>
    </xf>
    <xf numFmtId="0" fontId="3" fillId="0" borderId="21" xfId="0" applyFont="1" applyBorder="1" applyAlignment="1">
      <alignment horizontal="center"/>
    </xf>
    <xf numFmtId="0" fontId="3" fillId="0" borderId="8" xfId="0" applyFont="1" applyBorder="1" applyAlignment="1">
      <alignment horizontal="center"/>
    </xf>
    <xf numFmtId="0" fontId="3" fillId="0" borderId="47" xfId="0" applyFont="1" applyBorder="1" applyAlignment="1">
      <alignment horizontal="center"/>
    </xf>
    <xf numFmtId="0" fontId="0" fillId="0" borderId="25" xfId="0" applyBorder="1" applyAlignment="1">
      <alignment horizontal="right"/>
    </xf>
    <xf numFmtId="0" fontId="0" fillId="0" borderId="21" xfId="0" applyBorder="1" applyAlignment="1">
      <alignment horizontal="right"/>
    </xf>
    <xf numFmtId="0" fontId="0" fillId="0" borderId="47" xfId="0" applyBorder="1" applyAlignment="1">
      <alignment horizontal="right"/>
    </xf>
    <xf numFmtId="0" fontId="0" fillId="0" borderId="53" xfId="0" applyBorder="1" applyAlignment="1">
      <alignment horizontal="center" vertical="center" wrapText="1"/>
    </xf>
    <xf numFmtId="0" fontId="0" fillId="0" borderId="52"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44"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left"/>
    </xf>
    <xf numFmtId="0" fontId="0" fillId="0" borderId="11" xfId="0" applyBorder="1" applyAlignment="1">
      <alignment horizontal="center" wrapText="1"/>
    </xf>
    <xf numFmtId="0" fontId="0" fillId="0" borderId="12" xfId="0" applyBorder="1" applyAlignment="1">
      <alignment horizontal="center" wrapText="1"/>
    </xf>
    <xf numFmtId="0" fontId="32" fillId="0" borderId="0" xfId="0" applyNumberFormat="1" applyFont="1"/>
    <xf numFmtId="0" fontId="0" fillId="0" borderId="65" xfId="0" applyFill="1" applyBorder="1" applyAlignment="1">
      <alignment horizontal="left"/>
    </xf>
    <xf numFmtId="0" fontId="0" fillId="0" borderId="0" xfId="0"/>
    <xf numFmtId="3" fontId="0" fillId="0" borderId="0" xfId="0" applyNumberFormat="1"/>
    <xf numFmtId="6" fontId="0" fillId="0" borderId="40" xfId="0" applyNumberFormat="1" applyBorder="1" applyAlignment="1">
      <alignment horizontal="right"/>
    </xf>
  </cellXfs>
  <cellStyles count="142">
    <cellStyle name="Comma" xfId="136" builtinId="3"/>
    <cellStyle name="Comma 2" xfId="7" xr:uid="{00000000-0005-0000-0000-000001000000}"/>
    <cellStyle name="Comma 47 2" xfId="17" xr:uid="{00000000-0005-0000-0000-000002000000}"/>
    <cellStyle name="Comma 47 3" xfId="18" xr:uid="{00000000-0005-0000-0000-000003000000}"/>
    <cellStyle name="Comma 47 4" xfId="19" xr:uid="{00000000-0005-0000-0000-000004000000}"/>
    <cellStyle name="Comma0" xfId="8" xr:uid="{00000000-0005-0000-0000-000005000000}"/>
    <cellStyle name="Currency" xfId="1" builtinId="4"/>
    <cellStyle name="Currency 2" xfId="16" xr:uid="{00000000-0005-0000-0000-000007000000}"/>
    <cellStyle name="Currency0" xfId="9" xr:uid="{00000000-0005-0000-0000-000008000000}"/>
    <cellStyle name="Date" xfId="10" xr:uid="{00000000-0005-0000-0000-000009000000}"/>
    <cellStyle name="Fixed" xfId="11" xr:uid="{00000000-0005-0000-0000-00000A000000}"/>
    <cellStyle name="Hyperlink" xfId="138" builtinId="8"/>
    <cellStyle name="Hyperlink 2" xfId="140" xr:uid="{AD4A4CA1-0933-4496-9F39-DCD9244CC876}"/>
    <cellStyle name="Normal" xfId="0" builtinId="0"/>
    <cellStyle name="Normal 11" xfId="20" xr:uid="{00000000-0005-0000-0000-00000D000000}"/>
    <cellStyle name="Normal 11 2" xfId="21" xr:uid="{00000000-0005-0000-0000-00000E000000}"/>
    <cellStyle name="Normal 11 3" xfId="22" xr:uid="{00000000-0005-0000-0000-00000F000000}"/>
    <cellStyle name="Normal 11 4" xfId="23" xr:uid="{00000000-0005-0000-0000-000010000000}"/>
    <cellStyle name="Normal 11 5" xfId="24" xr:uid="{00000000-0005-0000-0000-000011000000}"/>
    <cellStyle name="Normal 12" xfId="25" xr:uid="{00000000-0005-0000-0000-000012000000}"/>
    <cellStyle name="Normal 12 2" xfId="26" xr:uid="{00000000-0005-0000-0000-000013000000}"/>
    <cellStyle name="Normal 12 3" xfId="27" xr:uid="{00000000-0005-0000-0000-000014000000}"/>
    <cellStyle name="Normal 12 4" xfId="28" xr:uid="{00000000-0005-0000-0000-000015000000}"/>
    <cellStyle name="Normal 12 5" xfId="29" xr:uid="{00000000-0005-0000-0000-000016000000}"/>
    <cellStyle name="Normal 13" xfId="30" xr:uid="{00000000-0005-0000-0000-000017000000}"/>
    <cellStyle name="Normal 13 2" xfId="31" xr:uid="{00000000-0005-0000-0000-000018000000}"/>
    <cellStyle name="Normal 13 3" xfId="32" xr:uid="{00000000-0005-0000-0000-000019000000}"/>
    <cellStyle name="Normal 13 4" xfId="33" xr:uid="{00000000-0005-0000-0000-00001A000000}"/>
    <cellStyle name="Normal 13 5" xfId="34" xr:uid="{00000000-0005-0000-0000-00001B000000}"/>
    <cellStyle name="Normal 14" xfId="35" xr:uid="{00000000-0005-0000-0000-00001C000000}"/>
    <cellStyle name="Normal 14 2" xfId="36" xr:uid="{00000000-0005-0000-0000-00001D000000}"/>
    <cellStyle name="Normal 14 3" xfId="37" xr:uid="{00000000-0005-0000-0000-00001E000000}"/>
    <cellStyle name="Normal 14 4" xfId="38" xr:uid="{00000000-0005-0000-0000-00001F000000}"/>
    <cellStyle name="Normal 14 5" xfId="39" xr:uid="{00000000-0005-0000-0000-000020000000}"/>
    <cellStyle name="Normal 15" xfId="40" xr:uid="{00000000-0005-0000-0000-000021000000}"/>
    <cellStyle name="Normal 15 2" xfId="41" xr:uid="{00000000-0005-0000-0000-000022000000}"/>
    <cellStyle name="Normal 15 3" xfId="42" xr:uid="{00000000-0005-0000-0000-000023000000}"/>
    <cellStyle name="Normal 15 4" xfId="43" xr:uid="{00000000-0005-0000-0000-000024000000}"/>
    <cellStyle name="Normal 15 5" xfId="44" xr:uid="{00000000-0005-0000-0000-000025000000}"/>
    <cellStyle name="Normal 16" xfId="2" xr:uid="{00000000-0005-0000-0000-000026000000}"/>
    <cellStyle name="Normal 16 2" xfId="45" xr:uid="{00000000-0005-0000-0000-000027000000}"/>
    <cellStyle name="Normal 16 3" xfId="46" xr:uid="{00000000-0005-0000-0000-000028000000}"/>
    <cellStyle name="Normal 16 4" xfId="47" xr:uid="{00000000-0005-0000-0000-000029000000}"/>
    <cellStyle name="Normal 16 5" xfId="48" xr:uid="{00000000-0005-0000-0000-00002A000000}"/>
    <cellStyle name="Normal 17" xfId="4" xr:uid="{00000000-0005-0000-0000-00002B000000}"/>
    <cellStyle name="Normal 17 2" xfId="49" xr:uid="{00000000-0005-0000-0000-00002C000000}"/>
    <cellStyle name="Normal 17 3" xfId="50" xr:uid="{00000000-0005-0000-0000-00002D000000}"/>
    <cellStyle name="Normal 17 4" xfId="51" xr:uid="{00000000-0005-0000-0000-00002E000000}"/>
    <cellStyle name="Normal 17 5" xfId="52" xr:uid="{00000000-0005-0000-0000-00002F000000}"/>
    <cellStyle name="Normal 18" xfId="3" xr:uid="{00000000-0005-0000-0000-000030000000}"/>
    <cellStyle name="Normal 18 2" xfId="53" xr:uid="{00000000-0005-0000-0000-000031000000}"/>
    <cellStyle name="Normal 18 3" xfId="54" xr:uid="{00000000-0005-0000-0000-000032000000}"/>
    <cellStyle name="Normal 18 4" xfId="55" xr:uid="{00000000-0005-0000-0000-000033000000}"/>
    <cellStyle name="Normal 18 5" xfId="56" xr:uid="{00000000-0005-0000-0000-000034000000}"/>
    <cellStyle name="Normal 19" xfId="5" xr:uid="{00000000-0005-0000-0000-000035000000}"/>
    <cellStyle name="Normal 19 2" xfId="57" xr:uid="{00000000-0005-0000-0000-000036000000}"/>
    <cellStyle name="Normal 19 3" xfId="58" xr:uid="{00000000-0005-0000-0000-000037000000}"/>
    <cellStyle name="Normal 19 4" xfId="59" xr:uid="{00000000-0005-0000-0000-000038000000}"/>
    <cellStyle name="Normal 19 5" xfId="60" xr:uid="{00000000-0005-0000-0000-000039000000}"/>
    <cellStyle name="Normal 2" xfId="6" xr:uid="{00000000-0005-0000-0000-00003A000000}"/>
    <cellStyle name="Normal 2 2" xfId="61" xr:uid="{00000000-0005-0000-0000-00003B000000}"/>
    <cellStyle name="Normal 2 3" xfId="62" xr:uid="{00000000-0005-0000-0000-00003C000000}"/>
    <cellStyle name="Normal 2 4" xfId="63" xr:uid="{00000000-0005-0000-0000-00003D000000}"/>
    <cellStyle name="Normal 2 5" xfId="64" xr:uid="{00000000-0005-0000-0000-00003E000000}"/>
    <cellStyle name="Normal 20" xfId="65" xr:uid="{00000000-0005-0000-0000-00003F000000}"/>
    <cellStyle name="Normal 20 2" xfId="66" xr:uid="{00000000-0005-0000-0000-000040000000}"/>
    <cellStyle name="Normal 20 3" xfId="67" xr:uid="{00000000-0005-0000-0000-000041000000}"/>
    <cellStyle name="Normal 20 4" xfId="68" xr:uid="{00000000-0005-0000-0000-000042000000}"/>
    <cellStyle name="Normal 20 5" xfId="69" xr:uid="{00000000-0005-0000-0000-000043000000}"/>
    <cellStyle name="Normal 21" xfId="70" xr:uid="{00000000-0005-0000-0000-000044000000}"/>
    <cellStyle name="Normal 21 2" xfId="71" xr:uid="{00000000-0005-0000-0000-000045000000}"/>
    <cellStyle name="Normal 21 3" xfId="72" xr:uid="{00000000-0005-0000-0000-000046000000}"/>
    <cellStyle name="Normal 21 4" xfId="73" xr:uid="{00000000-0005-0000-0000-000047000000}"/>
    <cellStyle name="Normal 21 5" xfId="74" xr:uid="{00000000-0005-0000-0000-000048000000}"/>
    <cellStyle name="Normal 23" xfId="75" xr:uid="{00000000-0005-0000-0000-000049000000}"/>
    <cellStyle name="Normal 23 2" xfId="76" xr:uid="{00000000-0005-0000-0000-00004A000000}"/>
    <cellStyle name="Normal 23 3" xfId="77" xr:uid="{00000000-0005-0000-0000-00004B000000}"/>
    <cellStyle name="Normal 23 4" xfId="78" xr:uid="{00000000-0005-0000-0000-00004C000000}"/>
    <cellStyle name="Normal 23 5" xfId="79" xr:uid="{00000000-0005-0000-0000-00004D000000}"/>
    <cellStyle name="Normal 24" xfId="80" xr:uid="{00000000-0005-0000-0000-00004E000000}"/>
    <cellStyle name="Normal 24 2" xfId="81" xr:uid="{00000000-0005-0000-0000-00004F000000}"/>
    <cellStyle name="Normal 24 3" xfId="82" xr:uid="{00000000-0005-0000-0000-000050000000}"/>
    <cellStyle name="Normal 24 4" xfId="83" xr:uid="{00000000-0005-0000-0000-000051000000}"/>
    <cellStyle name="Normal 24 5" xfId="84" xr:uid="{00000000-0005-0000-0000-000052000000}"/>
    <cellStyle name="Normal 25" xfId="85" xr:uid="{00000000-0005-0000-0000-000053000000}"/>
    <cellStyle name="Normal 25 2" xfId="86" xr:uid="{00000000-0005-0000-0000-000054000000}"/>
    <cellStyle name="Normal 25 3" xfId="87" xr:uid="{00000000-0005-0000-0000-000055000000}"/>
    <cellStyle name="Normal 25 4" xfId="88" xr:uid="{00000000-0005-0000-0000-000056000000}"/>
    <cellStyle name="Normal 25 5" xfId="89" xr:uid="{00000000-0005-0000-0000-000057000000}"/>
    <cellStyle name="Normal 26" xfId="90" xr:uid="{00000000-0005-0000-0000-000058000000}"/>
    <cellStyle name="Normal 26 2" xfId="91" xr:uid="{00000000-0005-0000-0000-000059000000}"/>
    <cellStyle name="Normal 26 3" xfId="92" xr:uid="{00000000-0005-0000-0000-00005A000000}"/>
    <cellStyle name="Normal 26 4" xfId="93" xr:uid="{00000000-0005-0000-0000-00005B000000}"/>
    <cellStyle name="Normal 26 5" xfId="94" xr:uid="{00000000-0005-0000-0000-00005C000000}"/>
    <cellStyle name="Normal 27" xfId="95" xr:uid="{00000000-0005-0000-0000-00005D000000}"/>
    <cellStyle name="Normal 27 2" xfId="96" xr:uid="{00000000-0005-0000-0000-00005E000000}"/>
    <cellStyle name="Normal 27 3" xfId="97" xr:uid="{00000000-0005-0000-0000-00005F000000}"/>
    <cellStyle name="Normal 27 4" xfId="98" xr:uid="{00000000-0005-0000-0000-000060000000}"/>
    <cellStyle name="Normal 27 5" xfId="99" xr:uid="{00000000-0005-0000-0000-000061000000}"/>
    <cellStyle name="Normal 28 2" xfId="100" xr:uid="{00000000-0005-0000-0000-000062000000}"/>
    <cellStyle name="Normal 28 3" xfId="101" xr:uid="{00000000-0005-0000-0000-000063000000}"/>
    <cellStyle name="Normal 28 4" xfId="102" xr:uid="{00000000-0005-0000-0000-000064000000}"/>
    <cellStyle name="Normal 29" xfId="103" xr:uid="{00000000-0005-0000-0000-000065000000}"/>
    <cellStyle name="Normal 3" xfId="12" xr:uid="{00000000-0005-0000-0000-000066000000}"/>
    <cellStyle name="Normal 3 2" xfId="104" xr:uid="{00000000-0005-0000-0000-000067000000}"/>
    <cellStyle name="Normal 3 3" xfId="105" xr:uid="{00000000-0005-0000-0000-000068000000}"/>
    <cellStyle name="Normal 3 4" xfId="106" xr:uid="{00000000-0005-0000-0000-000069000000}"/>
    <cellStyle name="Normal 3 5" xfId="107" xr:uid="{00000000-0005-0000-0000-00006A000000}"/>
    <cellStyle name="Normal 30" xfId="108" xr:uid="{00000000-0005-0000-0000-00006B000000}"/>
    <cellStyle name="Normal 32" xfId="109" xr:uid="{00000000-0005-0000-0000-00006C000000}"/>
    <cellStyle name="Normal 4" xfId="13" xr:uid="{00000000-0005-0000-0000-00006D000000}"/>
    <cellStyle name="Normal 4 2" xfId="110" xr:uid="{00000000-0005-0000-0000-00006E000000}"/>
    <cellStyle name="Normal 4 3" xfId="111" xr:uid="{00000000-0005-0000-0000-00006F000000}"/>
    <cellStyle name="Normal 4 4" xfId="112" xr:uid="{00000000-0005-0000-0000-000070000000}"/>
    <cellStyle name="Normal 4 5" xfId="113" xr:uid="{00000000-0005-0000-0000-000071000000}"/>
    <cellStyle name="Normal 5" xfId="139" xr:uid="{800F61AB-3829-4A8A-A3A9-0D3639B5EA4F}"/>
    <cellStyle name="Normal 5 2" xfId="114" xr:uid="{00000000-0005-0000-0000-000072000000}"/>
    <cellStyle name="Normal 5 3" xfId="115" xr:uid="{00000000-0005-0000-0000-000073000000}"/>
    <cellStyle name="Normal 5 4" xfId="116" xr:uid="{00000000-0005-0000-0000-000074000000}"/>
    <cellStyle name="Normal 5 5" xfId="117" xr:uid="{00000000-0005-0000-0000-000075000000}"/>
    <cellStyle name="Normal 5 6" xfId="141" xr:uid="{A80E6E27-1FCD-4405-8422-876CF45A5F17}"/>
    <cellStyle name="Normal 6" xfId="118" xr:uid="{00000000-0005-0000-0000-000076000000}"/>
    <cellStyle name="Normal 6 2" xfId="119" xr:uid="{00000000-0005-0000-0000-000077000000}"/>
    <cellStyle name="Normal 6 3" xfId="120" xr:uid="{00000000-0005-0000-0000-000078000000}"/>
    <cellStyle name="Normal 6 4" xfId="121" xr:uid="{00000000-0005-0000-0000-000079000000}"/>
    <cellStyle name="Normal 6 5" xfId="122" xr:uid="{00000000-0005-0000-0000-00007A000000}"/>
    <cellStyle name="Normal 7 2" xfId="123" xr:uid="{00000000-0005-0000-0000-00007B000000}"/>
    <cellStyle name="Normal 7 3" xfId="124" xr:uid="{00000000-0005-0000-0000-00007C000000}"/>
    <cellStyle name="Normal 7 4" xfId="125" xr:uid="{00000000-0005-0000-0000-00007D000000}"/>
    <cellStyle name="Normal 7 5" xfId="126" xr:uid="{00000000-0005-0000-0000-00007E000000}"/>
    <cellStyle name="Normal 8 2" xfId="127" xr:uid="{00000000-0005-0000-0000-00007F000000}"/>
    <cellStyle name="Normal 8 3" xfId="128" xr:uid="{00000000-0005-0000-0000-000080000000}"/>
    <cellStyle name="Normal 8 4" xfId="129" xr:uid="{00000000-0005-0000-0000-000081000000}"/>
    <cellStyle name="Normal 8 5" xfId="130" xr:uid="{00000000-0005-0000-0000-000082000000}"/>
    <cellStyle name="Normal 9" xfId="131" xr:uid="{00000000-0005-0000-0000-000083000000}"/>
    <cellStyle name="Normal 9 2" xfId="132" xr:uid="{00000000-0005-0000-0000-000084000000}"/>
    <cellStyle name="Normal 9 3" xfId="133" xr:uid="{00000000-0005-0000-0000-000085000000}"/>
    <cellStyle name="Normal 9 4" xfId="134" xr:uid="{00000000-0005-0000-0000-000086000000}"/>
    <cellStyle name="Normal 9 5" xfId="135" xr:uid="{00000000-0005-0000-0000-000087000000}"/>
    <cellStyle name="Percent" xfId="137" builtinId="5"/>
    <cellStyle name="Percent 2" xfId="14" xr:uid="{00000000-0005-0000-0000-000089000000}"/>
    <cellStyle name="Percent 3" xfId="15" xr:uid="{00000000-0005-0000-0000-00008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color rgb="FFF97B7B"/>
      <color rgb="FFF76F6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VHT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330264659101767"/>
          <c:y val="0.17201162560979127"/>
          <c:w val="0.78925267103924646"/>
          <c:h val="0.58553766254253792"/>
        </c:manualLayout>
      </c:layout>
      <c:scatterChart>
        <c:scatterStyle val="lineMarker"/>
        <c:varyColors val="0"/>
        <c:ser>
          <c:idx val="0"/>
          <c:order val="0"/>
          <c:tx>
            <c:strRef>
              <c:f>'Annual Traffic Data'!$C$4</c:f>
              <c:strCache>
                <c:ptCount val="1"/>
                <c:pt idx="0">
                  <c:v>No Build Total Annual VHT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'Annual Traffic Data'!$B$5:$B$26</c:f>
              <c:numCache>
                <c:formatCode>General</c:formatCode>
                <c:ptCount val="22"/>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numCache>
            </c:numRef>
          </c:xVal>
          <c:yVal>
            <c:numRef>
              <c:f>'Annual Traffic Data'!$C$5:$C$26</c:f>
              <c:numCache>
                <c:formatCode>#,##0_);\(#,##0\)</c:formatCode>
                <c:ptCount val="22"/>
                <c:pt idx="0">
                  <c:v>248808.33333333349</c:v>
                </c:pt>
                <c:pt idx="1">
                  <c:v>250633.33333333349</c:v>
                </c:pt>
                <c:pt idx="2">
                  <c:v>252458.33333333349</c:v>
                </c:pt>
                <c:pt idx="3">
                  <c:v>254283.33333333349</c:v>
                </c:pt>
                <c:pt idx="4">
                  <c:v>256108.33333333349</c:v>
                </c:pt>
                <c:pt idx="5">
                  <c:v>257933.33333333349</c:v>
                </c:pt>
                <c:pt idx="6">
                  <c:v>259758.33333333349</c:v>
                </c:pt>
                <c:pt idx="7">
                  <c:v>261583.33333333349</c:v>
                </c:pt>
                <c:pt idx="8">
                  <c:v>263408.33333333349</c:v>
                </c:pt>
                <c:pt idx="9">
                  <c:v>265233.33333333349</c:v>
                </c:pt>
                <c:pt idx="10">
                  <c:v>267058.33333333349</c:v>
                </c:pt>
                <c:pt idx="11">
                  <c:v>268883.33333333349</c:v>
                </c:pt>
                <c:pt idx="12">
                  <c:v>270708.33333333349</c:v>
                </c:pt>
                <c:pt idx="13">
                  <c:v>352995.55555555597</c:v>
                </c:pt>
                <c:pt idx="14">
                  <c:v>355359.36507936474</c:v>
                </c:pt>
                <c:pt idx="15">
                  <c:v>357723.17460317444</c:v>
                </c:pt>
                <c:pt idx="16">
                  <c:v>360086.98412698414</c:v>
                </c:pt>
                <c:pt idx="17">
                  <c:v>362450.79365079384</c:v>
                </c:pt>
                <c:pt idx="18">
                  <c:v>364814.60317460354</c:v>
                </c:pt>
                <c:pt idx="19">
                  <c:v>367178.41269841231</c:v>
                </c:pt>
                <c:pt idx="20">
                  <c:v>369542.22222222202</c:v>
                </c:pt>
                <c:pt idx="21">
                  <c:v>371906.03174603172</c:v>
                </c:pt>
              </c:numCache>
            </c:numRef>
          </c:yVal>
          <c:smooth val="0"/>
          <c:extLst>
            <c:ext xmlns:c16="http://schemas.microsoft.com/office/drawing/2014/chart" uri="{C3380CC4-5D6E-409C-BE32-E72D297353CC}">
              <c16:uniqueId val="{00000000-10BC-4599-B34C-E6BC1C52A113}"/>
            </c:ext>
          </c:extLst>
        </c:ser>
        <c:ser>
          <c:idx val="1"/>
          <c:order val="1"/>
          <c:tx>
            <c:strRef>
              <c:f>'Annual Traffic Data'!$D$4</c:f>
              <c:strCache>
                <c:ptCount val="1"/>
                <c:pt idx="0">
                  <c:v>Build Annual VHT</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'Annual Traffic Data'!$B$5:$B$26</c:f>
              <c:numCache>
                <c:formatCode>General</c:formatCode>
                <c:ptCount val="22"/>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numCache>
            </c:numRef>
          </c:xVal>
          <c:yVal>
            <c:numRef>
              <c:f>'Annual Traffic Data'!$D$5:$D$26</c:f>
              <c:numCache>
                <c:formatCode>#,##0_);\(#,##0\)</c:formatCode>
                <c:ptCount val="22"/>
                <c:pt idx="0">
                  <c:v>272199.18891293887</c:v>
                </c:pt>
                <c:pt idx="1">
                  <c:v>297758.1866281862</c:v>
                </c:pt>
                <c:pt idx="2">
                  <c:v>252458.33333333349</c:v>
                </c:pt>
                <c:pt idx="3">
                  <c:v>254283.33333333349</c:v>
                </c:pt>
                <c:pt idx="4">
                  <c:v>256108.33333333349</c:v>
                </c:pt>
                <c:pt idx="5">
                  <c:v>257933.33333333349</c:v>
                </c:pt>
                <c:pt idx="6">
                  <c:v>259758.33333333349</c:v>
                </c:pt>
                <c:pt idx="7">
                  <c:v>261583.33333333349</c:v>
                </c:pt>
                <c:pt idx="8">
                  <c:v>263408.33333333349</c:v>
                </c:pt>
                <c:pt idx="9">
                  <c:v>265233.33333333349</c:v>
                </c:pt>
                <c:pt idx="10">
                  <c:v>267058.33333333349</c:v>
                </c:pt>
                <c:pt idx="11">
                  <c:v>268883.33333333349</c:v>
                </c:pt>
                <c:pt idx="12">
                  <c:v>270708.33333333349</c:v>
                </c:pt>
                <c:pt idx="13">
                  <c:v>272533.33333333349</c:v>
                </c:pt>
                <c:pt idx="14">
                  <c:v>274358.33333333349</c:v>
                </c:pt>
                <c:pt idx="15">
                  <c:v>276183.33333333349</c:v>
                </c:pt>
                <c:pt idx="16">
                  <c:v>278008.33333333349</c:v>
                </c:pt>
                <c:pt idx="17">
                  <c:v>279833.33333333349</c:v>
                </c:pt>
                <c:pt idx="18">
                  <c:v>281658.33333333349</c:v>
                </c:pt>
                <c:pt idx="19">
                  <c:v>283483.33333333349</c:v>
                </c:pt>
                <c:pt idx="20">
                  <c:v>285308.33333333349</c:v>
                </c:pt>
                <c:pt idx="21">
                  <c:v>287133.33333333349</c:v>
                </c:pt>
              </c:numCache>
            </c:numRef>
          </c:yVal>
          <c:smooth val="0"/>
          <c:extLst>
            <c:ext xmlns:c16="http://schemas.microsoft.com/office/drawing/2014/chart" uri="{C3380CC4-5D6E-409C-BE32-E72D297353CC}">
              <c16:uniqueId val="{00000001-10BC-4599-B34C-E6BC1C52A113}"/>
            </c:ext>
          </c:extLst>
        </c:ser>
        <c:dLbls>
          <c:showLegendKey val="0"/>
          <c:showVal val="0"/>
          <c:showCatName val="0"/>
          <c:showSerName val="0"/>
          <c:showPercent val="0"/>
          <c:showBubbleSize val="0"/>
        </c:dLbls>
        <c:axId val="769889344"/>
        <c:axId val="772460872"/>
      </c:scatterChart>
      <c:valAx>
        <c:axId val="76988934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manualLayout>
              <c:xMode val="edge"/>
              <c:yMode val="edge"/>
              <c:x val="0.5334749644517135"/>
              <c:y val="0.814120974848061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460872"/>
        <c:crosses val="autoZero"/>
        <c:crossBetween val="midCat"/>
      </c:valAx>
      <c:valAx>
        <c:axId val="772460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a:t>
                </a:r>
                <a:r>
                  <a:rPr lang="en-US" baseline="0"/>
                  <a:t> VHT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8893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VMT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627580927384077"/>
          <c:y val="0.17171296296296296"/>
          <c:w val="0.75783530183727033"/>
          <c:h val="0.57236840186643334"/>
        </c:manualLayout>
      </c:layout>
      <c:scatterChart>
        <c:scatterStyle val="lineMarker"/>
        <c:varyColors val="0"/>
        <c:ser>
          <c:idx val="0"/>
          <c:order val="0"/>
          <c:tx>
            <c:strRef>
              <c:f>'Annual Traffic Data'!$E$4</c:f>
              <c:strCache>
                <c:ptCount val="1"/>
                <c:pt idx="0">
                  <c:v>No Build Total Annual VMT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'Annual Traffic Data'!$B$5:$B$26</c:f>
              <c:numCache>
                <c:formatCode>General</c:formatCode>
                <c:ptCount val="22"/>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numCache>
            </c:numRef>
          </c:xVal>
          <c:yVal>
            <c:numRef>
              <c:f>'Annual Traffic Data'!$E$5:$E$26</c:f>
              <c:numCache>
                <c:formatCode>#,##0_);\(#,##0\)</c:formatCode>
                <c:ptCount val="22"/>
                <c:pt idx="0">
                  <c:v>14501971.428571433</c:v>
                </c:pt>
                <c:pt idx="1">
                  <c:v>14608342.857142866</c:v>
                </c:pt>
                <c:pt idx="2">
                  <c:v>14714714.285714298</c:v>
                </c:pt>
                <c:pt idx="3">
                  <c:v>14821085.714285731</c:v>
                </c:pt>
                <c:pt idx="4">
                  <c:v>14927457.142857134</c:v>
                </c:pt>
                <c:pt idx="5">
                  <c:v>15033828.571428567</c:v>
                </c:pt>
                <c:pt idx="6">
                  <c:v>15140200</c:v>
                </c:pt>
                <c:pt idx="7">
                  <c:v>15246571.428571433</c:v>
                </c:pt>
                <c:pt idx="8">
                  <c:v>15352942.857142866</c:v>
                </c:pt>
                <c:pt idx="9">
                  <c:v>15459314.285714298</c:v>
                </c:pt>
                <c:pt idx="10">
                  <c:v>15565685.714285731</c:v>
                </c:pt>
                <c:pt idx="11">
                  <c:v>15672057.142857134</c:v>
                </c:pt>
                <c:pt idx="12">
                  <c:v>15778428.571428567</c:v>
                </c:pt>
                <c:pt idx="13">
                  <c:v>17753600</c:v>
                </c:pt>
                <c:pt idx="14">
                  <c:v>17872485.714285702</c:v>
                </c:pt>
                <c:pt idx="15">
                  <c:v>17991371.428571403</c:v>
                </c:pt>
                <c:pt idx="16">
                  <c:v>18110257.142857134</c:v>
                </c:pt>
                <c:pt idx="17">
                  <c:v>18229142.857142836</c:v>
                </c:pt>
                <c:pt idx="18">
                  <c:v>18348028.571428567</c:v>
                </c:pt>
                <c:pt idx="19">
                  <c:v>18466914.285714269</c:v>
                </c:pt>
                <c:pt idx="20">
                  <c:v>18585800</c:v>
                </c:pt>
                <c:pt idx="21">
                  <c:v>18704685.714285702</c:v>
                </c:pt>
              </c:numCache>
            </c:numRef>
          </c:yVal>
          <c:smooth val="0"/>
          <c:extLst>
            <c:ext xmlns:c16="http://schemas.microsoft.com/office/drawing/2014/chart" uri="{C3380CC4-5D6E-409C-BE32-E72D297353CC}">
              <c16:uniqueId val="{00000000-1D65-4C03-8DB9-A87B535F53D6}"/>
            </c:ext>
          </c:extLst>
        </c:ser>
        <c:ser>
          <c:idx val="1"/>
          <c:order val="1"/>
          <c:tx>
            <c:strRef>
              <c:f>'Annual Traffic Data'!$F$4</c:f>
              <c:strCache>
                <c:ptCount val="1"/>
                <c:pt idx="0">
                  <c:v>Build Annual VMT</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'Annual Traffic Data'!$B$5:$B$26</c:f>
              <c:numCache>
                <c:formatCode>General</c:formatCode>
                <c:ptCount val="22"/>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numCache>
            </c:numRef>
          </c:xVal>
          <c:yVal>
            <c:numRef>
              <c:f>'Annual Traffic Data'!$F$5:$F$26</c:f>
              <c:numCache>
                <c:formatCode>#,##0_);\(#,##0\)</c:formatCode>
                <c:ptCount val="22"/>
                <c:pt idx="0">
                  <c:v>15013805.714285713</c:v>
                </c:pt>
                <c:pt idx="1">
                  <c:v>15639519.999999987</c:v>
                </c:pt>
                <c:pt idx="2">
                  <c:v>14714714.285714298</c:v>
                </c:pt>
                <c:pt idx="3">
                  <c:v>14821085.714285731</c:v>
                </c:pt>
                <c:pt idx="4">
                  <c:v>14927457.142857134</c:v>
                </c:pt>
                <c:pt idx="5">
                  <c:v>15033828.571428567</c:v>
                </c:pt>
                <c:pt idx="6">
                  <c:v>15140200</c:v>
                </c:pt>
                <c:pt idx="7">
                  <c:v>15246571.428571433</c:v>
                </c:pt>
                <c:pt idx="8">
                  <c:v>15352942.857142866</c:v>
                </c:pt>
                <c:pt idx="9">
                  <c:v>15459314.285714298</c:v>
                </c:pt>
                <c:pt idx="10">
                  <c:v>15565685.714285731</c:v>
                </c:pt>
                <c:pt idx="11">
                  <c:v>15672057.142857134</c:v>
                </c:pt>
                <c:pt idx="12">
                  <c:v>15778428.571428567</c:v>
                </c:pt>
                <c:pt idx="13">
                  <c:v>15884800</c:v>
                </c:pt>
                <c:pt idx="14">
                  <c:v>15991171.428571433</c:v>
                </c:pt>
                <c:pt idx="15">
                  <c:v>16097542.857142866</c:v>
                </c:pt>
                <c:pt idx="16">
                  <c:v>16203914.285714298</c:v>
                </c:pt>
                <c:pt idx="17">
                  <c:v>16310285.714285731</c:v>
                </c:pt>
                <c:pt idx="18">
                  <c:v>16416657.142857134</c:v>
                </c:pt>
                <c:pt idx="19">
                  <c:v>16523028.571428567</c:v>
                </c:pt>
                <c:pt idx="20">
                  <c:v>16629400</c:v>
                </c:pt>
                <c:pt idx="21">
                  <c:v>16735771.428571433</c:v>
                </c:pt>
              </c:numCache>
            </c:numRef>
          </c:yVal>
          <c:smooth val="0"/>
          <c:extLst>
            <c:ext xmlns:c16="http://schemas.microsoft.com/office/drawing/2014/chart" uri="{C3380CC4-5D6E-409C-BE32-E72D297353CC}">
              <c16:uniqueId val="{00000001-1D65-4C03-8DB9-A87B535F53D6}"/>
            </c:ext>
          </c:extLst>
        </c:ser>
        <c:dLbls>
          <c:showLegendKey val="0"/>
          <c:showVal val="0"/>
          <c:showCatName val="0"/>
          <c:showSerName val="0"/>
          <c:showPercent val="0"/>
          <c:showBubbleSize val="0"/>
        </c:dLbls>
        <c:axId val="770928168"/>
        <c:axId val="770924568"/>
      </c:scatterChart>
      <c:valAx>
        <c:axId val="77092816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924568"/>
        <c:crosses val="autoZero"/>
        <c:crossBetween val="midCat"/>
      </c:valAx>
      <c:valAx>
        <c:axId val="770924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VMT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9281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8</xdr:col>
      <xdr:colOff>719666</xdr:colOff>
      <xdr:row>24</xdr:row>
      <xdr:rowOff>9866</xdr:rowOff>
    </xdr:to>
    <xdr:pic>
      <xdr:nvPicPr>
        <xdr:cNvPr id="2" name="Picture 1" descr="A map of a river&#10;&#10;Description automatically generated">
          <a:extLst>
            <a:ext uri="{FF2B5EF4-FFF2-40B4-BE49-F238E27FC236}">
              <a16:creationId xmlns:a16="http://schemas.microsoft.com/office/drawing/2014/main" id="{CC30A90B-E91A-E07C-70DE-159DA7D5DE8E}"/>
            </a:ext>
          </a:extLst>
        </xdr:cNvPr>
        <xdr:cNvPicPr>
          <a:picLocks noChangeAspect="1"/>
        </xdr:cNvPicPr>
      </xdr:nvPicPr>
      <xdr:blipFill>
        <a:blip xmlns:r="http://schemas.openxmlformats.org/officeDocument/2006/relationships" r:embed="rId1"/>
        <a:stretch>
          <a:fillRect/>
        </a:stretch>
      </xdr:blipFill>
      <xdr:spPr>
        <a:xfrm>
          <a:off x="6942667" y="1058333"/>
          <a:ext cx="4910666" cy="3618783"/>
        </a:xfrm>
        <a:prstGeom prst="rect">
          <a:avLst/>
        </a:prstGeom>
        <a:ln w="19050">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79737</xdr:colOff>
      <xdr:row>39</xdr:row>
      <xdr:rowOff>40822</xdr:rowOff>
    </xdr:from>
    <xdr:to>
      <xdr:col>10</xdr:col>
      <xdr:colOff>1501841</xdr:colOff>
      <xdr:row>71</xdr:row>
      <xdr:rowOff>118425</xdr:rowOff>
    </xdr:to>
    <xdr:pic>
      <xdr:nvPicPr>
        <xdr:cNvPr id="2" name="Picture 1" descr="A map with red dots and blue lines&#10;&#10;Description automatically generated">
          <a:extLst>
            <a:ext uri="{FF2B5EF4-FFF2-40B4-BE49-F238E27FC236}">
              <a16:creationId xmlns:a16="http://schemas.microsoft.com/office/drawing/2014/main" id="{9F741DDE-F6E1-2CC5-ED81-6C21C42BE849}"/>
            </a:ext>
          </a:extLst>
        </xdr:cNvPr>
        <xdr:cNvPicPr>
          <a:picLocks noChangeAspect="1"/>
        </xdr:cNvPicPr>
      </xdr:nvPicPr>
      <xdr:blipFill>
        <a:blip xmlns:r="http://schemas.openxmlformats.org/officeDocument/2006/relationships" r:embed="rId1"/>
        <a:stretch>
          <a:fillRect/>
        </a:stretch>
      </xdr:blipFill>
      <xdr:spPr>
        <a:xfrm>
          <a:off x="8124280" y="7301593"/>
          <a:ext cx="7861003" cy="6351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xdr:colOff>
      <xdr:row>37</xdr:row>
      <xdr:rowOff>0</xdr:rowOff>
    </xdr:from>
    <xdr:to>
      <xdr:col>13</xdr:col>
      <xdr:colOff>882107</xdr:colOff>
      <xdr:row>66</xdr:row>
      <xdr:rowOff>130968</xdr:rowOff>
    </xdr:to>
    <xdr:pic>
      <xdr:nvPicPr>
        <xdr:cNvPr id="3" name="Picture 2" descr="A map with a blue circle&#10;&#10;Description automatically generated">
          <a:extLst>
            <a:ext uri="{FF2B5EF4-FFF2-40B4-BE49-F238E27FC236}">
              <a16:creationId xmlns:a16="http://schemas.microsoft.com/office/drawing/2014/main" id="{9A556CBB-1523-CD5D-9D1D-917B69A735AE}"/>
            </a:ext>
          </a:extLst>
        </xdr:cNvPr>
        <xdr:cNvPicPr>
          <a:picLocks noChangeAspect="1"/>
        </xdr:cNvPicPr>
      </xdr:nvPicPr>
      <xdr:blipFill>
        <a:blip xmlns:r="http://schemas.openxmlformats.org/officeDocument/2006/relationships" r:embed="rId1"/>
        <a:stretch>
          <a:fillRect/>
        </a:stretch>
      </xdr:blipFill>
      <xdr:spPr>
        <a:xfrm>
          <a:off x="8024814" y="7322344"/>
          <a:ext cx="7656762" cy="5655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35719</xdr:colOff>
      <xdr:row>26</xdr:row>
      <xdr:rowOff>71438</xdr:rowOff>
    </xdr:from>
    <xdr:to>
      <xdr:col>12</xdr:col>
      <xdr:colOff>846982</xdr:colOff>
      <xdr:row>49</xdr:row>
      <xdr:rowOff>135175</xdr:rowOff>
    </xdr:to>
    <xdr:pic>
      <xdr:nvPicPr>
        <xdr:cNvPr id="2" name="Picture 1" descr="A map with a route&#10;&#10;Description automatically generated">
          <a:extLst>
            <a:ext uri="{FF2B5EF4-FFF2-40B4-BE49-F238E27FC236}">
              <a16:creationId xmlns:a16="http://schemas.microsoft.com/office/drawing/2014/main" id="{A28524B0-560A-FDB2-1019-AAE36D134E83}"/>
            </a:ext>
          </a:extLst>
        </xdr:cNvPr>
        <xdr:cNvPicPr>
          <a:picLocks noChangeAspect="1"/>
        </xdr:cNvPicPr>
      </xdr:nvPicPr>
      <xdr:blipFill>
        <a:blip xmlns:r="http://schemas.openxmlformats.org/officeDocument/2006/relationships" r:embed="rId1"/>
        <a:stretch>
          <a:fillRect/>
        </a:stretch>
      </xdr:blipFill>
      <xdr:spPr>
        <a:xfrm>
          <a:off x="8179594" y="5453063"/>
          <a:ext cx="5942857" cy="44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112295</xdr:colOff>
      <xdr:row>6</xdr:row>
      <xdr:rowOff>43069</xdr:rowOff>
    </xdr:from>
    <xdr:to>
      <xdr:col>35</xdr:col>
      <xdr:colOff>127564</xdr:colOff>
      <xdr:row>40</xdr:row>
      <xdr:rowOff>11157</xdr:rowOff>
    </xdr:to>
    <xdr:pic>
      <xdr:nvPicPr>
        <xdr:cNvPr id="4" name="Picture 3" descr="A map of a river&#10;&#10;Description automatically generated">
          <a:extLst>
            <a:ext uri="{FF2B5EF4-FFF2-40B4-BE49-F238E27FC236}">
              <a16:creationId xmlns:a16="http://schemas.microsoft.com/office/drawing/2014/main" id="{F0BDB055-A636-B3EE-C3E1-715A84D99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70701" y="1686132"/>
          <a:ext cx="7301894" cy="67784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3</xdr:row>
      <xdr:rowOff>0</xdr:rowOff>
    </xdr:from>
    <xdr:to>
      <xdr:col>14</xdr:col>
      <xdr:colOff>352425</xdr:colOff>
      <xdr:row>17</xdr:row>
      <xdr:rowOff>0</xdr:rowOff>
    </xdr:to>
    <xdr:graphicFrame macro="">
      <xdr:nvGraphicFramePr>
        <xdr:cNvPr id="2" name="Chart 1">
          <a:extLst>
            <a:ext uri="{FF2B5EF4-FFF2-40B4-BE49-F238E27FC236}">
              <a16:creationId xmlns:a16="http://schemas.microsoft.com/office/drawing/2014/main" id="{3A66CF9F-13A0-411A-9747-DA39CDB74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19</xdr:row>
      <xdr:rowOff>28575</xdr:rowOff>
    </xdr:from>
    <xdr:to>
      <xdr:col>14</xdr:col>
      <xdr:colOff>390525</xdr:colOff>
      <xdr:row>33</xdr:row>
      <xdr:rowOff>119062</xdr:rowOff>
    </xdr:to>
    <xdr:graphicFrame macro="">
      <xdr:nvGraphicFramePr>
        <xdr:cNvPr id="3" name="Chart 2">
          <a:extLst>
            <a:ext uri="{FF2B5EF4-FFF2-40B4-BE49-F238E27FC236}">
              <a16:creationId xmlns:a16="http://schemas.microsoft.com/office/drawing/2014/main" id="{8505161E-24C5-4847-A278-3977A861C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rojects\09000\9228\TS\BCA\2016%20Update\Scott%20County%20BCA%20Workbook%202016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www.google.com/maps/dir/44.6636436,-92.7399235/44.7292932,-92.8225616/@44.6720055,-92.7472118,15.33z/data=!4m2!4m1!3e0?entry=ttu" TargetMode="External"/><Relationship Id="rId7" Type="http://schemas.openxmlformats.org/officeDocument/2006/relationships/hyperlink" Target="https://www.google.com/maps/dir/44.7292429,-92.8225734/44.663531,-92.739891/@44.7012943,-92.8780147,12z/am=t/data=!3m1!4b1!4m10!4m9!1m5!3m4!1m2!1d-92.7841982!2d44.6687075!3s0x87f7c006580482c7:0x5c2b0478fb5560dc!1m1!4e1!3e0?entry=ttu" TargetMode="External"/><Relationship Id="rId2" Type="http://schemas.openxmlformats.org/officeDocument/2006/relationships/hyperlink" Target="https://www.google.com/maps/dir/44.6636436,-92.7399235/44.7292932,-92.8225616/@44.6720055,-92.7472118,15.33z/data=!4m2!4m1!3e0?entry=ttu" TargetMode="External"/><Relationship Id="rId1" Type="http://schemas.openxmlformats.org/officeDocument/2006/relationships/hyperlink" Target="https://www.co.dakota.mn.us/Transportation/PlanningPrograms/Documents/2040TransportationPlan.pdf" TargetMode="External"/><Relationship Id="rId6" Type="http://schemas.openxmlformats.org/officeDocument/2006/relationships/hyperlink" Target="https://www.google.com/maps/dir/44.7292429,-92.8225734/44.663531,-92.739891/@44.7012943,-92.8780147,12z/am=t/data=!3m1!4b1!4m10!4m9!1m5!3m4!1m2!1d-92.7841982!2d44.6687075!3s0x87f7c006580482c7:0x5c2b0478fb5560dc!1m1!4e1!3e0?entry=ttu" TargetMode="External"/><Relationship Id="rId5" Type="http://schemas.openxmlformats.org/officeDocument/2006/relationships/hyperlink" Target="https://www.google.com/maps/dir/44.6636436,-92.7399235/44.7292932,-92.8225616/@44.6720055,-92.7472118,15.33z/data=!4m2!4m1!3e0?entry=ttu" TargetMode="External"/><Relationship Id="rId4" Type="http://schemas.openxmlformats.org/officeDocument/2006/relationships/hyperlink" Target="https://www.google.com/maps/dir/44.6636436,-92.7399235/44.7292932,-92.8225616/@44.6720055,-92.7472118,15.33z/data=!4m2!4m1!3e0?entry=ttu"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tint="0.14999847407452621"/>
    <pageSetUpPr fitToPage="1"/>
  </sheetPr>
  <dimension ref="B2:V339"/>
  <sheetViews>
    <sheetView tabSelected="1" view="pageBreakPreview" zoomScale="90" zoomScaleNormal="55" zoomScaleSheetLayoutView="90" workbookViewId="0"/>
  </sheetViews>
  <sheetFormatPr defaultColWidth="10.7109375" defaultRowHeight="15" customHeight="1" x14ac:dyDescent="0.25"/>
  <cols>
    <col min="1" max="1" width="10.7109375" style="65"/>
    <col min="2" max="2" width="5.7109375" style="65" customWidth="1"/>
    <col min="3" max="3" width="62.28515625" style="65" customWidth="1"/>
    <col min="4" max="4" width="15.7109375" style="65" customWidth="1"/>
    <col min="5" max="5" width="9.7109375" style="65" customWidth="1"/>
    <col min="6" max="10" width="21" style="65" customWidth="1"/>
    <col min="11" max="13" width="10.7109375" style="65"/>
    <col min="14" max="14" width="14.28515625" style="65" customWidth="1"/>
    <col min="15" max="15" width="11.7109375" style="142" bestFit="1" customWidth="1"/>
    <col min="16" max="21" width="10.7109375" style="142"/>
    <col min="22" max="16384" width="10.7109375" style="65"/>
  </cols>
  <sheetData>
    <row r="2" spans="2:21" x14ac:dyDescent="0.25"/>
    <row r="3" spans="2:21" ht="23.25" x14ac:dyDescent="0.35">
      <c r="B3" s="10"/>
      <c r="C3" s="216" t="s">
        <v>785</v>
      </c>
      <c r="D3" s="11"/>
      <c r="E3" s="11"/>
      <c r="F3" s="11"/>
      <c r="G3" s="11"/>
      <c r="H3" s="11"/>
      <c r="I3" s="11"/>
      <c r="J3" s="11"/>
      <c r="O3" s="65"/>
      <c r="P3" s="65"/>
      <c r="Q3" s="65"/>
      <c r="R3" s="65"/>
      <c r="S3" s="65"/>
      <c r="T3" s="65"/>
      <c r="U3" s="65"/>
    </row>
    <row r="4" spans="2:21" ht="15" customHeight="1" x14ac:dyDescent="0.25">
      <c r="B4" s="10"/>
      <c r="D4" s="66"/>
      <c r="E4" s="66"/>
      <c r="F4" s="66"/>
      <c r="G4" s="66"/>
      <c r="H4" s="66"/>
      <c r="I4" s="66"/>
      <c r="J4" s="66"/>
      <c r="O4" s="65"/>
      <c r="P4" s="65"/>
      <c r="Q4" s="65"/>
      <c r="R4" s="65"/>
      <c r="S4" s="65"/>
      <c r="T4" s="65"/>
      <c r="U4" s="65"/>
    </row>
    <row r="5" spans="2:21" ht="15" customHeight="1" x14ac:dyDescent="0.25">
      <c r="B5" s="10"/>
      <c r="C5" s="30" t="s">
        <v>150</v>
      </c>
      <c r="D5" s="66"/>
      <c r="E5" s="66"/>
      <c r="F5" s="30" t="s">
        <v>788</v>
      </c>
      <c r="G5" s="66"/>
      <c r="H5" s="66"/>
      <c r="I5" s="66"/>
      <c r="J5" s="66"/>
      <c r="O5" s="65"/>
      <c r="P5" s="65"/>
      <c r="Q5" s="65"/>
      <c r="R5" s="65"/>
      <c r="S5" s="65"/>
      <c r="T5" s="65"/>
      <c r="U5" s="65"/>
    </row>
    <row r="6" spans="2:21" ht="15" customHeight="1" x14ac:dyDescent="0.25">
      <c r="B6" s="10"/>
      <c r="C6" s="207" t="s">
        <v>135</v>
      </c>
      <c r="D6" s="66"/>
      <c r="E6" s="66"/>
      <c r="F6"/>
      <c r="G6"/>
      <c r="H6"/>
      <c r="I6"/>
      <c r="J6"/>
      <c r="O6" s="65"/>
      <c r="P6" s="65"/>
      <c r="Q6" s="65"/>
      <c r="R6" s="65"/>
      <c r="S6" s="65"/>
      <c r="T6" s="65"/>
      <c r="U6" s="65"/>
    </row>
    <row r="7" spans="2:21" ht="15" customHeight="1" x14ac:dyDescent="0.25">
      <c r="B7" s="10"/>
      <c r="C7" s="208" t="s">
        <v>136</v>
      </c>
      <c r="D7" s="66"/>
      <c r="E7" s="66"/>
      <c r="F7"/>
      <c r="G7"/>
      <c r="H7"/>
      <c r="I7"/>
      <c r="J7"/>
      <c r="O7" s="65"/>
      <c r="P7" s="65"/>
      <c r="Q7" s="65"/>
      <c r="R7" s="65"/>
      <c r="S7" s="65"/>
      <c r="T7" s="65"/>
      <c r="U7" s="65"/>
    </row>
    <row r="8" spans="2:21" ht="15" customHeight="1" x14ac:dyDescent="0.25">
      <c r="B8" s="10"/>
      <c r="D8" s="66"/>
      <c r="E8" s="66"/>
      <c r="F8"/>
      <c r="G8"/>
      <c r="H8"/>
      <c r="I8"/>
      <c r="J8"/>
      <c r="O8" s="65"/>
      <c r="P8" s="65"/>
      <c r="Q8" s="65"/>
      <c r="R8" s="65"/>
      <c r="S8" s="65"/>
      <c r="T8" s="65"/>
      <c r="U8" s="65"/>
    </row>
    <row r="9" spans="2:21" ht="15" customHeight="1" x14ac:dyDescent="0.25">
      <c r="C9" s="1" t="s">
        <v>146</v>
      </c>
      <c r="F9"/>
      <c r="G9"/>
      <c r="H9"/>
      <c r="I9"/>
      <c r="J9"/>
      <c r="L9" s="30"/>
      <c r="O9" s="65"/>
      <c r="P9" s="65"/>
      <c r="Q9" s="65"/>
      <c r="R9" s="65"/>
      <c r="S9" s="65"/>
      <c r="T9" s="65"/>
      <c r="U9" s="65"/>
    </row>
    <row r="10" spans="2:21" ht="15" customHeight="1" x14ac:dyDescent="0.25">
      <c r="C10" s="139" t="s">
        <v>177</v>
      </c>
      <c r="D10" s="143">
        <v>2022</v>
      </c>
      <c r="F10"/>
      <c r="G10"/>
      <c r="H10"/>
      <c r="I10"/>
      <c r="J10"/>
      <c r="L10" s="30"/>
      <c r="O10" s="65"/>
      <c r="P10" s="65"/>
      <c r="Q10" s="65"/>
      <c r="R10" s="65"/>
      <c r="S10" s="65"/>
      <c r="T10" s="65"/>
      <c r="U10" s="65"/>
    </row>
    <row r="11" spans="2:21" ht="15" customHeight="1" x14ac:dyDescent="0.25">
      <c r="C11" s="139" t="s">
        <v>47</v>
      </c>
      <c r="D11" s="143">
        <v>2024</v>
      </c>
      <c r="F11"/>
      <c r="G11"/>
      <c r="H11"/>
      <c r="I11"/>
      <c r="J11"/>
      <c r="K11" s="140"/>
      <c r="L11" s="140"/>
      <c r="M11" s="140"/>
      <c r="N11" s="141"/>
      <c r="O11" s="140"/>
      <c r="P11" s="140"/>
      <c r="Q11" s="140"/>
      <c r="R11" s="140"/>
      <c r="S11" s="140"/>
      <c r="T11" s="140"/>
    </row>
    <row r="12" spans="2:21" ht="15" customHeight="1" x14ac:dyDescent="0.25">
      <c r="C12" s="139" t="s">
        <v>174</v>
      </c>
      <c r="D12" s="183">
        <f>'Traffic Volume and Route Data'!C12</f>
        <v>2040</v>
      </c>
      <c r="F12"/>
      <c r="G12"/>
      <c r="H12"/>
      <c r="I12"/>
      <c r="J12"/>
      <c r="K12" s="140"/>
      <c r="L12" s="140"/>
      <c r="M12" s="140"/>
      <c r="N12" s="141"/>
      <c r="O12" s="140"/>
      <c r="P12" s="140"/>
      <c r="Q12" s="140"/>
      <c r="R12" s="140"/>
      <c r="S12" s="140"/>
      <c r="T12" s="140"/>
    </row>
    <row r="13" spans="2:21" ht="15" customHeight="1" x14ac:dyDescent="0.25">
      <c r="B13" s="140"/>
      <c r="C13" s="139" t="s">
        <v>18</v>
      </c>
      <c r="D13" s="143">
        <v>20</v>
      </c>
      <c r="E13" s="140"/>
      <c r="F13"/>
      <c r="G13"/>
      <c r="H13"/>
      <c r="I13"/>
      <c r="J13"/>
      <c r="O13" s="65"/>
      <c r="P13" s="65"/>
      <c r="Q13" s="65"/>
      <c r="R13" s="65"/>
      <c r="S13" s="65"/>
      <c r="T13" s="65"/>
      <c r="U13" s="65"/>
    </row>
    <row r="14" spans="2:21" s="66" customFormat="1" ht="15" customHeight="1" x14ac:dyDescent="0.25">
      <c r="B14" s="65"/>
      <c r="C14" s="139" t="s">
        <v>197</v>
      </c>
      <c r="D14" s="183">
        <f>D45+D46</f>
        <v>2029</v>
      </c>
      <c r="E14" s="140"/>
      <c r="F14"/>
      <c r="G14"/>
      <c r="H14"/>
      <c r="I14"/>
      <c r="J14"/>
    </row>
    <row r="15" spans="2:21" ht="14.25" customHeight="1" x14ac:dyDescent="0.25">
      <c r="B15" s="66"/>
      <c r="C15" s="139" t="s">
        <v>195</v>
      </c>
      <c r="D15" s="183">
        <f>D14+D13-1</f>
        <v>2048</v>
      </c>
      <c r="E15" s="66"/>
      <c r="F15"/>
      <c r="G15"/>
      <c r="H15"/>
      <c r="I15"/>
      <c r="J15"/>
      <c r="O15" s="65"/>
      <c r="P15" s="65"/>
      <c r="Q15" s="65"/>
      <c r="R15" s="65"/>
      <c r="S15" s="65"/>
      <c r="T15" s="65"/>
      <c r="U15" s="65"/>
    </row>
    <row r="16" spans="2:21" ht="15" customHeight="1" x14ac:dyDescent="0.25">
      <c r="C16" s="66"/>
      <c r="D16" s="66"/>
      <c r="E16" s="140"/>
      <c r="F16"/>
      <c r="G16"/>
      <c r="H16"/>
      <c r="I16"/>
      <c r="J16"/>
      <c r="O16" s="65"/>
      <c r="P16" s="65"/>
      <c r="Q16" s="65"/>
      <c r="R16" s="65"/>
      <c r="S16" s="65"/>
      <c r="T16" s="65"/>
      <c r="U16" s="65"/>
    </row>
    <row r="17" spans="3:22" ht="15" customHeight="1" x14ac:dyDescent="0.25">
      <c r="C17" s="1" t="s">
        <v>147</v>
      </c>
      <c r="E17" s="140"/>
      <c r="F17"/>
      <c r="G17"/>
      <c r="H17"/>
      <c r="I17"/>
      <c r="J17"/>
      <c r="M17" s="144"/>
      <c r="N17" s="144"/>
      <c r="O17" s="65"/>
      <c r="P17" s="65"/>
      <c r="Q17" s="65"/>
      <c r="R17" s="65"/>
      <c r="S17" s="65"/>
      <c r="T17" s="65"/>
      <c r="U17" s="65"/>
    </row>
    <row r="18" spans="3:22" ht="15" customHeight="1" x14ac:dyDescent="0.25">
      <c r="C18" s="139" t="s">
        <v>91</v>
      </c>
      <c r="D18" s="184">
        <f>'Traffic Volume and Route Data'!$D$17</f>
        <v>0.05</v>
      </c>
      <c r="E18" s="140"/>
      <c r="F18"/>
      <c r="G18"/>
      <c r="H18"/>
      <c r="I18"/>
      <c r="J18"/>
      <c r="O18" s="65"/>
      <c r="P18" s="65"/>
      <c r="Q18" s="65"/>
      <c r="R18" s="65"/>
      <c r="S18" s="65"/>
      <c r="T18" s="65"/>
      <c r="U18" s="65"/>
    </row>
    <row r="19" spans="3:22" ht="15" customHeight="1" x14ac:dyDescent="0.25">
      <c r="C19" s="139" t="s">
        <v>90</v>
      </c>
      <c r="D19" s="184">
        <f>1-$D$18</f>
        <v>0.95</v>
      </c>
      <c r="E19" s="140"/>
      <c r="F19"/>
      <c r="G19"/>
      <c r="H19"/>
      <c r="I19"/>
      <c r="J19"/>
      <c r="O19" s="65"/>
      <c r="P19" s="65"/>
      <c r="Q19" s="65"/>
      <c r="R19" s="65"/>
      <c r="S19" s="65"/>
      <c r="T19" s="65"/>
      <c r="U19" s="65"/>
      <c r="V19" s="140"/>
    </row>
    <row r="20" spans="3:22" ht="15" customHeight="1" x14ac:dyDescent="0.25">
      <c r="C20" s="139" t="s">
        <v>92</v>
      </c>
      <c r="D20" s="143">
        <v>1.67</v>
      </c>
      <c r="E20" s="140"/>
      <c r="F20"/>
      <c r="G20"/>
      <c r="H20"/>
      <c r="I20"/>
      <c r="J20"/>
      <c r="O20" s="65"/>
      <c r="P20" s="65"/>
      <c r="Q20" s="65"/>
      <c r="R20" s="65"/>
      <c r="S20" s="65"/>
      <c r="T20" s="65"/>
      <c r="U20" s="65"/>
    </row>
    <row r="21" spans="3:22" ht="15" customHeight="1" x14ac:dyDescent="0.25">
      <c r="C21" s="139" t="s">
        <v>93</v>
      </c>
      <c r="D21" s="182">
        <v>1</v>
      </c>
      <c r="F21"/>
      <c r="G21"/>
      <c r="H21"/>
      <c r="I21"/>
      <c r="J21"/>
      <c r="O21" s="65"/>
      <c r="P21" s="65"/>
      <c r="Q21" s="65"/>
      <c r="R21" s="65"/>
      <c r="S21" s="65"/>
      <c r="T21" s="65"/>
      <c r="U21" s="65"/>
    </row>
    <row r="22" spans="3:22" ht="15" customHeight="1" x14ac:dyDescent="0.25">
      <c r="C22" s="140"/>
      <c r="D22" s="140"/>
      <c r="E22" s="140"/>
      <c r="F22"/>
      <c r="G22"/>
      <c r="H22"/>
      <c r="I22"/>
      <c r="J22"/>
      <c r="O22" s="65"/>
      <c r="P22" s="65"/>
      <c r="Q22" s="65"/>
      <c r="R22" s="65"/>
      <c r="S22" s="65"/>
      <c r="T22" s="65"/>
      <c r="U22" s="65"/>
    </row>
    <row r="23" spans="3:22" ht="15" customHeight="1" x14ac:dyDescent="0.25">
      <c r="C23" s="1" t="s">
        <v>148</v>
      </c>
      <c r="D23" s="145"/>
      <c r="E23" s="140"/>
      <c r="F23"/>
      <c r="G23"/>
      <c r="H23"/>
      <c r="I23"/>
      <c r="J23"/>
      <c r="O23" s="65"/>
      <c r="P23" s="65"/>
      <c r="Q23" s="65"/>
      <c r="R23" s="65"/>
      <c r="S23" s="65"/>
      <c r="T23" s="65"/>
      <c r="U23" s="65"/>
    </row>
    <row r="24" spans="3:22" ht="15" customHeight="1" x14ac:dyDescent="0.25">
      <c r="C24" s="139" t="s">
        <v>152</v>
      </c>
      <c r="D24" s="229">
        <v>3.1E-2</v>
      </c>
      <c r="E24" s="140"/>
      <c r="F24"/>
      <c r="G24"/>
      <c r="H24"/>
      <c r="I24"/>
      <c r="J24"/>
      <c r="O24" s="65"/>
      <c r="P24" s="65"/>
      <c r="Q24" s="65"/>
      <c r="R24" s="65"/>
      <c r="S24" s="65"/>
      <c r="T24" s="65"/>
      <c r="U24" s="65"/>
    </row>
    <row r="25" spans="3:22" ht="15" customHeight="1" x14ac:dyDescent="0.25">
      <c r="C25" s="139" t="s">
        <v>159</v>
      </c>
      <c r="D25" s="228">
        <v>0.02</v>
      </c>
      <c r="E25" s="140"/>
      <c r="I25" s="140"/>
      <c r="O25" s="65"/>
      <c r="P25" s="65"/>
      <c r="Q25" s="65"/>
      <c r="R25" s="65"/>
      <c r="S25" s="65"/>
      <c r="T25" s="65"/>
      <c r="U25" s="65"/>
    </row>
    <row r="26" spans="3:22" ht="15" customHeight="1" x14ac:dyDescent="0.25">
      <c r="C26" s="139" t="s">
        <v>858</v>
      </c>
      <c r="D26" s="330">
        <v>250</v>
      </c>
      <c r="E26" s="140"/>
      <c r="I26" s="140"/>
      <c r="O26" s="65"/>
      <c r="P26" s="65"/>
      <c r="Q26" s="65"/>
      <c r="R26" s="65"/>
      <c r="S26" s="65"/>
      <c r="T26" s="65"/>
      <c r="U26" s="65"/>
    </row>
    <row r="27" spans="3:22" ht="15" customHeight="1" x14ac:dyDescent="0.25">
      <c r="C27" s="139" t="s">
        <v>94</v>
      </c>
      <c r="D27" s="143">
        <v>365</v>
      </c>
      <c r="O27" s="65"/>
      <c r="P27" s="65"/>
      <c r="Q27" s="65"/>
      <c r="R27" s="65"/>
      <c r="S27" s="65"/>
      <c r="T27" s="65"/>
      <c r="U27" s="65"/>
    </row>
    <row r="28" spans="3:22" ht="15" customHeight="1" x14ac:dyDescent="0.25">
      <c r="C28" s="139" t="s">
        <v>160</v>
      </c>
      <c r="D28" s="185">
        <v>19.600000000000001</v>
      </c>
      <c r="E28" s="65" t="s">
        <v>166</v>
      </c>
      <c r="O28" s="65"/>
      <c r="P28" s="65"/>
      <c r="Q28" s="65"/>
      <c r="R28" s="65"/>
      <c r="S28" s="65"/>
      <c r="T28" s="65"/>
      <c r="U28" s="65"/>
    </row>
    <row r="29" spans="3:22" ht="15" customHeight="1" x14ac:dyDescent="0.25">
      <c r="C29" s="139" t="s">
        <v>161</v>
      </c>
      <c r="D29" s="185">
        <v>25.1</v>
      </c>
      <c r="E29" s="65" t="s">
        <v>166</v>
      </c>
      <c r="O29" s="65"/>
      <c r="P29" s="65"/>
      <c r="Q29" s="65"/>
      <c r="R29" s="65"/>
      <c r="S29" s="65"/>
      <c r="T29" s="65"/>
      <c r="U29" s="65"/>
    </row>
    <row r="30" spans="3:22" ht="15" customHeight="1" x14ac:dyDescent="0.25">
      <c r="C30" s="139" t="s">
        <v>95</v>
      </c>
      <c r="D30" s="185">
        <v>33.5</v>
      </c>
      <c r="E30" s="65" t="s">
        <v>166</v>
      </c>
      <c r="O30" s="65"/>
      <c r="P30" s="65"/>
      <c r="Q30" s="65"/>
      <c r="R30" s="65"/>
      <c r="S30" s="65"/>
      <c r="T30" s="65"/>
      <c r="U30" s="65"/>
    </row>
    <row r="31" spans="3:22" ht="15" customHeight="1" x14ac:dyDescent="0.25">
      <c r="C31" s="139" t="s">
        <v>165</v>
      </c>
      <c r="D31" s="231">
        <f>D28*D19*D20+D30*D18*D21</f>
        <v>32.770400000000002</v>
      </c>
      <c r="E31" s="65" t="s">
        <v>167</v>
      </c>
      <c r="O31" s="65"/>
      <c r="P31" s="65"/>
      <c r="Q31" s="65"/>
      <c r="R31" s="65"/>
      <c r="S31" s="65"/>
      <c r="T31" s="65"/>
      <c r="U31" s="65"/>
    </row>
    <row r="32" spans="3:22" ht="15" customHeight="1" x14ac:dyDescent="0.25">
      <c r="C32" s="139" t="s">
        <v>96</v>
      </c>
      <c r="D32" s="185">
        <v>0.52</v>
      </c>
      <c r="E32" s="65" t="s">
        <v>168</v>
      </c>
      <c r="O32" s="65"/>
      <c r="P32" s="65"/>
      <c r="Q32" s="65"/>
      <c r="R32" s="65"/>
      <c r="S32" s="65"/>
      <c r="T32" s="65"/>
      <c r="U32" s="65"/>
    </row>
    <row r="33" spans="3:21" ht="15" customHeight="1" x14ac:dyDescent="0.25">
      <c r="C33" s="139" t="s">
        <v>97</v>
      </c>
      <c r="D33" s="185">
        <v>1.32</v>
      </c>
      <c r="E33" s="140" t="s">
        <v>169</v>
      </c>
      <c r="I33" s="140"/>
      <c r="O33" s="65"/>
      <c r="P33" s="65"/>
      <c r="Q33" s="65"/>
      <c r="R33" s="65"/>
      <c r="S33" s="65"/>
      <c r="T33" s="65"/>
      <c r="U33" s="65"/>
    </row>
    <row r="34" spans="3:21" ht="15" customHeight="1" x14ac:dyDescent="0.25">
      <c r="C34" s="139" t="s">
        <v>170</v>
      </c>
      <c r="D34" s="231">
        <f>D33*D18+D19*D32</f>
        <v>0.56000000000000005</v>
      </c>
      <c r="E34" s="65" t="s">
        <v>167</v>
      </c>
      <c r="I34" s="140"/>
      <c r="O34" s="65"/>
      <c r="P34" s="65"/>
      <c r="Q34" s="65"/>
      <c r="R34" s="65"/>
      <c r="S34" s="65"/>
      <c r="T34" s="65"/>
      <c r="U34" s="65"/>
    </row>
    <row r="35" spans="3:21" ht="15" customHeight="1" x14ac:dyDescent="0.25">
      <c r="O35" s="65"/>
      <c r="P35" s="65"/>
      <c r="Q35" s="65"/>
      <c r="R35" s="65"/>
      <c r="S35" s="65"/>
      <c r="T35" s="65"/>
      <c r="U35" s="65"/>
    </row>
    <row r="36" spans="3:21" ht="15" customHeight="1" x14ac:dyDescent="0.25">
      <c r="C36" s="1" t="s">
        <v>786</v>
      </c>
      <c r="D36" s="146"/>
      <c r="E36" s="140"/>
      <c r="O36" s="65"/>
      <c r="P36" s="65"/>
      <c r="Q36" s="65"/>
      <c r="R36" s="65"/>
      <c r="S36" s="65"/>
      <c r="T36" s="65"/>
      <c r="U36" s="65"/>
    </row>
    <row r="37" spans="3:21" ht="15" customHeight="1" x14ac:dyDescent="0.25">
      <c r="C37" s="139" t="s">
        <v>22</v>
      </c>
      <c r="D37" s="230" t="s">
        <v>35</v>
      </c>
      <c r="E37" s="140"/>
      <c r="O37" s="65"/>
      <c r="P37" s="65"/>
      <c r="Q37" s="65"/>
      <c r="R37" s="65"/>
      <c r="S37" s="65"/>
      <c r="T37" s="65"/>
      <c r="U37" s="65"/>
    </row>
    <row r="38" spans="3:21" ht="15" customHeight="1" x14ac:dyDescent="0.25">
      <c r="C38" s="139">
        <f>'Traffic Volume and Route Data'!C11</f>
        <v>2019</v>
      </c>
      <c r="D38" s="253">
        <f>'Traffic Volume and Route Data'!D11</f>
        <v>5500</v>
      </c>
      <c r="E38" s="140"/>
      <c r="O38" s="65"/>
      <c r="P38" s="65"/>
      <c r="Q38" s="65"/>
      <c r="R38" s="65"/>
      <c r="S38" s="65"/>
      <c r="T38" s="65"/>
      <c r="U38" s="65"/>
    </row>
    <row r="39" spans="3:21" ht="15" customHeight="1" x14ac:dyDescent="0.25">
      <c r="C39" s="139">
        <f>'Traffic Volume and Route Data'!C12</f>
        <v>2040</v>
      </c>
      <c r="D39" s="253">
        <f>'Traffic Volume and Route Data'!D12</f>
        <v>6400</v>
      </c>
      <c r="E39" s="140"/>
      <c r="O39" s="65"/>
      <c r="P39" s="65"/>
      <c r="Q39" s="65"/>
      <c r="R39" s="65"/>
      <c r="S39" s="65"/>
      <c r="T39" s="65"/>
      <c r="U39" s="65"/>
    </row>
    <row r="40" spans="3:21" ht="15" customHeight="1" x14ac:dyDescent="0.25">
      <c r="C40" s="139" t="s">
        <v>49</v>
      </c>
      <c r="D40" s="205">
        <f>(D39-D38)/D38/(C39-C38)</f>
        <v>7.7922077922077922E-3</v>
      </c>
      <c r="E40" s="140"/>
      <c r="O40" s="65"/>
      <c r="P40" s="65"/>
      <c r="Q40" s="65"/>
      <c r="R40" s="65"/>
      <c r="S40" s="65"/>
      <c r="T40" s="65"/>
      <c r="U40" s="65"/>
    </row>
    <row r="41" spans="3:21" ht="15" customHeight="1" x14ac:dyDescent="0.25">
      <c r="C41" s="147"/>
      <c r="O41" s="65"/>
      <c r="P41" s="65"/>
      <c r="Q41" s="65"/>
      <c r="R41" s="65"/>
      <c r="S41" s="65"/>
      <c r="T41" s="65"/>
      <c r="U41" s="65"/>
    </row>
    <row r="42" spans="3:21" ht="15" customHeight="1" x14ac:dyDescent="0.25">
      <c r="C42" s="1" t="s">
        <v>787</v>
      </c>
      <c r="O42" s="65"/>
      <c r="P42" s="65"/>
      <c r="Q42" s="65"/>
      <c r="R42" s="65"/>
      <c r="S42" s="65"/>
      <c r="T42" s="65"/>
      <c r="U42" s="65"/>
    </row>
    <row r="43" spans="3:21" ht="15" customHeight="1" x14ac:dyDescent="0.25">
      <c r="C43" s="139" t="s">
        <v>164</v>
      </c>
      <c r="D43" s="256">
        <f>'Traffic Volume and Route Data'!D21</f>
        <v>6.8</v>
      </c>
      <c r="O43" s="65"/>
      <c r="P43" s="65"/>
      <c r="Q43" s="65"/>
      <c r="R43" s="65"/>
      <c r="S43" s="65"/>
      <c r="T43" s="65"/>
      <c r="U43" s="65"/>
    </row>
    <row r="44" spans="3:21" ht="15" customHeight="1" x14ac:dyDescent="0.25">
      <c r="C44" s="139" t="s">
        <v>749</v>
      </c>
      <c r="D44" s="143">
        <v>2040</v>
      </c>
      <c r="O44" s="65"/>
      <c r="P44" s="65"/>
      <c r="Q44" s="65"/>
      <c r="R44" s="65"/>
      <c r="S44" s="65"/>
      <c r="T44" s="65"/>
      <c r="U44" s="65"/>
    </row>
    <row r="45" spans="3:21" ht="15" customHeight="1" x14ac:dyDescent="0.25">
      <c r="C45" s="139" t="s">
        <v>193</v>
      </c>
      <c r="D45" s="143">
        <v>2027</v>
      </c>
      <c r="O45" s="65"/>
      <c r="P45" s="65"/>
      <c r="Q45" s="65"/>
      <c r="R45" s="65"/>
      <c r="S45" s="65"/>
      <c r="T45" s="65"/>
      <c r="U45" s="65"/>
    </row>
    <row r="46" spans="3:21" ht="15" customHeight="1" x14ac:dyDescent="0.25">
      <c r="C46" s="139" t="s">
        <v>194</v>
      </c>
      <c r="D46" s="143">
        <v>2</v>
      </c>
      <c r="O46" s="65"/>
      <c r="P46" s="65"/>
      <c r="Q46" s="65"/>
      <c r="R46" s="65"/>
      <c r="S46" s="65"/>
      <c r="T46" s="65"/>
      <c r="U46" s="65"/>
    </row>
    <row r="47" spans="3:21" ht="15" customHeight="1" x14ac:dyDescent="0.25">
      <c r="C47" s="139" t="s">
        <v>882</v>
      </c>
      <c r="D47" s="143">
        <v>4</v>
      </c>
      <c r="O47" s="65"/>
      <c r="P47" s="65"/>
      <c r="Q47" s="65"/>
      <c r="R47" s="65"/>
      <c r="S47" s="65"/>
      <c r="T47" s="65"/>
      <c r="U47" s="65"/>
    </row>
    <row r="48" spans="3:21" ht="15" customHeight="1" x14ac:dyDescent="0.25">
      <c r="C48" s="139" t="s">
        <v>883</v>
      </c>
      <c r="D48" s="143">
        <v>8</v>
      </c>
      <c r="O48" s="65"/>
      <c r="P48" s="65"/>
      <c r="Q48" s="65"/>
      <c r="R48" s="65"/>
      <c r="S48" s="65"/>
      <c r="T48" s="65"/>
      <c r="U48" s="65"/>
    </row>
    <row r="49" spans="2:21" ht="15" customHeight="1" x14ac:dyDescent="0.25">
      <c r="C49" s="147"/>
      <c r="O49" s="65"/>
      <c r="P49" s="65"/>
      <c r="Q49" s="65"/>
      <c r="R49" s="65"/>
      <c r="S49" s="65"/>
      <c r="T49" s="65"/>
      <c r="U49" s="65"/>
    </row>
    <row r="50" spans="2:21" ht="15" customHeight="1" x14ac:dyDescent="0.25">
      <c r="B50" s="148" t="s">
        <v>2</v>
      </c>
      <c r="C50" s="148"/>
      <c r="D50" s="148"/>
      <c r="O50" s="65"/>
      <c r="P50" s="65"/>
      <c r="Q50" s="65"/>
      <c r="R50" s="65"/>
      <c r="S50" s="65"/>
      <c r="T50" s="65"/>
      <c r="U50" s="65"/>
    </row>
    <row r="51" spans="2:21" ht="15" customHeight="1" x14ac:dyDescent="0.25">
      <c r="B51" s="9" t="s">
        <v>14</v>
      </c>
      <c r="C51" s="406" t="s">
        <v>162</v>
      </c>
      <c r="D51" s="406"/>
      <c r="E51" s="406"/>
      <c r="F51" s="406"/>
      <c r="G51" s="406"/>
      <c r="H51" s="35"/>
      <c r="I51" s="35"/>
      <c r="J51" s="35"/>
      <c r="O51" s="65"/>
      <c r="P51" s="65"/>
      <c r="Q51" s="65"/>
      <c r="R51" s="65"/>
      <c r="S51" s="65"/>
      <c r="T51" s="65"/>
      <c r="U51" s="65"/>
    </row>
    <row r="52" spans="2:21" ht="15" customHeight="1" x14ac:dyDescent="0.25">
      <c r="B52" s="9"/>
      <c r="C52" s="406"/>
      <c r="D52" s="406"/>
      <c r="E52" s="406"/>
      <c r="F52" s="406"/>
      <c r="G52" s="406"/>
      <c r="H52" s="35"/>
      <c r="I52" s="35"/>
      <c r="J52" s="35"/>
      <c r="O52" s="65"/>
      <c r="P52" s="65"/>
      <c r="Q52" s="65"/>
      <c r="R52" s="65"/>
      <c r="S52" s="65"/>
      <c r="T52" s="65"/>
      <c r="U52" s="65"/>
    </row>
    <row r="53" spans="2:21" ht="15" customHeight="1" x14ac:dyDescent="0.25">
      <c r="B53" s="206"/>
      <c r="C53" s="35"/>
      <c r="D53" s="35"/>
      <c r="E53" s="35"/>
      <c r="F53" s="35"/>
      <c r="G53" s="35"/>
      <c r="H53" s="35"/>
      <c r="I53" s="35"/>
      <c r="J53" s="35"/>
      <c r="O53" s="65"/>
      <c r="P53" s="65"/>
      <c r="Q53" s="65"/>
      <c r="R53" s="65"/>
      <c r="S53" s="65"/>
      <c r="T53" s="65"/>
      <c r="U53" s="65"/>
    </row>
    <row r="54" spans="2:21" ht="15" customHeight="1" x14ac:dyDescent="0.25">
      <c r="B54" s="9" t="s">
        <v>15</v>
      </c>
      <c r="C54" s="406" t="s">
        <v>137</v>
      </c>
      <c r="D54" s="406"/>
      <c r="E54" s="406"/>
      <c r="F54" s="406"/>
      <c r="G54" s="406"/>
      <c r="H54" s="35"/>
      <c r="I54" s="35"/>
      <c r="J54" s="35"/>
      <c r="O54" s="65"/>
      <c r="P54" s="65"/>
      <c r="Q54" s="65"/>
      <c r="R54" s="65"/>
      <c r="S54" s="65"/>
      <c r="T54" s="65"/>
      <c r="U54" s="65"/>
    </row>
    <row r="55" spans="2:21" ht="15" customHeight="1" x14ac:dyDescent="0.25">
      <c r="B55" s="9"/>
      <c r="C55" s="35"/>
      <c r="D55" s="35"/>
      <c r="E55" s="35"/>
      <c r="F55" s="35"/>
      <c r="G55" s="35"/>
      <c r="H55" s="35"/>
      <c r="I55" s="35"/>
      <c r="J55" s="35"/>
      <c r="O55" s="65"/>
      <c r="P55" s="65"/>
      <c r="Q55" s="65"/>
      <c r="R55" s="65"/>
      <c r="S55" s="65"/>
      <c r="T55" s="65"/>
      <c r="U55" s="65"/>
    </row>
    <row r="56" spans="2:21" ht="15" customHeight="1" x14ac:dyDescent="0.25">
      <c r="B56" s="10" t="s">
        <v>16</v>
      </c>
      <c r="C56" s="406" t="s">
        <v>884</v>
      </c>
      <c r="D56" s="406"/>
      <c r="E56" s="406"/>
      <c r="F56" s="406"/>
      <c r="G56" s="406"/>
      <c r="H56" s="35"/>
      <c r="I56" s="35"/>
      <c r="J56" s="35"/>
      <c r="O56" s="65"/>
      <c r="P56" s="65"/>
      <c r="Q56" s="65"/>
      <c r="R56" s="65"/>
      <c r="S56" s="65"/>
      <c r="T56" s="65"/>
      <c r="U56" s="65"/>
    </row>
    <row r="57" spans="2:21" ht="15" customHeight="1" x14ac:dyDescent="0.25">
      <c r="C57" s="406"/>
      <c r="D57" s="406"/>
      <c r="E57" s="406"/>
      <c r="F57" s="406"/>
      <c r="G57" s="406"/>
      <c r="H57" s="35"/>
      <c r="I57" s="35"/>
      <c r="J57" s="35"/>
      <c r="O57" s="65"/>
      <c r="P57" s="65"/>
      <c r="Q57" s="65"/>
      <c r="R57" s="65"/>
      <c r="S57" s="65"/>
      <c r="T57" s="65"/>
      <c r="U57" s="65"/>
    </row>
    <row r="58" spans="2:21" ht="15" customHeight="1" x14ac:dyDescent="0.25">
      <c r="C58" s="406"/>
      <c r="D58" s="406"/>
      <c r="E58" s="406"/>
      <c r="F58" s="406"/>
      <c r="G58" s="406"/>
      <c r="H58" s="35"/>
      <c r="I58" s="35"/>
      <c r="J58" s="35"/>
      <c r="O58" s="65"/>
      <c r="P58" s="65"/>
      <c r="Q58" s="65"/>
      <c r="R58" s="65"/>
      <c r="S58" s="65"/>
      <c r="T58" s="65"/>
      <c r="U58" s="65"/>
    </row>
    <row r="59" spans="2:21" ht="15" customHeight="1" x14ac:dyDescent="0.25">
      <c r="C59" s="35"/>
      <c r="D59" s="35"/>
      <c r="E59" s="35"/>
      <c r="F59" s="35"/>
      <c r="G59" s="35"/>
      <c r="H59" s="35"/>
      <c r="I59" s="35"/>
      <c r="J59" s="35"/>
      <c r="O59" s="65"/>
      <c r="P59" s="65"/>
      <c r="Q59" s="65"/>
      <c r="R59" s="65"/>
      <c r="S59" s="65"/>
      <c r="T59" s="65"/>
      <c r="U59" s="65"/>
    </row>
    <row r="60" spans="2:21" ht="15" customHeight="1" x14ac:dyDescent="0.25">
      <c r="B60" s="9" t="s">
        <v>98</v>
      </c>
      <c r="C60" s="406" t="s">
        <v>885</v>
      </c>
      <c r="D60" s="406"/>
      <c r="E60" s="406"/>
      <c r="F60" s="406"/>
      <c r="G60" s="406"/>
      <c r="H60" s="35"/>
      <c r="I60" s="35"/>
      <c r="J60" s="35"/>
      <c r="O60" s="65"/>
      <c r="P60" s="65"/>
      <c r="Q60" s="65"/>
      <c r="R60" s="65"/>
      <c r="S60" s="65"/>
      <c r="T60" s="65"/>
      <c r="U60" s="65"/>
    </row>
    <row r="61" spans="2:21" ht="15" customHeight="1" x14ac:dyDescent="0.25">
      <c r="B61" s="9"/>
      <c r="C61" s="406"/>
      <c r="D61" s="406"/>
      <c r="E61" s="406"/>
      <c r="F61" s="406"/>
      <c r="G61" s="406"/>
      <c r="H61" s="35"/>
      <c r="I61" s="35"/>
      <c r="J61" s="35"/>
      <c r="O61" s="65"/>
      <c r="P61" s="65"/>
      <c r="Q61" s="65"/>
      <c r="R61" s="65"/>
      <c r="S61" s="65"/>
      <c r="T61" s="65"/>
      <c r="U61" s="65"/>
    </row>
    <row r="62" spans="2:21" ht="15" customHeight="1" x14ac:dyDescent="0.25">
      <c r="B62" s="10"/>
      <c r="C62" s="35"/>
      <c r="D62" s="35"/>
      <c r="E62" s="35"/>
      <c r="F62" s="35"/>
      <c r="G62" s="35"/>
      <c r="H62" s="35"/>
      <c r="I62" s="35"/>
      <c r="J62" s="35"/>
      <c r="O62" s="65"/>
      <c r="P62" s="65"/>
      <c r="Q62" s="65"/>
      <c r="R62" s="65"/>
      <c r="S62" s="65"/>
      <c r="T62" s="65"/>
      <c r="U62" s="65"/>
    </row>
    <row r="63" spans="2:21" ht="15" customHeight="1" x14ac:dyDescent="0.25">
      <c r="B63" s="10" t="s">
        <v>17</v>
      </c>
      <c r="C63" s="406" t="s">
        <v>886</v>
      </c>
      <c r="D63" s="406"/>
      <c r="E63" s="406"/>
      <c r="F63" s="406"/>
      <c r="G63" s="406"/>
      <c r="H63" s="35"/>
      <c r="I63" s="35"/>
      <c r="J63" s="35"/>
    </row>
    <row r="64" spans="2:21" ht="15" customHeight="1" x14ac:dyDescent="0.25">
      <c r="B64" s="10"/>
      <c r="C64" s="406"/>
      <c r="D64" s="406"/>
      <c r="E64" s="406"/>
      <c r="F64" s="406"/>
      <c r="G64" s="406"/>
      <c r="H64" s="35"/>
      <c r="I64" s="35"/>
      <c r="J64" s="35"/>
    </row>
    <row r="65" spans="2:21" ht="15" customHeight="1" x14ac:dyDescent="0.25">
      <c r="C65" s="35"/>
      <c r="D65" s="35"/>
      <c r="E65" s="35"/>
      <c r="F65" s="35"/>
      <c r="G65" s="35"/>
      <c r="H65" s="35"/>
      <c r="I65" s="35"/>
      <c r="J65" s="35"/>
      <c r="O65" s="65"/>
      <c r="P65" s="65"/>
      <c r="Q65" s="65"/>
      <c r="R65" s="65"/>
      <c r="S65" s="65"/>
      <c r="T65" s="65"/>
      <c r="U65" s="65"/>
    </row>
    <row r="66" spans="2:21" ht="15" customHeight="1" x14ac:dyDescent="0.25">
      <c r="B66" s="10" t="s">
        <v>138</v>
      </c>
      <c r="C66" s="406" t="s">
        <v>163</v>
      </c>
      <c r="D66" s="406"/>
      <c r="E66" s="406"/>
      <c r="F66" s="406"/>
      <c r="G66" s="406"/>
      <c r="H66" s="35"/>
      <c r="I66" s="35"/>
      <c r="J66" s="35"/>
      <c r="O66" s="65"/>
      <c r="P66" s="65"/>
      <c r="Q66" s="65"/>
      <c r="R66" s="65"/>
      <c r="S66" s="65"/>
      <c r="T66" s="65"/>
      <c r="U66" s="65"/>
    </row>
    <row r="67" spans="2:21" ht="15" customHeight="1" x14ac:dyDescent="0.25">
      <c r="B67" s="10"/>
      <c r="C67" s="406"/>
      <c r="D67" s="406"/>
      <c r="E67" s="406"/>
      <c r="F67" s="406"/>
      <c r="G67" s="406"/>
      <c r="H67" s="35"/>
      <c r="I67" s="35"/>
      <c r="J67" s="35"/>
      <c r="O67" s="65"/>
      <c r="P67" s="65"/>
      <c r="Q67" s="65"/>
      <c r="R67" s="65"/>
      <c r="S67" s="65"/>
      <c r="T67" s="65"/>
      <c r="U67" s="65"/>
    </row>
    <row r="68" spans="2:21" ht="15" customHeight="1" x14ac:dyDescent="0.25">
      <c r="B68" s="10"/>
      <c r="C68" s="406"/>
      <c r="D68" s="406"/>
      <c r="E68" s="406"/>
      <c r="F68" s="406"/>
      <c r="G68" s="406"/>
      <c r="H68" s="35"/>
      <c r="I68" s="35"/>
      <c r="J68" s="35"/>
      <c r="O68" s="65"/>
      <c r="P68" s="65"/>
      <c r="Q68" s="65"/>
      <c r="R68" s="65"/>
      <c r="S68" s="65"/>
      <c r="T68" s="65"/>
      <c r="U68" s="65"/>
    </row>
    <row r="69" spans="2:21" ht="15" customHeight="1" x14ac:dyDescent="0.25">
      <c r="B69" s="10"/>
      <c r="C69" s="35"/>
      <c r="D69" s="35"/>
      <c r="E69" s="35"/>
      <c r="F69" s="35"/>
      <c r="G69" s="35"/>
      <c r="H69" s="35"/>
      <c r="I69" s="35"/>
      <c r="J69" s="35"/>
      <c r="O69" s="65"/>
      <c r="P69" s="65"/>
      <c r="Q69" s="65"/>
      <c r="R69" s="65"/>
      <c r="S69" s="65"/>
      <c r="T69" s="65"/>
      <c r="U69" s="65"/>
    </row>
    <row r="70" spans="2:21" ht="15" customHeight="1" x14ac:dyDescent="0.25">
      <c r="C70" s="35"/>
      <c r="D70" s="35"/>
      <c r="E70" s="35"/>
      <c r="F70" s="35"/>
      <c r="G70" s="35"/>
      <c r="O70" s="65"/>
      <c r="P70" s="65"/>
      <c r="Q70" s="65"/>
      <c r="R70" s="65"/>
      <c r="S70" s="65"/>
      <c r="T70" s="65"/>
      <c r="U70" s="65"/>
    </row>
    <row r="71" spans="2:21" ht="15" customHeight="1" x14ac:dyDescent="0.25">
      <c r="L71" s="30"/>
      <c r="O71" s="65"/>
      <c r="P71" s="65"/>
      <c r="Q71" s="65"/>
      <c r="R71" s="65"/>
      <c r="S71" s="65"/>
      <c r="T71" s="65"/>
      <c r="U71" s="65"/>
    </row>
    <row r="72" spans="2:21" ht="15" customHeight="1" x14ac:dyDescent="0.25">
      <c r="L72" s="30"/>
      <c r="O72" s="65"/>
      <c r="P72" s="65"/>
      <c r="Q72" s="65"/>
      <c r="R72" s="65"/>
      <c r="S72" s="65"/>
      <c r="T72" s="65"/>
      <c r="U72" s="65"/>
    </row>
    <row r="73" spans="2:21" ht="15" customHeight="1" x14ac:dyDescent="0.25">
      <c r="K73" s="142"/>
      <c r="O73" s="65"/>
      <c r="P73" s="65"/>
      <c r="Q73" s="65"/>
      <c r="R73" s="65"/>
      <c r="S73" s="65"/>
      <c r="T73" s="65"/>
      <c r="U73" s="65"/>
    </row>
    <row r="74" spans="2:21" ht="15" customHeight="1" x14ac:dyDescent="0.25">
      <c r="K74" s="142"/>
      <c r="O74" s="65"/>
      <c r="P74" s="65"/>
      <c r="Q74" s="65"/>
      <c r="R74" s="65"/>
      <c r="S74" s="65"/>
      <c r="T74" s="65"/>
      <c r="U74" s="65"/>
    </row>
    <row r="75" spans="2:21" ht="15" customHeight="1" x14ac:dyDescent="0.25">
      <c r="O75" s="65"/>
      <c r="P75" s="65"/>
      <c r="Q75" s="65"/>
      <c r="R75" s="65"/>
      <c r="S75" s="65"/>
      <c r="T75" s="65"/>
      <c r="U75" s="65"/>
    </row>
    <row r="76" spans="2:21" ht="15" customHeight="1" x14ac:dyDescent="0.25">
      <c r="O76" s="65"/>
      <c r="P76" s="65"/>
      <c r="Q76" s="65"/>
      <c r="R76" s="65"/>
      <c r="S76" s="65"/>
      <c r="T76" s="65"/>
      <c r="U76" s="65"/>
    </row>
    <row r="77" spans="2:21" ht="15" customHeight="1" x14ac:dyDescent="0.25">
      <c r="O77" s="65"/>
      <c r="P77" s="65"/>
      <c r="Q77" s="65"/>
      <c r="R77" s="65"/>
      <c r="S77" s="65"/>
      <c r="T77" s="65"/>
      <c r="U77" s="65"/>
    </row>
    <row r="78" spans="2:21" ht="15" customHeight="1" x14ac:dyDescent="0.25">
      <c r="O78" s="65"/>
      <c r="P78" s="65"/>
      <c r="Q78" s="65"/>
      <c r="R78" s="65"/>
      <c r="S78" s="65"/>
      <c r="T78" s="65"/>
      <c r="U78" s="65"/>
    </row>
    <row r="79" spans="2:21" ht="15" customHeight="1" x14ac:dyDescent="0.25">
      <c r="O79" s="65"/>
      <c r="P79" s="65"/>
      <c r="Q79" s="65"/>
      <c r="R79" s="65"/>
      <c r="S79" s="65"/>
      <c r="T79" s="65"/>
      <c r="U79" s="65"/>
    </row>
    <row r="80" spans="2:21" ht="15" customHeight="1" x14ac:dyDescent="0.25">
      <c r="O80" s="65"/>
      <c r="P80" s="65"/>
      <c r="Q80" s="65"/>
      <c r="R80" s="65"/>
      <c r="S80" s="65"/>
      <c r="T80" s="65"/>
      <c r="U80" s="65"/>
    </row>
    <row r="81" spans="15:21" ht="15" customHeight="1" x14ac:dyDescent="0.25">
      <c r="O81" s="65"/>
      <c r="P81" s="149"/>
      <c r="Q81" s="65"/>
      <c r="R81" s="65"/>
      <c r="U81" s="65"/>
    </row>
    <row r="82" spans="15:21" ht="15" customHeight="1" x14ac:dyDescent="0.25">
      <c r="O82" s="65"/>
      <c r="P82" s="65"/>
      <c r="Q82" s="65"/>
      <c r="S82" s="65"/>
      <c r="T82" s="65"/>
      <c r="U82" s="65"/>
    </row>
    <row r="83" spans="15:21" ht="15" customHeight="1" x14ac:dyDescent="0.25">
      <c r="O83" s="149"/>
      <c r="P83" s="65"/>
      <c r="Q83" s="149"/>
      <c r="R83" s="65"/>
      <c r="S83" s="65"/>
      <c r="T83" s="65"/>
      <c r="U83" s="30"/>
    </row>
    <row r="84" spans="15:21" ht="15" customHeight="1" x14ac:dyDescent="0.25">
      <c r="O84" s="149"/>
      <c r="P84" s="149"/>
      <c r="Q84" s="65"/>
      <c r="R84" s="65"/>
      <c r="U84" s="30"/>
    </row>
    <row r="85" spans="15:21" ht="15" customHeight="1" x14ac:dyDescent="0.25">
      <c r="Q85" s="65"/>
      <c r="S85" s="65"/>
      <c r="T85" s="65"/>
    </row>
    <row r="86" spans="15:21" ht="15" customHeight="1" x14ac:dyDescent="0.25">
      <c r="Q86" s="149"/>
      <c r="R86" s="65"/>
    </row>
    <row r="90" spans="15:21" ht="15" customHeight="1" x14ac:dyDescent="0.25">
      <c r="O90" s="65"/>
      <c r="P90" s="65"/>
      <c r="U90" s="65"/>
    </row>
    <row r="91" spans="15:21" ht="15" customHeight="1" x14ac:dyDescent="0.25">
      <c r="O91" s="149"/>
      <c r="P91" s="65"/>
      <c r="S91" s="65"/>
      <c r="T91" s="65"/>
      <c r="U91" s="65"/>
    </row>
    <row r="92" spans="15:21" ht="15" customHeight="1" x14ac:dyDescent="0.25">
      <c r="O92" s="149"/>
      <c r="P92" s="149"/>
      <c r="Q92" s="65"/>
      <c r="R92" s="65"/>
      <c r="S92" s="65"/>
      <c r="T92" s="65"/>
      <c r="U92" s="65"/>
    </row>
    <row r="93" spans="15:21" ht="15" customHeight="1" x14ac:dyDescent="0.25">
      <c r="O93" s="149"/>
      <c r="P93" s="149"/>
      <c r="Q93" s="65"/>
      <c r="R93" s="65"/>
      <c r="S93" s="65"/>
      <c r="T93" s="65"/>
      <c r="U93" s="65"/>
    </row>
    <row r="94" spans="15:21" ht="15" customHeight="1" x14ac:dyDescent="0.25">
      <c r="O94" s="149"/>
      <c r="P94" s="65"/>
      <c r="Q94" s="149"/>
      <c r="R94" s="65"/>
      <c r="S94" s="65"/>
      <c r="T94" s="65"/>
      <c r="U94" s="65"/>
    </row>
    <row r="95" spans="15:21" ht="15" customHeight="1" x14ac:dyDescent="0.25">
      <c r="O95" s="149"/>
      <c r="P95" s="65"/>
      <c r="Q95" s="149"/>
      <c r="R95" s="65"/>
      <c r="S95" s="65"/>
      <c r="T95" s="65"/>
      <c r="U95" s="65"/>
    </row>
    <row r="96" spans="15:21" ht="15" customHeight="1" x14ac:dyDescent="0.25">
      <c r="Q96" s="65"/>
      <c r="R96" s="65"/>
      <c r="S96" s="65"/>
      <c r="T96" s="65"/>
      <c r="U96" s="65"/>
    </row>
    <row r="97" spans="15:21" ht="15" customHeight="1" x14ac:dyDescent="0.25">
      <c r="Q97" s="65"/>
      <c r="R97" s="65"/>
      <c r="U97" s="65"/>
    </row>
    <row r="98" spans="15:21" ht="15" customHeight="1" x14ac:dyDescent="0.25">
      <c r="S98" s="65"/>
      <c r="T98" s="65"/>
      <c r="U98" s="65"/>
    </row>
    <row r="99" spans="15:21" ht="15" customHeight="1" x14ac:dyDescent="0.25">
      <c r="O99" s="65"/>
      <c r="P99" s="65"/>
      <c r="R99" s="65"/>
      <c r="S99" s="65"/>
      <c r="T99" s="65"/>
      <c r="U99" s="65"/>
    </row>
    <row r="100" spans="15:21" ht="15" customHeight="1" x14ac:dyDescent="0.25">
      <c r="O100" s="65"/>
      <c r="P100" s="65"/>
      <c r="R100" s="65"/>
      <c r="S100" s="65"/>
      <c r="T100" s="65"/>
      <c r="U100" s="65"/>
    </row>
    <row r="101" spans="15:21" ht="15" customHeight="1" x14ac:dyDescent="0.25">
      <c r="O101" s="65"/>
      <c r="P101" s="65"/>
      <c r="Q101" s="65"/>
      <c r="R101" s="65"/>
      <c r="S101" s="65"/>
      <c r="T101" s="65"/>
      <c r="U101" s="65"/>
    </row>
    <row r="102" spans="15:21" ht="15" customHeight="1" x14ac:dyDescent="0.25">
      <c r="O102" s="149"/>
      <c r="Q102" s="65"/>
      <c r="R102" s="65"/>
      <c r="S102" s="65"/>
      <c r="T102" s="65"/>
      <c r="U102" s="65"/>
    </row>
    <row r="103" spans="15:21" ht="15" customHeight="1" x14ac:dyDescent="0.25">
      <c r="O103" s="149"/>
      <c r="Q103" s="65"/>
      <c r="R103" s="65"/>
      <c r="U103" s="65"/>
    </row>
    <row r="104" spans="15:21" ht="15" customHeight="1" x14ac:dyDescent="0.25">
      <c r="U104" s="65"/>
    </row>
    <row r="105" spans="15:21" ht="15" customHeight="1" x14ac:dyDescent="0.25">
      <c r="O105" s="65"/>
      <c r="P105" s="65"/>
      <c r="U105" s="65"/>
    </row>
    <row r="106" spans="15:21" ht="15" customHeight="1" x14ac:dyDescent="0.25">
      <c r="O106" s="65"/>
      <c r="P106" s="65"/>
      <c r="S106" s="65"/>
      <c r="T106" s="65"/>
      <c r="U106" s="65"/>
    </row>
    <row r="107" spans="15:21" ht="15" customHeight="1" x14ac:dyDescent="0.25">
      <c r="O107" s="65"/>
      <c r="P107" s="65"/>
      <c r="Q107" s="65"/>
      <c r="R107" s="65"/>
      <c r="S107" s="65"/>
      <c r="T107" s="65"/>
      <c r="U107" s="65"/>
    </row>
    <row r="108" spans="15:21" ht="15" customHeight="1" x14ac:dyDescent="0.25">
      <c r="O108" s="65"/>
      <c r="P108" s="65"/>
      <c r="Q108" s="65"/>
      <c r="R108" s="65"/>
      <c r="S108" s="65"/>
      <c r="T108" s="65"/>
      <c r="U108" s="65"/>
    </row>
    <row r="109" spans="15:21" ht="15" customHeight="1" x14ac:dyDescent="0.25">
      <c r="O109" s="65"/>
      <c r="P109" s="65"/>
      <c r="Q109" s="65"/>
      <c r="R109" s="65"/>
      <c r="S109" s="65"/>
      <c r="T109" s="65"/>
      <c r="U109" s="65"/>
    </row>
    <row r="110" spans="15:21" ht="15" customHeight="1" x14ac:dyDescent="0.25">
      <c r="O110" s="65"/>
      <c r="P110" s="65"/>
      <c r="Q110" s="65"/>
      <c r="R110" s="65"/>
      <c r="S110" s="65"/>
      <c r="T110" s="65"/>
      <c r="U110" s="65"/>
    </row>
    <row r="111" spans="15:21" ht="15" customHeight="1" x14ac:dyDescent="0.25">
      <c r="O111" s="65"/>
      <c r="P111" s="65"/>
      <c r="Q111" s="65"/>
      <c r="R111" s="65"/>
      <c r="S111" s="65"/>
      <c r="T111" s="65"/>
      <c r="U111" s="65"/>
    </row>
    <row r="112" spans="15:21" ht="15" customHeight="1" x14ac:dyDescent="0.25">
      <c r="O112" s="65"/>
      <c r="P112" s="65"/>
      <c r="Q112" s="65"/>
      <c r="R112" s="65"/>
      <c r="S112" s="65"/>
      <c r="T112" s="65"/>
      <c r="U112" s="65"/>
    </row>
    <row r="113" s="65" customFormat="1" ht="15" customHeight="1" x14ac:dyDescent="0.25"/>
    <row r="114" s="65" customFormat="1" ht="15" customHeight="1" x14ac:dyDescent="0.25"/>
    <row r="115" s="65" customFormat="1" ht="15" customHeight="1" x14ac:dyDescent="0.25"/>
    <row r="116" s="65" customFormat="1" ht="15" customHeight="1" x14ac:dyDescent="0.25"/>
    <row r="117" s="65" customFormat="1" ht="15" customHeight="1" x14ac:dyDescent="0.25"/>
    <row r="118" s="65" customFormat="1" ht="15" customHeight="1" x14ac:dyDescent="0.25"/>
    <row r="119" s="65" customFormat="1" ht="15" customHeight="1" x14ac:dyDescent="0.25"/>
    <row r="120" s="65" customFormat="1" ht="15" customHeight="1" x14ac:dyDescent="0.25"/>
    <row r="121" s="65" customFormat="1" ht="15" customHeight="1" x14ac:dyDescent="0.25"/>
    <row r="122" s="65" customFormat="1" ht="15" customHeight="1" x14ac:dyDescent="0.25"/>
    <row r="123" s="65" customFormat="1" ht="15" customHeight="1" x14ac:dyDescent="0.25"/>
    <row r="124" s="65" customFormat="1" ht="15" customHeight="1" x14ac:dyDescent="0.25"/>
    <row r="125" s="65" customFormat="1" ht="15" customHeight="1" x14ac:dyDescent="0.25"/>
    <row r="126" s="65" customFormat="1" ht="15" customHeight="1" x14ac:dyDescent="0.25"/>
    <row r="127" s="65" customFormat="1" ht="15" customHeight="1" x14ac:dyDescent="0.25"/>
    <row r="128" s="65" customFormat="1" ht="15" customHeight="1" x14ac:dyDescent="0.25"/>
    <row r="129" s="65" customFormat="1" ht="15" customHeight="1" x14ac:dyDescent="0.25"/>
    <row r="130" s="65" customFormat="1" ht="15" customHeight="1" x14ac:dyDescent="0.25"/>
    <row r="131" s="65" customFormat="1" ht="15" customHeight="1" x14ac:dyDescent="0.25"/>
    <row r="132" s="65" customFormat="1" ht="15" customHeight="1" x14ac:dyDescent="0.25"/>
    <row r="133" s="65" customFormat="1" ht="15" customHeight="1" x14ac:dyDescent="0.25"/>
    <row r="134" s="65" customFormat="1" ht="15" customHeight="1" x14ac:dyDescent="0.25"/>
    <row r="135" s="65" customFormat="1" ht="15" customHeight="1" x14ac:dyDescent="0.25"/>
    <row r="136" s="65" customFormat="1" ht="15" customHeight="1" x14ac:dyDescent="0.25"/>
    <row r="137" s="65" customFormat="1" ht="15" customHeight="1" x14ac:dyDescent="0.25"/>
    <row r="138" s="65" customFormat="1" ht="15" customHeight="1" x14ac:dyDescent="0.25"/>
    <row r="139" s="65" customFormat="1" ht="15" customHeight="1" x14ac:dyDescent="0.25"/>
    <row r="140" s="65" customFormat="1" ht="15" customHeight="1" x14ac:dyDescent="0.25"/>
    <row r="141" s="65" customFormat="1" ht="15" customHeight="1" x14ac:dyDescent="0.25"/>
    <row r="142" s="65" customFormat="1" ht="15" customHeight="1" x14ac:dyDescent="0.25"/>
    <row r="143" s="65" customFormat="1" ht="15" customHeight="1" x14ac:dyDescent="0.25"/>
    <row r="144" s="65" customFormat="1" ht="15" customHeight="1" x14ac:dyDescent="0.25"/>
    <row r="145" s="65" customFormat="1" ht="15" customHeight="1" x14ac:dyDescent="0.25"/>
    <row r="146" s="65" customFormat="1" ht="15" customHeight="1" x14ac:dyDescent="0.25"/>
    <row r="147" s="65" customFormat="1" ht="15" customHeight="1" x14ac:dyDescent="0.25"/>
    <row r="148" s="65" customFormat="1" ht="15" customHeight="1" x14ac:dyDescent="0.25"/>
    <row r="149" s="65" customFormat="1" ht="15" customHeight="1" x14ac:dyDescent="0.25"/>
    <row r="150" s="65" customFormat="1" ht="15" customHeight="1" x14ac:dyDescent="0.25"/>
    <row r="151" s="65" customFormat="1" ht="15" customHeight="1" x14ac:dyDescent="0.25"/>
    <row r="152" s="65" customFormat="1" ht="15" customHeight="1" x14ac:dyDescent="0.25"/>
    <row r="153" s="65" customFormat="1" ht="15" customHeight="1" x14ac:dyDescent="0.25"/>
    <row r="154" s="65" customFormat="1" ht="15" customHeight="1" x14ac:dyDescent="0.25"/>
    <row r="155" s="65" customFormat="1" ht="15" customHeight="1" x14ac:dyDescent="0.25"/>
    <row r="156" s="65" customFormat="1" ht="15" customHeight="1" x14ac:dyDescent="0.25"/>
    <row r="157" s="65" customFormat="1" ht="15" customHeight="1" x14ac:dyDescent="0.25"/>
    <row r="158" s="65" customFormat="1" ht="15" customHeight="1" x14ac:dyDescent="0.25"/>
    <row r="159" s="65" customFormat="1" ht="15" customHeight="1" x14ac:dyDescent="0.25"/>
    <row r="160" s="65" customFormat="1" ht="15" customHeight="1" x14ac:dyDescent="0.25"/>
    <row r="161" s="65" customFormat="1" ht="15" customHeight="1" x14ac:dyDescent="0.25"/>
    <row r="162" s="65" customFormat="1" ht="15" customHeight="1" x14ac:dyDescent="0.25"/>
    <row r="163" s="65" customFormat="1" ht="15" customHeight="1" x14ac:dyDescent="0.25"/>
    <row r="164" s="65" customFormat="1" ht="15" customHeight="1" x14ac:dyDescent="0.25"/>
    <row r="165" s="65" customFormat="1" ht="15" customHeight="1" x14ac:dyDescent="0.25"/>
    <row r="166" s="65" customFormat="1" ht="15" customHeight="1" x14ac:dyDescent="0.25"/>
    <row r="167" s="65" customFormat="1" ht="15" customHeight="1" x14ac:dyDescent="0.25"/>
    <row r="168" s="65" customFormat="1" ht="15" customHeight="1" x14ac:dyDescent="0.25"/>
    <row r="169" s="65" customFormat="1" ht="15" customHeight="1" x14ac:dyDescent="0.25"/>
    <row r="170" s="65" customFormat="1" ht="15" customHeight="1" x14ac:dyDescent="0.25"/>
    <row r="171" s="65" customFormat="1" ht="15" customHeight="1" x14ac:dyDescent="0.25"/>
    <row r="172" s="65" customFormat="1" ht="15" customHeight="1" x14ac:dyDescent="0.25"/>
    <row r="173" s="65" customFormat="1" ht="15" customHeight="1" x14ac:dyDescent="0.25"/>
    <row r="174" s="65" customFormat="1" ht="15" customHeight="1" x14ac:dyDescent="0.25"/>
    <row r="175" s="65" customFormat="1" ht="15" customHeight="1" x14ac:dyDescent="0.25"/>
    <row r="176" s="65" customFormat="1" ht="15" customHeight="1" x14ac:dyDescent="0.25"/>
    <row r="177" s="65" customFormat="1" ht="15" customHeight="1" x14ac:dyDescent="0.25"/>
    <row r="178" s="65" customFormat="1" ht="15" customHeight="1" x14ac:dyDescent="0.25"/>
    <row r="179" s="65" customFormat="1" ht="15" customHeight="1" x14ac:dyDescent="0.25"/>
    <row r="180" s="65" customFormat="1" ht="15" customHeight="1" x14ac:dyDescent="0.25"/>
    <row r="181" s="65" customFormat="1" ht="15" customHeight="1" x14ac:dyDescent="0.25"/>
    <row r="182" s="65" customFormat="1" ht="15" customHeight="1" x14ac:dyDescent="0.25"/>
    <row r="183" s="65" customFormat="1" ht="15" customHeight="1" x14ac:dyDescent="0.25"/>
    <row r="184" s="65" customFormat="1" ht="15" customHeight="1" x14ac:dyDescent="0.25"/>
    <row r="185" s="65" customFormat="1" ht="15" customHeight="1" x14ac:dyDescent="0.25"/>
    <row r="186" s="65" customFormat="1" ht="15" customHeight="1" x14ac:dyDescent="0.25"/>
    <row r="187" s="65" customFormat="1" ht="15" customHeight="1" x14ac:dyDescent="0.25"/>
    <row r="188" s="65" customFormat="1" ht="15" customHeight="1" x14ac:dyDescent="0.25"/>
    <row r="189" s="65" customFormat="1" ht="15" customHeight="1" x14ac:dyDescent="0.25"/>
    <row r="190" s="65" customFormat="1" ht="15" customHeight="1" x14ac:dyDescent="0.25"/>
    <row r="191" s="65" customFormat="1" ht="15" customHeight="1" x14ac:dyDescent="0.25"/>
    <row r="192" s="65" customFormat="1" ht="15" customHeight="1" x14ac:dyDescent="0.25"/>
    <row r="193" s="65" customFormat="1" ht="15" customHeight="1" x14ac:dyDescent="0.25"/>
    <row r="194" s="65" customFormat="1" ht="15" customHeight="1" x14ac:dyDescent="0.25"/>
    <row r="195" s="65" customFormat="1" ht="15" customHeight="1" x14ac:dyDescent="0.25"/>
    <row r="196" s="65" customFormat="1" ht="15" customHeight="1" x14ac:dyDescent="0.25"/>
    <row r="197" s="65" customFormat="1" ht="15" customHeight="1" x14ac:dyDescent="0.25"/>
    <row r="198" s="65" customFormat="1" ht="15" customHeight="1" x14ac:dyDescent="0.25"/>
    <row r="199" s="65" customFormat="1" ht="15" customHeight="1" x14ac:dyDescent="0.25"/>
    <row r="200" s="65" customFormat="1" ht="15" customHeight="1" x14ac:dyDescent="0.25"/>
    <row r="201" s="65" customFormat="1" ht="15" customHeight="1" x14ac:dyDescent="0.25"/>
    <row r="202" s="65" customFormat="1" ht="15" customHeight="1" x14ac:dyDescent="0.25"/>
    <row r="203" s="65" customFormat="1" ht="15" customHeight="1" x14ac:dyDescent="0.25"/>
    <row r="204" s="65" customFormat="1" ht="15" customHeight="1" x14ac:dyDescent="0.25"/>
    <row r="205" s="65" customFormat="1" ht="15" customHeight="1" x14ac:dyDescent="0.25"/>
    <row r="206" s="65" customFormat="1" ht="15" customHeight="1" x14ac:dyDescent="0.25"/>
    <row r="207" s="65" customFormat="1" ht="15" customHeight="1" x14ac:dyDescent="0.25"/>
    <row r="208" s="65" customFormat="1" ht="15" customHeight="1" x14ac:dyDescent="0.25"/>
    <row r="209" s="65" customFormat="1" ht="15" customHeight="1" x14ac:dyDescent="0.25"/>
    <row r="210" s="65" customFormat="1" ht="15" customHeight="1" x14ac:dyDescent="0.25"/>
    <row r="211" s="65" customFormat="1" ht="15" customHeight="1" x14ac:dyDescent="0.25"/>
    <row r="212" s="65" customFormat="1" ht="15" customHeight="1" x14ac:dyDescent="0.25"/>
    <row r="213" s="65" customFormat="1" ht="15" customHeight="1" x14ac:dyDescent="0.25"/>
    <row r="214" s="65" customFormat="1" ht="15" customHeight="1" x14ac:dyDescent="0.25"/>
    <row r="215" s="65" customFormat="1" ht="15" customHeight="1" x14ac:dyDescent="0.25"/>
    <row r="216" s="65" customFormat="1" ht="15" customHeight="1" x14ac:dyDescent="0.25"/>
    <row r="217" s="65" customFormat="1" ht="15" customHeight="1" x14ac:dyDescent="0.25"/>
    <row r="218" s="65" customFormat="1" ht="15" customHeight="1" x14ac:dyDescent="0.25"/>
    <row r="219" s="65" customFormat="1" ht="15" customHeight="1" x14ac:dyDescent="0.25"/>
    <row r="220" s="65" customFormat="1" ht="15" customHeight="1" x14ac:dyDescent="0.25"/>
    <row r="221" s="65" customFormat="1" ht="15" customHeight="1" x14ac:dyDescent="0.25"/>
    <row r="222" s="65" customFormat="1" ht="15" customHeight="1" x14ac:dyDescent="0.25"/>
    <row r="223" s="65" customFormat="1" ht="15" customHeight="1" x14ac:dyDescent="0.25"/>
    <row r="224" s="65" customFormat="1" ht="15" customHeight="1" x14ac:dyDescent="0.25"/>
    <row r="225" s="65" customFormat="1" ht="15" customHeight="1" x14ac:dyDescent="0.25"/>
    <row r="226" s="65" customFormat="1" ht="15" customHeight="1" x14ac:dyDescent="0.25"/>
    <row r="227" s="65" customFormat="1" ht="15" customHeight="1" x14ac:dyDescent="0.25"/>
    <row r="228" s="65" customFormat="1" ht="15" customHeight="1" x14ac:dyDescent="0.25"/>
    <row r="229" s="65" customFormat="1" ht="15" customHeight="1" x14ac:dyDescent="0.25"/>
    <row r="230" s="65" customFormat="1" ht="15" customHeight="1" x14ac:dyDescent="0.25"/>
    <row r="231" s="65" customFormat="1" ht="15" customHeight="1" x14ac:dyDescent="0.25"/>
    <row r="232" s="65" customFormat="1" ht="15" customHeight="1" x14ac:dyDescent="0.25"/>
    <row r="233" s="65" customFormat="1" ht="15" customHeight="1" x14ac:dyDescent="0.25"/>
    <row r="234" s="65" customFormat="1" ht="15" customHeight="1" x14ac:dyDescent="0.25"/>
    <row r="235" s="65" customFormat="1" ht="15" customHeight="1" x14ac:dyDescent="0.25"/>
    <row r="236" s="65" customFormat="1" ht="15" customHeight="1" x14ac:dyDescent="0.25"/>
    <row r="237" s="65" customFormat="1" ht="15" customHeight="1" x14ac:dyDescent="0.25"/>
    <row r="238" s="65" customFormat="1" ht="15" customHeight="1" x14ac:dyDescent="0.25"/>
    <row r="239" s="65" customFormat="1" ht="15" customHeight="1" x14ac:dyDescent="0.25"/>
    <row r="240" s="65" customFormat="1" ht="15" customHeight="1" x14ac:dyDescent="0.25"/>
    <row r="241" s="65" customFormat="1" ht="15" customHeight="1" x14ac:dyDescent="0.25"/>
    <row r="242" s="65" customFormat="1" ht="15" customHeight="1" x14ac:dyDescent="0.25"/>
    <row r="243" s="65" customFormat="1" ht="15" customHeight="1" x14ac:dyDescent="0.25"/>
    <row r="244" s="65" customFormat="1" ht="15" customHeight="1" x14ac:dyDescent="0.25"/>
    <row r="245" s="65" customFormat="1" ht="15" customHeight="1" x14ac:dyDescent="0.25"/>
    <row r="246" s="65" customFormat="1" ht="15" customHeight="1" x14ac:dyDescent="0.25"/>
    <row r="247" s="65" customFormat="1" ht="15" customHeight="1" x14ac:dyDescent="0.25"/>
    <row r="248" s="65" customFormat="1" ht="15" customHeight="1" x14ac:dyDescent="0.25"/>
    <row r="249" s="65" customFormat="1" ht="15" customHeight="1" x14ac:dyDescent="0.25"/>
    <row r="250" s="65" customFormat="1" ht="15" customHeight="1" x14ac:dyDescent="0.25"/>
    <row r="251" s="65" customFormat="1" ht="15" customHeight="1" x14ac:dyDescent="0.25"/>
    <row r="252" s="65" customFormat="1" ht="15" customHeight="1" x14ac:dyDescent="0.25"/>
    <row r="253" s="65" customFormat="1" ht="15" customHeight="1" x14ac:dyDescent="0.25"/>
    <row r="254" s="65" customFormat="1" ht="15" customHeight="1" x14ac:dyDescent="0.25"/>
    <row r="255" s="65" customFormat="1" ht="15" customHeight="1" x14ac:dyDescent="0.25"/>
    <row r="256" s="65" customFormat="1" ht="15" customHeight="1" x14ac:dyDescent="0.25"/>
    <row r="257" s="65" customFormat="1" ht="15" customHeight="1" x14ac:dyDescent="0.25"/>
    <row r="258" s="65" customFormat="1" ht="15" customHeight="1" x14ac:dyDescent="0.25"/>
    <row r="259" s="65" customFormat="1" ht="15" customHeight="1" x14ac:dyDescent="0.25"/>
    <row r="260" s="65" customFormat="1" ht="15" customHeight="1" x14ac:dyDescent="0.25"/>
    <row r="261" s="65" customFormat="1" ht="15" customHeight="1" x14ac:dyDescent="0.25"/>
    <row r="262" s="65" customFormat="1" ht="15" customHeight="1" x14ac:dyDescent="0.25"/>
    <row r="263" s="65" customFormat="1" ht="15" customHeight="1" x14ac:dyDescent="0.25"/>
    <row r="264" s="65" customFormat="1" ht="15" customHeight="1" x14ac:dyDescent="0.25"/>
    <row r="265" s="65" customFormat="1" ht="15" customHeight="1" x14ac:dyDescent="0.25"/>
    <row r="266" s="65" customFormat="1" ht="15" customHeight="1" x14ac:dyDescent="0.25"/>
    <row r="267" s="65" customFormat="1" ht="15" customHeight="1" x14ac:dyDescent="0.25"/>
    <row r="268" s="65" customFormat="1" ht="15" customHeight="1" x14ac:dyDescent="0.25"/>
    <row r="269" s="65" customFormat="1" ht="15" customHeight="1" x14ac:dyDescent="0.25"/>
    <row r="270" s="65" customFormat="1" ht="15" customHeight="1" x14ac:dyDescent="0.25"/>
    <row r="271" s="65" customFormat="1" ht="15" customHeight="1" x14ac:dyDescent="0.25"/>
    <row r="272" s="65" customFormat="1" ht="15" customHeight="1" x14ac:dyDescent="0.25"/>
    <row r="273" s="65" customFormat="1" ht="15" customHeight="1" x14ac:dyDescent="0.25"/>
    <row r="274" s="65" customFormat="1" ht="15" customHeight="1" x14ac:dyDescent="0.25"/>
    <row r="275" s="65" customFormat="1" ht="15" customHeight="1" x14ac:dyDescent="0.25"/>
    <row r="276" s="65" customFormat="1" ht="15" customHeight="1" x14ac:dyDescent="0.25"/>
    <row r="277" s="65" customFormat="1" ht="15" customHeight="1" x14ac:dyDescent="0.25"/>
    <row r="278" s="65" customFormat="1" ht="15" customHeight="1" x14ac:dyDescent="0.25"/>
    <row r="279" s="65" customFormat="1" ht="15" customHeight="1" x14ac:dyDescent="0.25"/>
    <row r="280" s="65" customFormat="1" ht="15" customHeight="1" x14ac:dyDescent="0.25"/>
    <row r="281" s="65" customFormat="1" ht="15" customHeight="1" x14ac:dyDescent="0.25"/>
    <row r="282" s="65" customFormat="1" ht="15" customHeight="1" x14ac:dyDescent="0.25"/>
    <row r="283" s="65" customFormat="1" ht="15" customHeight="1" x14ac:dyDescent="0.25"/>
    <row r="284" s="65" customFormat="1" ht="15" customHeight="1" x14ac:dyDescent="0.25"/>
    <row r="285" s="65" customFormat="1" ht="15" customHeight="1" x14ac:dyDescent="0.25"/>
    <row r="286" s="65" customFormat="1" ht="15" customHeight="1" x14ac:dyDescent="0.25"/>
    <row r="287" s="65" customFormat="1" ht="15" customHeight="1" x14ac:dyDescent="0.25"/>
    <row r="288" s="65" customFormat="1" ht="15" customHeight="1" x14ac:dyDescent="0.25"/>
    <row r="289" s="65" customFormat="1" ht="15" customHeight="1" x14ac:dyDescent="0.25"/>
    <row r="290" s="65" customFormat="1" ht="15" customHeight="1" x14ac:dyDescent="0.25"/>
    <row r="291" s="65" customFormat="1" ht="15" customHeight="1" x14ac:dyDescent="0.25"/>
    <row r="292" s="65" customFormat="1" ht="15" customHeight="1" x14ac:dyDescent="0.25"/>
    <row r="293" s="65" customFormat="1" ht="15" customHeight="1" x14ac:dyDescent="0.25"/>
    <row r="294" s="65" customFormat="1" ht="15" customHeight="1" x14ac:dyDescent="0.25"/>
    <row r="295" s="65" customFormat="1" ht="15" customHeight="1" x14ac:dyDescent="0.25"/>
    <row r="296" s="65" customFormat="1" ht="15" customHeight="1" x14ac:dyDescent="0.25"/>
    <row r="297" s="65" customFormat="1" ht="15" customHeight="1" x14ac:dyDescent="0.25"/>
    <row r="298" s="65" customFormat="1" ht="15" customHeight="1" x14ac:dyDescent="0.25"/>
    <row r="299" s="65" customFormat="1" ht="15" customHeight="1" x14ac:dyDescent="0.25"/>
    <row r="300" s="65" customFormat="1" ht="15" customHeight="1" x14ac:dyDescent="0.25"/>
    <row r="301" s="65" customFormat="1" ht="15" customHeight="1" x14ac:dyDescent="0.25"/>
    <row r="302" s="65" customFormat="1" ht="15" customHeight="1" x14ac:dyDescent="0.25"/>
    <row r="303" s="65" customFormat="1" ht="15" customHeight="1" x14ac:dyDescent="0.25"/>
    <row r="304" s="65" customFormat="1" ht="15" customHeight="1" x14ac:dyDescent="0.25"/>
    <row r="305" s="65" customFormat="1" ht="15" customHeight="1" x14ac:dyDescent="0.25"/>
    <row r="306" s="65" customFormat="1" ht="15" customHeight="1" x14ac:dyDescent="0.25"/>
    <row r="307" s="65" customFormat="1" ht="15" customHeight="1" x14ac:dyDescent="0.25"/>
    <row r="308" s="65" customFormat="1" ht="15" customHeight="1" x14ac:dyDescent="0.25"/>
    <row r="309" s="65" customFormat="1" ht="15" customHeight="1" x14ac:dyDescent="0.25"/>
    <row r="310" s="65" customFormat="1" ht="15" customHeight="1" x14ac:dyDescent="0.25"/>
    <row r="311" s="65" customFormat="1" ht="15" customHeight="1" x14ac:dyDescent="0.25"/>
    <row r="312" s="65" customFormat="1" ht="15" customHeight="1" x14ac:dyDescent="0.25"/>
    <row r="313" s="65" customFormat="1" ht="15" customHeight="1" x14ac:dyDescent="0.25"/>
    <row r="314" s="65" customFormat="1" ht="15" customHeight="1" x14ac:dyDescent="0.25"/>
    <row r="315" s="65" customFormat="1" ht="15" customHeight="1" x14ac:dyDescent="0.25"/>
    <row r="316" s="65" customFormat="1" ht="15" customHeight="1" x14ac:dyDescent="0.25"/>
    <row r="317" s="65" customFormat="1" ht="15" customHeight="1" x14ac:dyDescent="0.25"/>
    <row r="318" s="65" customFormat="1" ht="15" customHeight="1" x14ac:dyDescent="0.25"/>
    <row r="319" s="65" customFormat="1" ht="15" customHeight="1" x14ac:dyDescent="0.25"/>
    <row r="320" s="65" customFormat="1" ht="15" customHeight="1" x14ac:dyDescent="0.25"/>
    <row r="321" spans="15:21" ht="15" customHeight="1" x14ac:dyDescent="0.25">
      <c r="O321" s="65"/>
      <c r="P321" s="65"/>
      <c r="Q321" s="65"/>
      <c r="R321" s="65"/>
      <c r="S321" s="65"/>
      <c r="T321" s="65"/>
      <c r="U321" s="65"/>
    </row>
    <row r="322" spans="15:21" ht="15" customHeight="1" x14ac:dyDescent="0.25">
      <c r="O322" s="65"/>
      <c r="P322" s="65"/>
      <c r="Q322" s="65"/>
      <c r="R322" s="65"/>
      <c r="S322" s="65"/>
      <c r="T322" s="65"/>
      <c r="U322" s="65"/>
    </row>
    <row r="323" spans="15:21" ht="15" customHeight="1" x14ac:dyDescent="0.25">
      <c r="O323" s="65"/>
      <c r="P323" s="65"/>
      <c r="Q323" s="65"/>
      <c r="R323" s="65"/>
      <c r="S323" s="65"/>
      <c r="T323" s="65"/>
      <c r="U323" s="65"/>
    </row>
    <row r="324" spans="15:21" ht="15" customHeight="1" x14ac:dyDescent="0.25">
      <c r="O324" s="65"/>
      <c r="P324" s="65"/>
      <c r="Q324" s="65"/>
      <c r="R324" s="65"/>
      <c r="S324" s="65"/>
      <c r="T324" s="65"/>
      <c r="U324" s="65"/>
    </row>
    <row r="325" spans="15:21" ht="15" customHeight="1" x14ac:dyDescent="0.25">
      <c r="O325" s="65"/>
      <c r="P325" s="65"/>
      <c r="Q325" s="65"/>
      <c r="R325" s="65"/>
      <c r="S325" s="65"/>
      <c r="T325" s="65"/>
      <c r="U325" s="65"/>
    </row>
    <row r="326" spans="15:21" ht="15" customHeight="1" x14ac:dyDescent="0.25">
      <c r="O326" s="65"/>
      <c r="P326" s="65"/>
      <c r="Q326" s="65"/>
      <c r="R326" s="65"/>
      <c r="S326" s="65"/>
      <c r="T326" s="65"/>
      <c r="U326" s="65"/>
    </row>
    <row r="327" spans="15:21" ht="15" customHeight="1" x14ac:dyDescent="0.25">
      <c r="O327" s="65"/>
      <c r="P327" s="65"/>
      <c r="Q327" s="65"/>
      <c r="R327" s="65"/>
      <c r="S327" s="65"/>
      <c r="T327" s="65"/>
      <c r="U327" s="65"/>
    </row>
    <row r="328" spans="15:21" ht="15" customHeight="1" x14ac:dyDescent="0.25">
      <c r="O328" s="65"/>
      <c r="P328" s="65"/>
      <c r="Q328" s="65"/>
      <c r="R328" s="65"/>
      <c r="S328" s="65"/>
      <c r="T328" s="65"/>
      <c r="U328" s="65"/>
    </row>
    <row r="329" spans="15:21" ht="15" customHeight="1" x14ac:dyDescent="0.25">
      <c r="O329" s="65"/>
      <c r="P329" s="65"/>
      <c r="Q329" s="65"/>
      <c r="R329" s="65"/>
      <c r="S329" s="65"/>
      <c r="T329" s="65"/>
      <c r="U329" s="65"/>
    </row>
    <row r="330" spans="15:21" ht="15" customHeight="1" x14ac:dyDescent="0.25">
      <c r="O330" s="65"/>
      <c r="P330" s="65"/>
      <c r="Q330" s="65"/>
      <c r="R330" s="65"/>
      <c r="S330" s="65"/>
      <c r="T330" s="65"/>
      <c r="U330" s="65"/>
    </row>
    <row r="331" spans="15:21" ht="15" customHeight="1" x14ac:dyDescent="0.25">
      <c r="O331" s="65"/>
      <c r="P331" s="65"/>
      <c r="Q331" s="65"/>
      <c r="R331" s="65"/>
      <c r="S331" s="65"/>
      <c r="T331" s="65"/>
      <c r="U331" s="65"/>
    </row>
    <row r="332" spans="15:21" ht="15" customHeight="1" x14ac:dyDescent="0.25">
      <c r="Q332" s="65"/>
      <c r="R332" s="65"/>
      <c r="S332" s="65"/>
      <c r="T332" s="65"/>
      <c r="U332" s="65"/>
    </row>
    <row r="333" spans="15:21" ht="15" customHeight="1" x14ac:dyDescent="0.25">
      <c r="Q333" s="65"/>
      <c r="R333" s="65"/>
    </row>
    <row r="336" spans="15:21" ht="15" customHeight="1" x14ac:dyDescent="0.25">
      <c r="O336" s="65"/>
      <c r="P336" s="65"/>
    </row>
    <row r="337" spans="15:21" ht="15" customHeight="1" x14ac:dyDescent="0.25">
      <c r="O337" s="65"/>
      <c r="P337" s="65"/>
      <c r="S337" s="65"/>
      <c r="T337" s="65"/>
      <c r="U337" s="65"/>
    </row>
    <row r="338" spans="15:21" ht="15" customHeight="1" x14ac:dyDescent="0.25">
      <c r="Q338" s="65"/>
      <c r="R338" s="65"/>
      <c r="S338" s="65"/>
      <c r="T338" s="65"/>
      <c r="U338" s="65"/>
    </row>
    <row r="339" spans="15:21" ht="15" customHeight="1" x14ac:dyDescent="0.25">
      <c r="Q339" s="65"/>
      <c r="R339" s="65"/>
    </row>
  </sheetData>
  <mergeCells count="6">
    <mergeCell ref="C56:G58"/>
    <mergeCell ref="C66:G68"/>
    <mergeCell ref="C51:G52"/>
    <mergeCell ref="C54:G54"/>
    <mergeCell ref="C60:G61"/>
    <mergeCell ref="C63:G64"/>
  </mergeCells>
  <printOptions horizontalCentered="1"/>
  <pageMargins left="0.25" right="0.25" top="0.75" bottom="0.75" header="0.3" footer="0.3"/>
  <pageSetup paperSize="3"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2C0-21B7-47D1-A47C-8593551B6954}">
  <sheetPr codeName="Sheet1">
    <tabColor theme="1" tint="0.14999847407452621"/>
    <pageSetUpPr fitToPage="1"/>
  </sheetPr>
  <dimension ref="B2:U76"/>
  <sheetViews>
    <sheetView view="pageBreakPreview" zoomScale="85" zoomScaleNormal="40" zoomScaleSheetLayoutView="85" workbookViewId="0"/>
  </sheetViews>
  <sheetFormatPr defaultRowHeight="15" outlineLevelRow="1" x14ac:dyDescent="0.25"/>
  <cols>
    <col min="2" max="2" width="16.28515625" customWidth="1"/>
    <col min="3" max="3" width="15.7109375" customWidth="1"/>
    <col min="4" max="18" width="17.140625" customWidth="1"/>
    <col min="19" max="22" width="15.7109375" customWidth="1"/>
  </cols>
  <sheetData>
    <row r="2" spans="2:21" ht="23.25" x14ac:dyDescent="0.35">
      <c r="C2" s="216" t="s">
        <v>789</v>
      </c>
      <c r="U2" s="3"/>
    </row>
    <row r="3" spans="2:21" ht="15.75" thickBot="1" x14ac:dyDescent="0.3">
      <c r="P3" s="8"/>
      <c r="Q3" s="8"/>
      <c r="R3" s="3"/>
    </row>
    <row r="4" spans="2:21" ht="16.5" customHeight="1" thickBot="1" x14ac:dyDescent="0.3">
      <c r="C4" s="60" t="s">
        <v>4</v>
      </c>
      <c r="D4" s="433" t="s">
        <v>6</v>
      </c>
      <c r="E4" s="434"/>
      <c r="F4" s="434"/>
      <c r="G4" s="209"/>
      <c r="H4" s="430" t="s">
        <v>21</v>
      </c>
      <c r="I4" s="431"/>
      <c r="J4" s="432"/>
      <c r="K4" s="430" t="s">
        <v>7</v>
      </c>
      <c r="L4" s="431"/>
      <c r="M4" s="432"/>
      <c r="N4" s="209" t="s">
        <v>877</v>
      </c>
      <c r="O4" s="428" t="s">
        <v>50</v>
      </c>
      <c r="P4" s="429"/>
      <c r="Q4" s="435" t="s">
        <v>1</v>
      </c>
      <c r="R4" s="436"/>
    </row>
    <row r="5" spans="2:21" ht="35.1" customHeight="1" x14ac:dyDescent="0.25">
      <c r="C5" s="412" t="s">
        <v>0</v>
      </c>
      <c r="D5" s="416" t="s">
        <v>20</v>
      </c>
      <c r="E5" s="424" t="s">
        <v>101</v>
      </c>
      <c r="F5" s="424" t="s">
        <v>48</v>
      </c>
      <c r="G5" s="437" t="s">
        <v>145</v>
      </c>
      <c r="H5" s="420" t="s">
        <v>112</v>
      </c>
      <c r="I5" s="418" t="s">
        <v>113</v>
      </c>
      <c r="J5" s="422" t="s">
        <v>158</v>
      </c>
      <c r="K5" s="439" t="s">
        <v>289</v>
      </c>
      <c r="L5" s="418" t="s">
        <v>290</v>
      </c>
      <c r="M5" s="422" t="s">
        <v>291</v>
      </c>
      <c r="N5" s="422" t="s">
        <v>878</v>
      </c>
      <c r="O5" s="416" t="s">
        <v>32</v>
      </c>
      <c r="P5" s="437" t="s">
        <v>33</v>
      </c>
      <c r="Q5" s="426" t="s">
        <v>173</v>
      </c>
      <c r="R5" s="414" t="s">
        <v>171</v>
      </c>
    </row>
    <row r="6" spans="2:21" ht="35.1" customHeight="1" thickBot="1" x14ac:dyDescent="0.3">
      <c r="C6" s="413"/>
      <c r="D6" s="417"/>
      <c r="E6" s="425"/>
      <c r="F6" s="425"/>
      <c r="G6" s="438"/>
      <c r="H6" s="421"/>
      <c r="I6" s="419"/>
      <c r="J6" s="423"/>
      <c r="K6" s="440"/>
      <c r="L6" s="419"/>
      <c r="M6" s="423"/>
      <c r="N6" s="423"/>
      <c r="O6" s="417"/>
      <c r="P6" s="438"/>
      <c r="Q6" s="427"/>
      <c r="R6" s="415"/>
      <c r="U6" s="1"/>
    </row>
    <row r="7" spans="2:21" ht="15" customHeight="1" outlineLevel="1" x14ac:dyDescent="0.25">
      <c r="B7" s="407" t="s">
        <v>292</v>
      </c>
      <c r="C7" s="260">
        <f>Assumptions!D45</f>
        <v>2027</v>
      </c>
      <c r="D7" s="94">
        <f>IFERROR(_xlfn.XLOOKUP($C7,'Travel Time Savings'!$B$6:$B$25,'Travel Time Savings'!$J$6:$J$25,0,0,1),0)</f>
        <v>0</v>
      </c>
      <c r="E7" s="117">
        <f>IFERROR(_xlfn.XLOOKUP(C7,'Travel Time_Construction'!$B$7:$B$8,'Travel Time_Construction'!$J$7:$J$8),0)</f>
        <v>-766527.69368590135</v>
      </c>
      <c r="F7" s="117">
        <f>IFERROR(_xlfn.XLOOKUP($C7,'VOC Savings'!$B$6:$B$25,'VOC Savings'!$J$6:$J$25,0,0,1),0)</f>
        <v>0</v>
      </c>
      <c r="G7" s="92">
        <f>IFERROR(_xlfn.XLOOKUP(C7,VOC_Construction!$B$6:$B$7,VOC_Construction!$J$6:$J$7),0)</f>
        <v>-286627.19999999646</v>
      </c>
      <c r="H7" s="94">
        <f>IFERROR(_xlfn.XLOOKUP($C7,'Air Quality'!$B$6:$B$27,'Air Quality'!$D$6:$D$27,0,0,1),0)</f>
        <v>-45557.605575569614</v>
      </c>
      <c r="I7" s="117">
        <f>IFERROR(_xlfn.XLOOKUP($C7,'Air Quality'!$B$6:$B$27,'Air Quality'!$L$6:$L$27,0,0,1),0)</f>
        <v>-7224.752360330056</v>
      </c>
      <c r="J7" s="118">
        <f>IFERROR(_xlfn.XLOOKUP($C7,'Air Quality'!$B$6:$B$27,'Air Quality'!$E$6:$E$27,0,0,1),0)</f>
        <v>-41262.926991872562</v>
      </c>
      <c r="K7" s="94">
        <f>IFERROR(_xlfn.XLOOKUP($C7,'Corridor Safety Improvement'!B$6:B$25,'Corridor Safety Improvement'!E$6:E$25,0,0,1),0)</f>
        <v>0</v>
      </c>
      <c r="L7" s="117">
        <f>IFERROR(_xlfn.XLOOKUP($C7,'Intersection Safety Improvement'!$B$6:$B$25,'Intersection Safety Improvement'!$E$6:$E$25,0,0,1),0)</f>
        <v>0</v>
      </c>
      <c r="M7" s="93">
        <f>IFERROR(_xlfn.XLOOKUP($C7,'Construction Safety Improvement'!$B$6:$B$7,'Construction Safety Improvement'!$E$6:$E$7,0,0,1),0)</f>
        <v>-12199.769653128344</v>
      </c>
      <c r="N7" s="153">
        <f>IFERROR(_xlfn.XLOOKUP($C7,'Quality of Life Benefits '!$B$7:$B$26,'Quality of Life Benefits '!$L$7:$L$26,0,0,1),0)</f>
        <v>0</v>
      </c>
      <c r="O7" s="94">
        <f>IFERROR(_xlfn.XLOOKUP($C7,'O&amp;M + Rehab'!$B$5:$B$24,'O&amp;M + Rehab'!$J$5:$J$24,0,0,1),0)</f>
        <v>0</v>
      </c>
      <c r="P7" s="93">
        <f>IFERROR(_xlfn.XLOOKUP($C7,'Capital Cost + RCV'!$B$6:$B$30,'Capital Cost + RCV'!$E$6:$E$30,0,0,1),0)</f>
        <v>0</v>
      </c>
      <c r="Q7" s="119">
        <f>IFERROR(SUM(D7:I7,K7:P7),0)</f>
        <v>-1118137.0212749257</v>
      </c>
      <c r="R7" s="120">
        <f>IFERROR(SUM(D7:G7,I7,K7:P7)*(1+Assumptions!$D$24)^-($C7-Assumptions!$D$10)+J7,0)</f>
        <v>-962001.06305138709</v>
      </c>
    </row>
    <row r="8" spans="2:21" ht="15" customHeight="1" outlineLevel="1" thickBot="1" x14ac:dyDescent="0.3">
      <c r="B8" s="408"/>
      <c r="C8" s="340">
        <f>C7+1</f>
        <v>2028</v>
      </c>
      <c r="D8" s="87">
        <f>IFERROR(_xlfn.XLOOKUP($C8,'Travel Time Savings'!$B$6:$B$25,'Travel Time Savings'!$J$6:$J$25,0,0,1),0)</f>
        <v>0</v>
      </c>
      <c r="E8" s="126">
        <f>IFERROR(_xlfn.XLOOKUP(C8,'Travel Time_Construction'!$B$7:$B$8,'Travel Time_Construction'!$J$7:$J$8),0)</f>
        <v>-1544300.2924136417</v>
      </c>
      <c r="F8" s="126">
        <f>IFERROR(_xlfn.XLOOKUP($C8,'VOC Savings'!$B$6:$B$25,'VOC Savings'!$J$6:$J$25,0,0,1),0)</f>
        <v>0</v>
      </c>
      <c r="G8" s="85">
        <f>IFERROR(_xlfn.XLOOKUP(C8,VOC_Construction!$B$6:$B$7,VOC_Construction!$J$6:$J$7),0)</f>
        <v>-577459.19999998808</v>
      </c>
      <c r="H8" s="87">
        <f>IFERROR(_xlfn.XLOOKUP($C8,'Air Quality'!$B$6:$B$27,'Air Quality'!$D$6:$D$27,0,0,1),0)</f>
        <v>-93656.671309488054</v>
      </c>
      <c r="I8" s="126">
        <f>IFERROR(_xlfn.XLOOKUP($C8,'Air Quality'!$B$6:$B$27,'Air Quality'!$L$6:$L$27,0,0,1),0)</f>
        <v>-14795.822050109273</v>
      </c>
      <c r="J8" s="127">
        <f>IFERROR(_xlfn.XLOOKUP($C8,'Air Quality'!$B$6:$B$27,'Air Quality'!$E$6:$E$27,0,0,1),0)</f>
        <v>-83164.443873643977</v>
      </c>
      <c r="K8" s="87">
        <f>IFERROR(_xlfn.XLOOKUP($C8,'Corridor Safety Improvement'!B$6:B$25,'Corridor Safety Improvement'!E$6:E$25,0,0,1),0)</f>
        <v>0</v>
      </c>
      <c r="L8" s="165">
        <f>IFERROR(_xlfn.XLOOKUP($C8,'Intersection Safety Improvement'!$B$6:$B$25,'Intersection Safety Improvement'!$E$6:$E$25,0,0,1),0)</f>
        <v>0</v>
      </c>
      <c r="M8" s="86">
        <f>IFERROR(_xlfn.XLOOKUP($C8,'Construction Safety Improvement'!$B$6:$B$7,'Construction Safety Improvement'!$E$6:$E$7,0,0,1),0)</f>
        <v>-124639.8762409325</v>
      </c>
      <c r="N8" s="165">
        <f>IFERROR(_xlfn.XLOOKUP($C8,'Quality of Life Benefits '!$B$7:$B$26,'Quality of Life Benefits '!$L$7:$L$26,0,0,1),0)</f>
        <v>0</v>
      </c>
      <c r="O8" s="87">
        <f>IFERROR(_xlfn.XLOOKUP($C8,'O&amp;M + Rehab'!$B$5:$B$24,'O&amp;M + Rehab'!$J$5:$J$24,0,0,1),0)</f>
        <v>0</v>
      </c>
      <c r="P8" s="86">
        <f>IFERROR(_xlfn.XLOOKUP($C8,'Capital Cost + RCV'!$B$6:$B$30,'Capital Cost + RCV'!$E$6:$E$30,0,0,1),0)</f>
        <v>0</v>
      </c>
      <c r="Q8" s="128">
        <f t="shared" ref="Q8:Q30" si="0">IFERROR(SUM(D8:I8,K8:P8),0)</f>
        <v>-2354851.8620141596</v>
      </c>
      <c r="R8" s="129">
        <f>IFERROR(SUM(D8:G8,I8,K8:P8)*(1+Assumptions!$D$24)^-($C8-Assumptions!$D$10)+J8,0)</f>
        <v>-1965885.8540255236</v>
      </c>
    </row>
    <row r="9" spans="2:21" ht="15" customHeight="1" x14ac:dyDescent="0.25">
      <c r="B9" s="409" t="s">
        <v>293</v>
      </c>
      <c r="C9" s="339">
        <f>C8+1</f>
        <v>2029</v>
      </c>
      <c r="D9" s="154">
        <f>IFERROR(_xlfn.XLOOKUP($C9,'Travel Time Savings'!$B$6:$B$25,'Travel Time Savings'!$J$6:$J$25,0,0,1),0)</f>
        <v>0</v>
      </c>
      <c r="E9" s="170">
        <f>IFERROR(_xlfn.XLOOKUP(C9,'Travel Time_Construction'!$B$7:$B$8,'Travel Time_Construction'!$J$7:$J$8),0)</f>
        <v>0</v>
      </c>
      <c r="F9" s="170">
        <f>IFERROR(_xlfn.XLOOKUP($C9,'VOC Savings'!$B$6:$B$25,'VOC Savings'!$J$6:$J$25,0,0,1),0)</f>
        <v>0</v>
      </c>
      <c r="G9" s="213">
        <f>IFERROR(_xlfn.XLOOKUP(C9,VOC_Construction!$B$6:$B$7,VOC_Construction!$J$6:$J$7),0)</f>
        <v>0</v>
      </c>
      <c r="H9" s="154">
        <f>IFERROR(_xlfn.XLOOKUP($C9,'Air Quality'!$B$6:$B$27,'Air Quality'!$D$6:$D$27,0,0,1),0)</f>
        <v>0</v>
      </c>
      <c r="I9" s="170">
        <f>IFERROR(_xlfn.XLOOKUP($C9,'Air Quality'!$B$6:$B$27,'Air Quality'!$L$6:$L$27,0,0,1),0)</f>
        <v>0</v>
      </c>
      <c r="J9" s="271">
        <f>IFERROR(_xlfn.XLOOKUP($C9,'Air Quality'!$B$6:$B$27,'Air Quality'!$E$6:$E$27,0,0,1),0)</f>
        <v>0</v>
      </c>
      <c r="K9" s="154">
        <f>IFERROR(_xlfn.XLOOKUP($C9,'Corridor Safety Improvement'!B$6:B$25,'Corridor Safety Improvement'!E$6:E$25,0,0,1),0)</f>
        <v>3355524.9140779255</v>
      </c>
      <c r="L9" s="272">
        <f>IFERROR(_xlfn.XLOOKUP($C9,'Intersection Safety Improvement'!$B$6:$B$25,'Intersection Safety Improvement'!$E$6:$E$25,0,0,1),0)</f>
        <v>311206.15970695985</v>
      </c>
      <c r="M9" s="155">
        <f>IFERROR(_xlfn.XLOOKUP($C9,'Construction Safety Improvement'!$B$6:$B$7,'Construction Safety Improvement'!$E$6:$E$7,0,0,1),0)</f>
        <v>0</v>
      </c>
      <c r="N9" s="272">
        <f>IFERROR(_xlfn.XLOOKUP($C9,'Quality of Life Benefits '!$B$7:$B$26,'Quality of Life Benefits '!$L$7:$L$26,0,0,1),0)</f>
        <v>258698.00914955253</v>
      </c>
      <c r="O9" s="154">
        <f>IFERROR(_xlfn.XLOOKUP($C9,'O&amp;M + Rehab'!$B$5:$B$24,'O&amp;M + Rehab'!$J$5:$J$24,0,0,1),0)</f>
        <v>21597.24005</v>
      </c>
      <c r="P9" s="155">
        <f>IFERROR(_xlfn.XLOOKUP($C9,'Capital Cost + RCV'!$B$6:$B$30,'Capital Cost + RCV'!$E$6:$E$30,0,0,1),0)</f>
        <v>0</v>
      </c>
      <c r="Q9" s="273">
        <f t="shared" si="0"/>
        <v>3947026.3229844379</v>
      </c>
      <c r="R9" s="274">
        <f>IFERROR(SUM(D9:G9,I9,K9:P9)*(1+Assumptions!$D$24)^-($C9-Assumptions!$D$10)+J9,0)</f>
        <v>3187567.32084481</v>
      </c>
    </row>
    <row r="10" spans="2:21" ht="15" customHeight="1" x14ac:dyDescent="0.25">
      <c r="B10" s="410"/>
      <c r="C10" s="263">
        <f>C9+1</f>
        <v>2030</v>
      </c>
      <c r="D10" s="84">
        <f>IFERROR(_xlfn.XLOOKUP($C10,'Travel Time Savings'!$B$6:$B$25,'Travel Time Savings'!$J$6:$J$25,0,0,1),0)</f>
        <v>0</v>
      </c>
      <c r="E10" s="122">
        <f>IFERROR(_xlfn.XLOOKUP(C10,'Travel Time_Construction'!$B$7:$B$8,'Travel Time_Construction'!$J$7:$J$8),0)</f>
        <v>0</v>
      </c>
      <c r="F10" s="122">
        <f>IFERROR(_xlfn.XLOOKUP($C10,'VOC Savings'!$B$6:$B$25,'VOC Savings'!$J$6:$J$25,0,0,1),0)</f>
        <v>0</v>
      </c>
      <c r="G10" s="82">
        <f>IFERROR(_xlfn.XLOOKUP(C10,VOC_Construction!$B$6:$B$7,VOC_Construction!$J$6:$J$7),0)</f>
        <v>0</v>
      </c>
      <c r="H10" s="84">
        <f>IFERROR(_xlfn.XLOOKUP($C10,'Air Quality'!$B$6:$B$27,'Air Quality'!$D$6:$D$27,0,0,1),0)</f>
        <v>0</v>
      </c>
      <c r="I10" s="122">
        <f>IFERROR(_xlfn.XLOOKUP($C10,'Air Quality'!$B$6:$B$27,'Air Quality'!$L$6:$L$27,0,0,1),0)</f>
        <v>0</v>
      </c>
      <c r="J10" s="123">
        <f>IFERROR(_xlfn.XLOOKUP($C10,'Air Quality'!$B$6:$B$27,'Air Quality'!$E$6:$E$27,0,0,1),0)</f>
        <v>0</v>
      </c>
      <c r="K10" s="84">
        <f>IFERROR(_xlfn.XLOOKUP($C10,'Corridor Safety Improvement'!B$6:B$25,'Corridor Safety Improvement'!E$6:E$25,0,0,1),0)</f>
        <v>3379781.7206857186</v>
      </c>
      <c r="L10" s="159">
        <f>IFERROR(_xlfn.XLOOKUP($C10,'Intersection Safety Improvement'!$B$6:$B$25,'Intersection Safety Improvement'!$E$6:$E$25,0,0,1),0)</f>
        <v>313624.31567765551</v>
      </c>
      <c r="M10" s="83">
        <f>IFERROR(_xlfn.XLOOKUP($C10,'Construction Safety Improvement'!$B$6:$B$7,'Construction Safety Improvement'!$E$6:$E$7,0,0,1),0)</f>
        <v>0</v>
      </c>
      <c r="N10" s="159">
        <f>IFERROR(_xlfn.XLOOKUP($C10,'Quality of Life Benefits '!$B$7:$B$26,'Quality of Life Benefits '!$L$7:$L$26,0,0,1),0)</f>
        <v>261414.33824562276</v>
      </c>
      <c r="O10" s="84">
        <f>IFERROR(_xlfn.XLOOKUP($C10,'O&amp;M + Rehab'!$B$5:$B$24,'O&amp;M + Rehab'!$J$5:$J$24,0,0,1),0)</f>
        <v>71597.340049999999</v>
      </c>
      <c r="P10" s="83">
        <f>IFERROR(_xlfn.XLOOKUP($C10,'Capital Cost + RCV'!$B$6:$B$30,'Capital Cost + RCV'!$E$6:$E$30,0,0,1),0)</f>
        <v>0</v>
      </c>
      <c r="Q10" s="124">
        <f t="shared" si="0"/>
        <v>4026417.714658997</v>
      </c>
      <c r="R10" s="125">
        <f>IFERROR(SUM(D10:G10,I10,K10:P10)*(1+Assumptions!$D$24)^-($C10-Assumptions!$D$10)+J10,0)</f>
        <v>3153911.5229561925</v>
      </c>
    </row>
    <row r="11" spans="2:21" ht="15" customHeight="1" x14ac:dyDescent="0.25">
      <c r="B11" s="410"/>
      <c r="C11" s="263">
        <f t="shared" ref="C11:C28" si="1">C10+1</f>
        <v>2031</v>
      </c>
      <c r="D11" s="84">
        <f>IFERROR(_xlfn.XLOOKUP($C11,'Travel Time Savings'!$B$6:$B$25,'Travel Time Savings'!$J$6:$J$25,0,0,1),0)</f>
        <v>0</v>
      </c>
      <c r="E11" s="122">
        <f>IFERROR(_xlfn.XLOOKUP(C11,'Travel Time_Construction'!$B$7:$B$8,'Travel Time_Construction'!$J$7:$J$8),0)</f>
        <v>0</v>
      </c>
      <c r="F11" s="122">
        <f>IFERROR(_xlfn.XLOOKUP($C11,'VOC Savings'!$B$6:$B$25,'VOC Savings'!$J$6:$J$25,0,0,1),0)</f>
        <v>0</v>
      </c>
      <c r="G11" s="82">
        <f>IFERROR(_xlfn.XLOOKUP(C11,VOC_Construction!$B$6:$B$7,VOC_Construction!$J$6:$J$7),0)</f>
        <v>0</v>
      </c>
      <c r="H11" s="84">
        <f>IFERROR(_xlfn.XLOOKUP($C11,'Air Quality'!$B$6:$B$27,'Air Quality'!$D$6:$D$27,0,0,1),0)</f>
        <v>0</v>
      </c>
      <c r="I11" s="122">
        <f>IFERROR(_xlfn.XLOOKUP($C11,'Air Quality'!$B$6:$B$27,'Air Quality'!$L$6:$L$27,0,0,1),0)</f>
        <v>0</v>
      </c>
      <c r="J11" s="123">
        <f>IFERROR(_xlfn.XLOOKUP($C11,'Air Quality'!$B$6:$B$27,'Air Quality'!$E$6:$E$27,0,0,1),0)</f>
        <v>0</v>
      </c>
      <c r="K11" s="84">
        <f>IFERROR(_xlfn.XLOOKUP($C11,'Corridor Safety Improvement'!B$6:B$25,'Corridor Safety Improvement'!E$6:E$25,0,0,1),0)</f>
        <v>3404038.5272935042</v>
      </c>
      <c r="L11" s="159">
        <f>IFERROR(_xlfn.XLOOKUP($C11,'Intersection Safety Improvement'!$B$6:$B$25,'Intersection Safety Improvement'!$E$6:$E$25,0,0,1),0)</f>
        <v>316042.47164835158</v>
      </c>
      <c r="M11" s="83">
        <f>IFERROR(_xlfn.XLOOKUP($C11,'Construction Safety Improvement'!$B$6:$B$7,'Construction Safety Improvement'!$E$6:$E$7,0,0,1),0)</f>
        <v>0</v>
      </c>
      <c r="N11" s="159">
        <f>IFERROR(_xlfn.XLOOKUP($C11,'Quality of Life Benefits '!$B$7:$B$26,'Quality of Life Benefits '!$L$7:$L$26,0,0,1),0)</f>
        <v>264159.18879720184</v>
      </c>
      <c r="O11" s="84">
        <f>IFERROR(_xlfn.XLOOKUP($C11,'O&amp;M + Rehab'!$B$5:$B$24,'O&amp;M + Rehab'!$J$5:$J$24,0,0,1),0)</f>
        <v>54930.640049999987</v>
      </c>
      <c r="P11" s="83">
        <f>IFERROR(_xlfn.XLOOKUP($C11,'Capital Cost + RCV'!$B$6:$B$30,'Capital Cost + RCV'!$E$6:$E$30,0,0,1),0)</f>
        <v>0</v>
      </c>
      <c r="Q11" s="124">
        <f t="shared" si="0"/>
        <v>4039170.827789058</v>
      </c>
      <c r="R11" s="125">
        <f>IFERROR(SUM(D11:G11,I11,K11:P11)*(1+Assumptions!$D$24)^-($C11-Assumptions!$D$10)+J11,0)</f>
        <v>3068769.2484508678</v>
      </c>
    </row>
    <row r="12" spans="2:21" ht="15" customHeight="1" x14ac:dyDescent="0.25">
      <c r="B12" s="410"/>
      <c r="C12" s="263">
        <f t="shared" si="1"/>
        <v>2032</v>
      </c>
      <c r="D12" s="84">
        <f>IFERROR(_xlfn.XLOOKUP($C12,'Travel Time Savings'!$B$6:$B$25,'Travel Time Savings'!$J$6:$J$25,0,0,1),0)</f>
        <v>0</v>
      </c>
      <c r="E12" s="122">
        <f>IFERROR(_xlfn.XLOOKUP(C12,'Travel Time_Construction'!$B$7:$B$8,'Travel Time_Construction'!$J$7:$J$8),0)</f>
        <v>0</v>
      </c>
      <c r="F12" s="122">
        <f>IFERROR(_xlfn.XLOOKUP($C12,'VOC Savings'!$B$6:$B$25,'VOC Savings'!$J$6:$J$25,0,0,1),0)</f>
        <v>0</v>
      </c>
      <c r="G12" s="82">
        <f>IFERROR(_xlfn.XLOOKUP(C12,VOC_Construction!$B$6:$B$7,VOC_Construction!$J$6:$J$7),0)</f>
        <v>0</v>
      </c>
      <c r="H12" s="84">
        <f>IFERROR(_xlfn.XLOOKUP($C12,'Air Quality'!$B$6:$B$27,'Air Quality'!$D$6:$D$27,0,0,1),0)</f>
        <v>0</v>
      </c>
      <c r="I12" s="122">
        <f>IFERROR(_xlfn.XLOOKUP($C12,'Air Quality'!$B$6:$B$27,'Air Quality'!$L$6:$L$27,0,0,1),0)</f>
        <v>0</v>
      </c>
      <c r="J12" s="123">
        <f>IFERROR(_xlfn.XLOOKUP($C12,'Air Quality'!$B$6:$B$27,'Air Quality'!$E$6:$E$27,0,0,1),0)</f>
        <v>0</v>
      </c>
      <c r="K12" s="84">
        <f>IFERROR(_xlfn.XLOOKUP($C12,'Corridor Safety Improvement'!B$6:B$25,'Corridor Safety Improvement'!E$6:E$25,0,0,1),0)</f>
        <v>3428295.3339012978</v>
      </c>
      <c r="L12" s="159">
        <f>IFERROR(_xlfn.XLOOKUP($C12,'Intersection Safety Improvement'!$B$6:$B$25,'Intersection Safety Improvement'!$E$6:$E$25,0,0,1),0)</f>
        <v>318460.62761904765</v>
      </c>
      <c r="M12" s="83">
        <f>IFERROR(_xlfn.XLOOKUP($C12,'Construction Safety Improvement'!$B$6:$B$7,'Construction Safety Improvement'!$E$6:$E$7,0,0,1),0)</f>
        <v>0</v>
      </c>
      <c r="N12" s="159">
        <f>IFERROR(_xlfn.XLOOKUP($C12,'Quality of Life Benefits '!$B$7:$B$26,'Quality of Life Benefits '!$L$7:$L$26,0,0,1),0)</f>
        <v>266932.86027957249</v>
      </c>
      <c r="O12" s="84">
        <f>IFERROR(_xlfn.XLOOKUP($C12,'O&amp;M + Rehab'!$B$5:$B$24,'O&amp;M + Rehab'!$J$5:$J$24,0,0,1),0)</f>
        <v>-61736.259950000007</v>
      </c>
      <c r="P12" s="83">
        <f>IFERROR(_xlfn.XLOOKUP($C12,'Capital Cost + RCV'!$B$6:$B$30,'Capital Cost + RCV'!$E$6:$E$30,0,0,1),0)</f>
        <v>0</v>
      </c>
      <c r="Q12" s="124">
        <f t="shared" si="0"/>
        <v>3951952.5618499182</v>
      </c>
      <c r="R12" s="125">
        <f>IFERROR(SUM(D12:G12,I12,K12:P12)*(1+Assumptions!$D$24)^-($C12-Assumptions!$D$10)+J12,0)</f>
        <v>2912225.9670097381</v>
      </c>
    </row>
    <row r="13" spans="2:21" ht="15" customHeight="1" x14ac:dyDescent="0.25">
      <c r="B13" s="410"/>
      <c r="C13" s="263">
        <f t="shared" si="1"/>
        <v>2033</v>
      </c>
      <c r="D13" s="84">
        <f>IFERROR(_xlfn.XLOOKUP($C13,'Travel Time Savings'!$B$6:$B$25,'Travel Time Savings'!$J$6:$J$25,0,0,1),0)</f>
        <v>0</v>
      </c>
      <c r="E13" s="122">
        <f>IFERROR(_xlfn.XLOOKUP(C13,'Travel Time_Construction'!$B$7:$B$8,'Travel Time_Construction'!$J$7:$J$8),0)</f>
        <v>0</v>
      </c>
      <c r="F13" s="122">
        <f>IFERROR(_xlfn.XLOOKUP($C13,'VOC Savings'!$B$6:$B$25,'VOC Savings'!$J$6:$J$25,0,0,1),0)</f>
        <v>0</v>
      </c>
      <c r="G13" s="82">
        <f>IFERROR(_xlfn.XLOOKUP(C13,VOC_Construction!$B$6:$B$7,VOC_Construction!$J$6:$J$7),0)</f>
        <v>0</v>
      </c>
      <c r="H13" s="84">
        <f>IFERROR(_xlfn.XLOOKUP($C13,'Air Quality'!$B$6:$B$27,'Air Quality'!$D$6:$D$27,0,0,1),0)</f>
        <v>0</v>
      </c>
      <c r="I13" s="122">
        <f>IFERROR(_xlfn.XLOOKUP($C13,'Air Quality'!$B$6:$B$27,'Air Quality'!$L$6:$L$27,0,0,1),0)</f>
        <v>0</v>
      </c>
      <c r="J13" s="123">
        <f>IFERROR(_xlfn.XLOOKUP($C13,'Air Quality'!$B$6:$B$27,'Air Quality'!$E$6:$E$27,0,0,1),0)</f>
        <v>0</v>
      </c>
      <c r="K13" s="84">
        <f>IFERROR(_xlfn.XLOOKUP($C13,'Corridor Safety Improvement'!B$6:B$25,'Corridor Safety Improvement'!E$6:E$25,0,0,1),0)</f>
        <v>3452552.1405090918</v>
      </c>
      <c r="L13" s="159">
        <f>IFERROR(_xlfn.XLOOKUP($C13,'Intersection Safety Improvement'!$B$6:$B$25,'Intersection Safety Improvement'!$E$6:$E$25,0,0,1),0)</f>
        <v>320878.78358974378</v>
      </c>
      <c r="M13" s="83">
        <f>IFERROR(_xlfn.XLOOKUP($C13,'Construction Safety Improvement'!$B$6:$B$7,'Construction Safety Improvement'!$E$6:$E$7,0,0,1),0)</f>
        <v>0</v>
      </c>
      <c r="N13" s="159">
        <f>IFERROR(_xlfn.XLOOKUP($C13,'Quality of Life Benefits '!$B$7:$B$26,'Quality of Life Benefits '!$L$7:$L$26,0,0,1),0)</f>
        <v>269735.655312508</v>
      </c>
      <c r="O13" s="84">
        <f>IFERROR(_xlfn.XLOOKUP($C13,'O&amp;M + Rehab'!$B$5:$B$24,'O&amp;M + Rehab'!$J$5:$J$24,0,0,1),0)</f>
        <v>1914797.3400500002</v>
      </c>
      <c r="P13" s="83">
        <f>IFERROR(_xlfn.XLOOKUP($C13,'Capital Cost + RCV'!$B$6:$B$30,'Capital Cost + RCV'!$E$6:$E$30,0,0,1),0)</f>
        <v>0</v>
      </c>
      <c r="Q13" s="124">
        <f t="shared" si="0"/>
        <v>5957963.9194613434</v>
      </c>
      <c r="R13" s="125">
        <f>IFERROR(SUM(D13:G13,I13,K13:P13)*(1+Assumptions!$D$24)^-($C13-Assumptions!$D$10)+J13,0)</f>
        <v>4258459.7892052187</v>
      </c>
    </row>
    <row r="14" spans="2:21" ht="15" customHeight="1" x14ac:dyDescent="0.25">
      <c r="B14" s="410"/>
      <c r="C14" s="263">
        <f t="shared" si="1"/>
        <v>2034</v>
      </c>
      <c r="D14" s="84">
        <f>IFERROR(_xlfn.XLOOKUP($C14,'Travel Time Savings'!$B$6:$B$25,'Travel Time Savings'!$J$6:$J$25,0,0,1),0)</f>
        <v>0</v>
      </c>
      <c r="E14" s="122">
        <f>IFERROR(_xlfn.XLOOKUP(C14,'Travel Time_Construction'!$B$7:$B$8,'Travel Time_Construction'!$J$7:$J$8),0)</f>
        <v>0</v>
      </c>
      <c r="F14" s="122">
        <f>IFERROR(_xlfn.XLOOKUP($C14,'VOC Savings'!$B$6:$B$25,'VOC Savings'!$J$6:$J$25,0,0,1),0)</f>
        <v>0</v>
      </c>
      <c r="G14" s="82">
        <f>IFERROR(_xlfn.XLOOKUP(C14,VOC_Construction!$B$6:$B$7,VOC_Construction!$J$6:$J$7),0)</f>
        <v>0</v>
      </c>
      <c r="H14" s="84">
        <f>IFERROR(_xlfn.XLOOKUP($C14,'Air Quality'!$B$6:$B$27,'Air Quality'!$D$6:$D$27,0,0,1),0)</f>
        <v>0</v>
      </c>
      <c r="I14" s="122">
        <f>IFERROR(_xlfn.XLOOKUP($C14,'Air Quality'!$B$6:$B$27,'Air Quality'!$L$6:$L$27,0,0,1),0)</f>
        <v>0</v>
      </c>
      <c r="J14" s="123">
        <f>IFERROR(_xlfn.XLOOKUP($C14,'Air Quality'!$B$6:$B$27,'Air Quality'!$E$6:$E$27,0,0,1),0)</f>
        <v>0</v>
      </c>
      <c r="K14" s="84">
        <f>IFERROR(_xlfn.XLOOKUP($C14,'Corridor Safety Improvement'!B$6:B$25,'Corridor Safety Improvement'!E$6:E$25,0,0,1),0)</f>
        <v>3476808.9471168835</v>
      </c>
      <c r="L14" s="159">
        <f>IFERROR(_xlfn.XLOOKUP($C14,'Intersection Safety Improvement'!$B$6:$B$25,'Intersection Safety Improvement'!$E$6:$E$25,0,0,1),0)</f>
        <v>323296.9395604392</v>
      </c>
      <c r="M14" s="83">
        <f>IFERROR(_xlfn.XLOOKUP($C14,'Construction Safety Improvement'!$B$6:$B$7,'Construction Safety Improvement'!$E$6:$E$7,0,0,1),0)</f>
        <v>0</v>
      </c>
      <c r="N14" s="159">
        <f>IFERROR(_xlfn.XLOOKUP($C14,'Quality of Life Benefits '!$B$7:$B$26,'Quality of Life Benefits '!$L$7:$L$26,0,0,1),0)</f>
        <v>272567.87969328935</v>
      </c>
      <c r="O14" s="84">
        <f>IFERROR(_xlfn.XLOOKUP($C14,'O&amp;M + Rehab'!$B$5:$B$24,'O&amp;M + Rehab'!$J$5:$J$24,0,0,1),0)</f>
        <v>104930.74004999999</v>
      </c>
      <c r="P14" s="83">
        <f>IFERROR(_xlfn.XLOOKUP($C14,'Capital Cost + RCV'!$B$6:$B$30,'Capital Cost + RCV'!$E$6:$E$30,0,0,1),0)</f>
        <v>0</v>
      </c>
      <c r="Q14" s="124">
        <f t="shared" si="0"/>
        <v>4177604.5064206123</v>
      </c>
      <c r="R14" s="125">
        <f>IFERROR(SUM(D14:G14,I14,K14:P14)*(1+Assumptions!$D$24)^-($C14-Assumptions!$D$10)+J14,0)</f>
        <v>2896165.2583845942</v>
      </c>
    </row>
    <row r="15" spans="2:21" ht="15" customHeight="1" x14ac:dyDescent="0.25">
      <c r="B15" s="410"/>
      <c r="C15" s="263">
        <f t="shared" si="1"/>
        <v>2035</v>
      </c>
      <c r="D15" s="84">
        <f>IFERROR(_xlfn.XLOOKUP($C15,'Travel Time Savings'!$B$6:$B$25,'Travel Time Savings'!$J$6:$J$25,0,0,1),0)</f>
        <v>0</v>
      </c>
      <c r="E15" s="122">
        <f>IFERROR(_xlfn.XLOOKUP(C15,'Travel Time_Construction'!$B$7:$B$8,'Travel Time_Construction'!$J$7:$J$8),0)</f>
        <v>0</v>
      </c>
      <c r="F15" s="122">
        <f>IFERROR(_xlfn.XLOOKUP($C15,'VOC Savings'!$B$6:$B$25,'VOC Savings'!$J$6:$J$25,0,0,1),0)</f>
        <v>0</v>
      </c>
      <c r="G15" s="82">
        <f>IFERROR(_xlfn.XLOOKUP(C15,VOC_Construction!$B$6:$B$7,VOC_Construction!$J$6:$J$7),0)</f>
        <v>0</v>
      </c>
      <c r="H15" s="84">
        <f>IFERROR(_xlfn.XLOOKUP($C15,'Air Quality'!$B$6:$B$27,'Air Quality'!$D$6:$D$27,0,0,1),0)</f>
        <v>0</v>
      </c>
      <c r="I15" s="122">
        <f>IFERROR(_xlfn.XLOOKUP($C15,'Air Quality'!$B$6:$B$27,'Air Quality'!$L$6:$L$27,0,0,1),0)</f>
        <v>0</v>
      </c>
      <c r="J15" s="123">
        <f>IFERROR(_xlfn.XLOOKUP($C15,'Air Quality'!$B$6:$B$27,'Air Quality'!$E$6:$E$27,0,0,1),0)</f>
        <v>0</v>
      </c>
      <c r="K15" s="84">
        <f>IFERROR(_xlfn.XLOOKUP($C15,'Corridor Safety Improvement'!B$6:B$25,'Corridor Safety Improvement'!E$6:E$25,0,0,1),0)</f>
        <v>3501065.7537246775</v>
      </c>
      <c r="L15" s="159">
        <f>IFERROR(_xlfn.XLOOKUP($C15,'Intersection Safety Improvement'!$B$6:$B$25,'Intersection Safety Improvement'!$E$6:$E$25,0,0,1),0)</f>
        <v>325715.09553113545</v>
      </c>
      <c r="M15" s="83">
        <f>IFERROR(_xlfn.XLOOKUP($C15,'Construction Safety Improvement'!$B$6:$B$7,'Construction Safety Improvement'!$E$6:$E$7,0,0,1),0)</f>
        <v>0</v>
      </c>
      <c r="N15" s="159">
        <f>IFERROR(_xlfn.XLOOKUP($C15,'Quality of Life Benefits '!$B$7:$B$26,'Quality of Life Benefits '!$L$7:$L$26,0,0,1),0)</f>
        <v>275429.84243006882</v>
      </c>
      <c r="O15" s="84">
        <f>IFERROR(_xlfn.XLOOKUP($C15,'O&amp;M + Rehab'!$B$5:$B$24,'O&amp;M + Rehab'!$J$5:$J$24,0,0,1),0)</f>
        <v>21597.24005</v>
      </c>
      <c r="P15" s="83">
        <f>IFERROR(_xlfn.XLOOKUP($C15,'Capital Cost + RCV'!$B$6:$B$30,'Capital Cost + RCV'!$E$6:$E$30,0,0,1),0)</f>
        <v>0</v>
      </c>
      <c r="Q15" s="124">
        <f t="shared" si="0"/>
        <v>4123807.9317358816</v>
      </c>
      <c r="R15" s="125">
        <f>IFERROR(SUM(D15:G15,I15,K15:P15)*(1+Assumptions!$D$24)^-($C15-Assumptions!$D$10)+J15,0)</f>
        <v>2772910.0444791606</v>
      </c>
    </row>
    <row r="16" spans="2:21" ht="15" customHeight="1" x14ac:dyDescent="0.25">
      <c r="B16" s="410"/>
      <c r="C16" s="263">
        <f t="shared" si="1"/>
        <v>2036</v>
      </c>
      <c r="D16" s="84">
        <f>IFERROR(_xlfn.XLOOKUP($C16,'Travel Time Savings'!$B$6:$B$25,'Travel Time Savings'!$J$6:$J$25,0,0,1),0)</f>
        <v>0</v>
      </c>
      <c r="E16" s="122">
        <f>IFERROR(_xlfn.XLOOKUP(C16,'Travel Time_Construction'!$B$7:$B$8,'Travel Time_Construction'!$J$7:$J$8),0)</f>
        <v>0</v>
      </c>
      <c r="F16" s="122">
        <f>IFERROR(_xlfn.XLOOKUP($C16,'VOC Savings'!$B$6:$B$25,'VOC Savings'!$J$6:$J$25,0,0,1),0)</f>
        <v>0</v>
      </c>
      <c r="G16" s="82">
        <f>IFERROR(_xlfn.XLOOKUP(C16,VOC_Construction!$B$6:$B$7,VOC_Construction!$J$6:$J$7),0)</f>
        <v>0</v>
      </c>
      <c r="H16" s="84">
        <f>IFERROR(_xlfn.XLOOKUP($C16,'Air Quality'!$B$6:$B$27,'Air Quality'!$D$6:$D$27,0,0,1),0)</f>
        <v>0</v>
      </c>
      <c r="I16" s="122">
        <f>IFERROR(_xlfn.XLOOKUP($C16,'Air Quality'!$B$6:$B$27,'Air Quality'!$L$6:$L$27,0,0,1),0)</f>
        <v>0</v>
      </c>
      <c r="J16" s="123">
        <f>IFERROR(_xlfn.XLOOKUP($C16,'Air Quality'!$B$6:$B$27,'Air Quality'!$E$6:$E$27,0,0,1),0)</f>
        <v>0</v>
      </c>
      <c r="K16" s="84">
        <f>IFERROR(_xlfn.XLOOKUP($C16,'Corridor Safety Improvement'!B$6:B$25,'Corridor Safety Improvement'!E$6:E$25,0,0,1),0)</f>
        <v>3525322.560332471</v>
      </c>
      <c r="L16" s="159">
        <f>IFERROR(_xlfn.XLOOKUP($C16,'Intersection Safety Improvement'!$B$6:$B$25,'Intersection Safety Improvement'!$E$6:$E$25,0,0,1),0)</f>
        <v>328133.25150183146</v>
      </c>
      <c r="M16" s="83">
        <f>IFERROR(_xlfn.XLOOKUP($C16,'Construction Safety Improvement'!$B$6:$B$7,'Construction Safety Improvement'!$E$6:$E$7,0,0,1),0)</f>
        <v>0</v>
      </c>
      <c r="N16" s="159">
        <f>IFERROR(_xlfn.XLOOKUP($C16,'Quality of Life Benefits '!$B$7:$B$26,'Quality of Life Benefits '!$L$7:$L$26,0,0,1),0)</f>
        <v>278321.85577558458</v>
      </c>
      <c r="O16" s="84">
        <f>IFERROR(_xlfn.XLOOKUP($C16,'O&amp;M + Rehab'!$B$5:$B$24,'O&amp;M + Rehab'!$J$5:$J$24,0,0,1),0)</f>
        <v>71597.340049999999</v>
      </c>
      <c r="P16" s="83">
        <f>IFERROR(_xlfn.XLOOKUP($C16,'Capital Cost + RCV'!$B$6:$B$30,'Capital Cost + RCV'!$E$6:$E$30,0,0,1),0)</f>
        <v>0</v>
      </c>
      <c r="Q16" s="124">
        <f t="shared" si="0"/>
        <v>4203375.007659887</v>
      </c>
      <c r="R16" s="125">
        <f>IFERROR(SUM(D16:G16,I16,K16:P16)*(1+Assumptions!$D$24)^-($C16-Assumptions!$D$10)+J16,0)</f>
        <v>2741427.8707133108</v>
      </c>
    </row>
    <row r="17" spans="2:18" ht="15" customHeight="1" x14ac:dyDescent="0.25">
      <c r="B17" s="410"/>
      <c r="C17" s="263">
        <f t="shared" si="1"/>
        <v>2037</v>
      </c>
      <c r="D17" s="84">
        <f>IFERROR(_xlfn.XLOOKUP($C17,'Travel Time Savings'!$B$6:$B$25,'Travel Time Savings'!$J$6:$J$25,0,0,1),0)</f>
        <v>0</v>
      </c>
      <c r="E17" s="122">
        <f>IFERROR(_xlfn.XLOOKUP(C17,'Travel Time_Construction'!$B$7:$B$8,'Travel Time_Construction'!$J$7:$J$8),0)</f>
        <v>0</v>
      </c>
      <c r="F17" s="122">
        <f>IFERROR(_xlfn.XLOOKUP($C17,'VOC Savings'!$B$6:$B$25,'VOC Savings'!$J$6:$J$25,0,0,1),0)</f>
        <v>0</v>
      </c>
      <c r="G17" s="82">
        <f>IFERROR(_xlfn.XLOOKUP(C17,VOC_Construction!$B$6:$B$7,VOC_Construction!$J$6:$J$7),0)</f>
        <v>0</v>
      </c>
      <c r="H17" s="84">
        <f>IFERROR(_xlfn.XLOOKUP($C17,'Air Quality'!$B$6:$B$27,'Air Quality'!$D$6:$D$27,0,0,1),0)</f>
        <v>0</v>
      </c>
      <c r="I17" s="122">
        <f>IFERROR(_xlfn.XLOOKUP($C17,'Air Quality'!$B$6:$B$27,'Air Quality'!$L$6:$L$27,0,0,1),0)</f>
        <v>0</v>
      </c>
      <c r="J17" s="123">
        <f>IFERROR(_xlfn.XLOOKUP($C17,'Air Quality'!$B$6:$B$27,'Air Quality'!$E$6:$E$27,0,0,1),0)</f>
        <v>0</v>
      </c>
      <c r="K17" s="84">
        <f>IFERROR(_xlfn.XLOOKUP($C17,'Corridor Safety Improvement'!B$6:B$25,'Corridor Safety Improvement'!E$6:E$25,0,0,1),0)</f>
        <v>3549579.3669402655</v>
      </c>
      <c r="L17" s="159">
        <f>IFERROR(_xlfn.XLOOKUP($C17,'Intersection Safety Improvement'!$B$6:$B$25,'Intersection Safety Improvement'!$E$6:$E$25,0,0,1),0)</f>
        <v>330551.4074725277</v>
      </c>
      <c r="M17" s="83">
        <f>IFERROR(_xlfn.XLOOKUP($C17,'Construction Safety Improvement'!$B$6:$B$7,'Construction Safety Improvement'!$E$6:$E$7,0,0,1),0)</f>
        <v>0</v>
      </c>
      <c r="N17" s="159">
        <f>IFERROR(_xlfn.XLOOKUP($C17,'Quality of Life Benefits '!$B$7:$B$26,'Quality of Life Benefits '!$L$7:$L$26,0,0,1),0)</f>
        <v>281244.23526122823</v>
      </c>
      <c r="O17" s="84">
        <f>IFERROR(_xlfn.XLOOKUP($C17,'O&amp;M + Rehab'!$B$5:$B$24,'O&amp;M + Rehab'!$J$5:$J$24,0,0,1),0)</f>
        <v>104930.74004999999</v>
      </c>
      <c r="P17" s="83">
        <f>IFERROR(_xlfn.XLOOKUP($C17,'Capital Cost + RCV'!$B$6:$B$30,'Capital Cost + RCV'!$E$6:$E$30,0,0,1),0)</f>
        <v>0</v>
      </c>
      <c r="Q17" s="124">
        <f t="shared" si="0"/>
        <v>4266305.7497240212</v>
      </c>
      <c r="R17" s="125">
        <f>IFERROR(SUM(D17:G17,I17,K17:P17)*(1+Assumptions!$D$24)^-($C17-Assumptions!$D$10)+J17,0)</f>
        <v>2698808.0518214279</v>
      </c>
    </row>
    <row r="18" spans="2:18" ht="15" customHeight="1" x14ac:dyDescent="0.25">
      <c r="B18" s="410"/>
      <c r="C18" s="263">
        <f t="shared" si="1"/>
        <v>2038</v>
      </c>
      <c r="D18" s="84">
        <f>IFERROR(_xlfn.XLOOKUP($C18,'Travel Time Savings'!$B$6:$B$25,'Travel Time Savings'!$J$6:$J$25,0,0,1),0)</f>
        <v>0</v>
      </c>
      <c r="E18" s="122">
        <f>IFERROR(_xlfn.XLOOKUP(C18,'Travel Time_Construction'!$B$7:$B$8,'Travel Time_Construction'!$J$7:$J$8),0)</f>
        <v>0</v>
      </c>
      <c r="F18" s="122">
        <f>IFERROR(_xlfn.XLOOKUP($C18,'VOC Savings'!$B$6:$B$25,'VOC Savings'!$J$6:$J$25,0,0,1),0)</f>
        <v>0</v>
      </c>
      <c r="G18" s="82">
        <f>IFERROR(_xlfn.XLOOKUP(C18,VOC_Construction!$B$6:$B$7,VOC_Construction!$J$6:$J$7),0)</f>
        <v>0</v>
      </c>
      <c r="H18" s="84">
        <f>IFERROR(_xlfn.XLOOKUP($C18,'Air Quality'!$B$6:$B$27,'Air Quality'!$D$6:$D$27,0,0,1),0)</f>
        <v>0</v>
      </c>
      <c r="I18" s="122">
        <f>IFERROR(_xlfn.XLOOKUP($C18,'Air Quality'!$B$6:$B$27,'Air Quality'!$L$6:$L$27,0,0,1),0)</f>
        <v>0</v>
      </c>
      <c r="J18" s="123">
        <f>IFERROR(_xlfn.XLOOKUP($C18,'Air Quality'!$B$6:$B$27,'Air Quality'!$E$6:$E$27,0,0,1),0)</f>
        <v>0</v>
      </c>
      <c r="K18" s="84">
        <f>IFERROR(_xlfn.XLOOKUP($C18,'Corridor Safety Improvement'!B$6:B$25,'Corridor Safety Improvement'!E$6:E$25,0,0,1),0)</f>
        <v>3573836.1735480498</v>
      </c>
      <c r="L18" s="159">
        <f>IFERROR(_xlfn.XLOOKUP($C18,'Intersection Safety Improvement'!$B$6:$B$25,'Intersection Safety Improvement'!$E$6:$E$25,0,0,1),0)</f>
        <v>332969.56344322313</v>
      </c>
      <c r="M18" s="83">
        <f>IFERROR(_xlfn.XLOOKUP($C18,'Construction Safety Improvement'!$B$6:$B$7,'Construction Safety Improvement'!$E$6:$E$7,0,0,1),0)</f>
        <v>0</v>
      </c>
      <c r="N18" s="159">
        <f>IFERROR(_xlfn.XLOOKUP($C18,'Quality of Life Benefits '!$B$7:$B$26,'Quality of Life Benefits '!$L$7:$L$26,0,0,1),0)</f>
        <v>284197.29973147117</v>
      </c>
      <c r="O18" s="84">
        <f>IFERROR(_xlfn.XLOOKUP($C18,'O&amp;M + Rehab'!$B$5:$B$24,'O&amp;M + Rehab'!$J$5:$J$24,0,0,1),0)</f>
        <v>21597.24005</v>
      </c>
      <c r="P18" s="83">
        <f>IFERROR(_xlfn.XLOOKUP($C18,'Capital Cost + RCV'!$B$6:$B$30,'Capital Cost + RCV'!$E$6:$E$30,0,0,1),0)</f>
        <v>0</v>
      </c>
      <c r="Q18" s="124">
        <f t="shared" si="0"/>
        <v>4212600.276772744</v>
      </c>
      <c r="R18" s="125">
        <f>IFERROR(SUM(D18:G18,I18,K18:P18)*(1+Assumptions!$D$24)^-($C18-Assumptions!$D$10)+J18,0)</f>
        <v>2584708.7165177721</v>
      </c>
    </row>
    <row r="19" spans="2:18" ht="15" customHeight="1" x14ac:dyDescent="0.25">
      <c r="B19" s="410"/>
      <c r="C19" s="263">
        <f t="shared" si="1"/>
        <v>2039</v>
      </c>
      <c r="D19" s="84">
        <f>IFERROR(_xlfn.XLOOKUP($C19,'Travel Time Savings'!$B$6:$B$25,'Travel Time Savings'!$J$6:$J$25,0,0,1),0)</f>
        <v>0</v>
      </c>
      <c r="E19" s="122">
        <f>IFERROR(_xlfn.XLOOKUP(C19,'Travel Time_Construction'!$B$7:$B$8,'Travel Time_Construction'!$J$7:$J$8),0)</f>
        <v>0</v>
      </c>
      <c r="F19" s="122">
        <f>IFERROR(_xlfn.XLOOKUP($C19,'VOC Savings'!$B$6:$B$25,'VOC Savings'!$J$6:$J$25,0,0,1),0)</f>
        <v>0</v>
      </c>
      <c r="G19" s="82">
        <f>IFERROR(_xlfn.XLOOKUP(C19,VOC_Construction!$B$6:$B$7,VOC_Construction!$J$6:$J$7),0)</f>
        <v>0</v>
      </c>
      <c r="H19" s="84">
        <f>IFERROR(_xlfn.XLOOKUP($C19,'Air Quality'!$B$6:$B$27,'Air Quality'!$D$6:$D$27,0,0,1),0)</f>
        <v>0</v>
      </c>
      <c r="I19" s="122">
        <f>IFERROR(_xlfn.XLOOKUP($C19,'Air Quality'!$B$6:$B$27,'Air Quality'!$L$6:$L$27,0,0,1),0)</f>
        <v>0</v>
      </c>
      <c r="J19" s="123">
        <f>IFERROR(_xlfn.XLOOKUP($C19,'Air Quality'!$B$6:$B$27,'Air Quality'!$E$6:$E$27,0,0,1),0)</f>
        <v>0</v>
      </c>
      <c r="K19" s="84">
        <f>IFERROR(_xlfn.XLOOKUP($C19,'Corridor Safety Improvement'!B$6:B$25,'Corridor Safety Improvement'!E$6:E$25,0,0,1),0)</f>
        <v>3598092.9801558428</v>
      </c>
      <c r="L19" s="159">
        <f>IFERROR(_xlfn.XLOOKUP($C19,'Intersection Safety Improvement'!$B$6:$B$25,'Intersection Safety Improvement'!$E$6:$E$25,0,0,1),0)</f>
        <v>335387.71941391926</v>
      </c>
      <c r="M19" s="83">
        <f>IFERROR(_xlfn.XLOOKUP($C19,'Construction Safety Improvement'!$B$6:$B$7,'Construction Safety Improvement'!$E$6:$E$7,0,0,1),0)</f>
        <v>0</v>
      </c>
      <c r="N19" s="159">
        <f>IFERROR(_xlfn.XLOOKUP($C19,'Quality of Life Benefits '!$B$7:$B$26,'Quality of Life Benefits '!$L$7:$L$26,0,0,1),0)</f>
        <v>287181.37137865159</v>
      </c>
      <c r="O19" s="84">
        <f>IFERROR(_xlfn.XLOOKUP($C19,'O&amp;M + Rehab'!$B$5:$B$24,'O&amp;M + Rehab'!$J$5:$J$24,0,0,1),0)</f>
        <v>50000.100000000006</v>
      </c>
      <c r="P19" s="83">
        <f>IFERROR(_xlfn.XLOOKUP($C19,'Capital Cost + RCV'!$B$6:$B$30,'Capital Cost + RCV'!$E$6:$E$30,0,0,1),0)</f>
        <v>0</v>
      </c>
      <c r="Q19" s="124">
        <f t="shared" si="0"/>
        <v>4270662.1709484132</v>
      </c>
      <c r="R19" s="125">
        <f>IFERROR(SUM(D19:G19,I19,K19:P19)*(1+Assumptions!$D$24)^-($C19-Assumptions!$D$10)+J19,0)</f>
        <v>2541545.6124159447</v>
      </c>
    </row>
    <row r="20" spans="2:18" ht="15" customHeight="1" x14ac:dyDescent="0.25">
      <c r="B20" s="410"/>
      <c r="C20" s="263">
        <f t="shared" si="1"/>
        <v>2040</v>
      </c>
      <c r="D20" s="84">
        <f>IFERROR(_xlfn.XLOOKUP($C20,'Travel Time Savings'!$B$6:$B$25,'Travel Time Savings'!$J$6:$J$25,0,0,1),0)</f>
        <v>2636779.2071111184</v>
      </c>
      <c r="E20" s="122">
        <f>IFERROR(_xlfn.XLOOKUP(C20,'Travel Time_Construction'!$B$7:$B$8,'Travel Time_Construction'!$J$7:$J$8),0)</f>
        <v>0</v>
      </c>
      <c r="F20" s="122">
        <f>IFERROR(_xlfn.XLOOKUP($C20,'VOC Savings'!$B$6:$B$25,'VOC Savings'!$J$6:$J$25,0,0,1),0)</f>
        <v>1046528.0000000019</v>
      </c>
      <c r="G20" s="82">
        <f>IFERROR(_xlfn.XLOOKUP(C20,VOC_Construction!$B$6:$B$7,VOC_Construction!$J$6:$J$7),0)</f>
        <v>0</v>
      </c>
      <c r="H20" s="84">
        <f>IFERROR(_xlfn.XLOOKUP($C20,'Air Quality'!$B$6:$B$27,'Air Quality'!$D$6:$D$27,0,0,1),0)</f>
        <v>203001.59280337871</v>
      </c>
      <c r="I20" s="122">
        <f>IFERROR(_xlfn.XLOOKUP($C20,'Air Quality'!$B$6:$B$27,'Air Quality'!$L$6:$L$27,0,0,1),0)</f>
        <v>27759.807151927271</v>
      </c>
      <c r="J20" s="123">
        <f>IFERROR(_xlfn.XLOOKUP($C20,'Air Quality'!$B$6:$B$27,'Air Quality'!$E$6:$E$27,0,0,1),0)</f>
        <v>142133.46833423962</v>
      </c>
      <c r="K20" s="84">
        <f>IFERROR(_xlfn.XLOOKUP($C20,'Corridor Safety Improvement'!B$6:B$25,'Corridor Safety Improvement'!E$6:E$25,0,0,1),0)</f>
        <v>3622349.7867636373</v>
      </c>
      <c r="L20" s="159">
        <f>IFERROR(_xlfn.XLOOKUP($C20,'Intersection Safety Improvement'!$B$6:$B$25,'Intersection Safety Improvement'!$E$6:$E$25,0,0,1),0)</f>
        <v>337805.87538461538</v>
      </c>
      <c r="M20" s="83">
        <f>IFERROR(_xlfn.XLOOKUP($C20,'Construction Safety Improvement'!$B$6:$B$7,'Construction Safety Improvement'!$E$6:$E$7,0,0,1),0)</f>
        <v>0</v>
      </c>
      <c r="N20" s="159">
        <f>IFERROR(_xlfn.XLOOKUP($C20,'Quality of Life Benefits '!$B$7:$B$26,'Quality of Life Benefits '!$L$7:$L$26,0,0,1),0)</f>
        <v>290196.77577812743</v>
      </c>
      <c r="O20" s="84">
        <f>IFERROR(_xlfn.XLOOKUP($C20,'O&amp;M + Rehab'!$B$5:$B$24,'O&amp;M + Rehab'!$J$5:$J$24,0,0,1),0)</f>
        <v>5305733.5000000009</v>
      </c>
      <c r="P20" s="83">
        <f>IFERROR(_xlfn.XLOOKUP($C20,'Capital Cost + RCV'!$B$6:$B$30,'Capital Cost + RCV'!$E$6:$E$30,0,0,1),0)</f>
        <v>0</v>
      </c>
      <c r="Q20" s="124">
        <f t="shared" si="0"/>
        <v>13470154.544992808</v>
      </c>
      <c r="R20" s="125">
        <f>IFERROR(SUM(D20:G20,I20,K20:P20)*(1+Assumptions!$D$24)^-($C20-Assumptions!$D$10)+J20,0)</f>
        <v>7800246.3018024247</v>
      </c>
    </row>
    <row r="21" spans="2:18" ht="15" customHeight="1" x14ac:dyDescent="0.25">
      <c r="B21" s="410"/>
      <c r="C21" s="263">
        <f t="shared" si="1"/>
        <v>2041</v>
      </c>
      <c r="D21" s="84">
        <f>IFERROR(_xlfn.XLOOKUP($C21,'Travel Time Savings'!$B$6:$B$25,'Travel Time Savings'!$J$6:$J$25,0,0,1),0)</f>
        <v>2654436.2107301429</v>
      </c>
      <c r="E21" s="122">
        <f>IFERROR(_xlfn.XLOOKUP(C21,'Travel Time_Construction'!$B$7:$B$8,'Travel Time_Construction'!$J$7:$J$8),0)</f>
        <v>0</v>
      </c>
      <c r="F21" s="122">
        <f>IFERROR(_xlfn.XLOOKUP($C21,'VOC Savings'!$B$6:$B$25,'VOC Savings'!$J$6:$J$25,0,0,1),0)</f>
        <v>1053535.9999999907</v>
      </c>
      <c r="G21" s="82">
        <f>IFERROR(_xlfn.XLOOKUP(C21,VOC_Construction!$B$6:$B$7,VOC_Construction!$J$6:$J$7),0)</f>
        <v>0</v>
      </c>
      <c r="H21" s="84">
        <f>IFERROR(_xlfn.XLOOKUP($C21,'Air Quality'!$B$6:$B$27,'Air Quality'!$D$6:$D$27,0,0,1),0)</f>
        <v>207094.90460284179</v>
      </c>
      <c r="I21" s="122">
        <f>IFERROR(_xlfn.XLOOKUP($C21,'Air Quality'!$B$6:$B$27,'Air Quality'!$L$6:$L$27,0,0,1),0)</f>
        <v>27945.698717676529</v>
      </c>
      <c r="J21" s="123">
        <f>IFERROR(_xlfn.XLOOKUP($C21,'Air Quality'!$B$6:$B$27,'Air Quality'!$E$6:$E$27,0,0,1),0)</f>
        <v>142156.31271106971</v>
      </c>
      <c r="K21" s="84">
        <f>IFERROR(_xlfn.XLOOKUP($C21,'Corridor Safety Improvement'!B$6:B$25,'Corridor Safety Improvement'!E$6:E$25,0,0,1),0)</f>
        <v>3646606.593371429</v>
      </c>
      <c r="L21" s="159">
        <f>IFERROR(_xlfn.XLOOKUP($C21,'Intersection Safety Improvement'!$B$6:$B$25,'Intersection Safety Improvement'!$E$6:$E$25,0,0,1),0)</f>
        <v>340224.0313553114</v>
      </c>
      <c r="M21" s="83">
        <f>IFERROR(_xlfn.XLOOKUP($C21,'Construction Safety Improvement'!$B$6:$B$7,'Construction Safety Improvement'!$E$6:$E$7,0,0,1),0)</f>
        <v>0</v>
      </c>
      <c r="N21" s="159">
        <f>IFERROR(_xlfn.XLOOKUP($C21,'Quality of Life Benefits '!$B$7:$B$26,'Quality of Life Benefits '!$L$7:$L$26,0,0,1),0)</f>
        <v>293243.84192379785</v>
      </c>
      <c r="O21" s="84">
        <f>IFERROR(_xlfn.XLOOKUP($C21,'O&amp;M + Rehab'!$B$5:$B$24,'O&amp;M + Rehab'!$J$5:$J$24,0,0,1),0)</f>
        <v>0</v>
      </c>
      <c r="P21" s="83">
        <f>IFERROR(_xlfn.XLOOKUP($C21,'Capital Cost + RCV'!$B$6:$B$30,'Capital Cost + RCV'!$E$6:$E$30,0,0,1),0)</f>
        <v>0</v>
      </c>
      <c r="Q21" s="124">
        <f t="shared" si="0"/>
        <v>8223087.2807011893</v>
      </c>
      <c r="R21" s="125">
        <f>IFERROR(SUM(D21:G21,I21,K21:P21)*(1+Assumptions!$D$24)^-($C21-Assumptions!$D$10)+J21,0)</f>
        <v>4630050.9777799351</v>
      </c>
    </row>
    <row r="22" spans="2:18" ht="15" customHeight="1" x14ac:dyDescent="0.25">
      <c r="B22" s="410"/>
      <c r="C22" s="263">
        <f t="shared" si="1"/>
        <v>2042</v>
      </c>
      <c r="D22" s="84">
        <f>IFERROR(_xlfn.XLOOKUP($C22,'Travel Time Savings'!$B$6:$B$25,'Travel Time Savings'!$J$6:$J$25,0,0,1),0)</f>
        <v>2672093.2143491954</v>
      </c>
      <c r="E22" s="122">
        <f>IFERROR(_xlfn.XLOOKUP(C22,'Travel Time_Construction'!$B$7:$B$8,'Travel Time_Construction'!$J$7:$J$8),0)</f>
        <v>0</v>
      </c>
      <c r="F22" s="122">
        <f>IFERROR(_xlfn.XLOOKUP($C22,'VOC Savings'!$B$6:$B$25,'VOC Savings'!$J$6:$J$25,0,0,1),0)</f>
        <v>1060543.9999999814</v>
      </c>
      <c r="G22" s="82">
        <f>IFERROR(_xlfn.XLOOKUP(C22,VOC_Construction!$B$6:$B$7,VOC_Construction!$J$6:$J$7),0)</f>
        <v>0</v>
      </c>
      <c r="H22" s="84">
        <f>IFERROR(_xlfn.XLOOKUP($C22,'Air Quality'!$B$6:$B$27,'Air Quality'!$D$6:$D$27,0,0,1),0)</f>
        <v>211912.61589884092</v>
      </c>
      <c r="I22" s="122">
        <f>IFERROR(_xlfn.XLOOKUP($C22,'Air Quality'!$B$6:$B$27,'Air Quality'!$L$6:$L$27,0,0,1),0)</f>
        <v>28131.590283425794</v>
      </c>
      <c r="J22" s="123">
        <f>IFERROR(_xlfn.XLOOKUP($C22,'Air Quality'!$B$6:$B$27,'Air Quality'!$E$6:$E$27,0,0,1),0)</f>
        <v>142611.11562385879</v>
      </c>
      <c r="K22" s="84">
        <f>IFERROR(_xlfn.XLOOKUP($C22,'Corridor Safety Improvement'!B$6:B$25,'Corridor Safety Improvement'!E$6:E$25,0,0,1),0)</f>
        <v>3670863.399979223</v>
      </c>
      <c r="L22" s="159">
        <f>IFERROR(_xlfn.XLOOKUP($C22,'Intersection Safety Improvement'!$B$6:$B$25,'Intersection Safety Improvement'!$E$6:$E$25,0,0,1),0)</f>
        <v>342642.18732600706</v>
      </c>
      <c r="M22" s="83">
        <f>IFERROR(_xlfn.XLOOKUP($C22,'Construction Safety Improvement'!$B$6:$B$7,'Construction Safety Improvement'!$E$6:$E$7,0,0,1),0)</f>
        <v>0</v>
      </c>
      <c r="N22" s="159">
        <f>IFERROR(_xlfn.XLOOKUP($C22,'Quality of Life Benefits '!$B$7:$B$26,'Quality of Life Benefits '!$L$7:$L$26,0,0,1),0)</f>
        <v>296322.90226399759</v>
      </c>
      <c r="O22" s="84">
        <f>IFERROR(_xlfn.XLOOKUP($C22,'O&amp;M + Rehab'!$B$5:$B$24,'O&amp;M + Rehab'!$J$5:$J$24,0,0,1),0)</f>
        <v>50000.100000000006</v>
      </c>
      <c r="P22" s="83">
        <f>IFERROR(_xlfn.XLOOKUP($C22,'Capital Cost + RCV'!$B$6:$B$30,'Capital Cost + RCV'!$E$6:$E$30,0,0,1),0)</f>
        <v>0</v>
      </c>
      <c r="Q22" s="124">
        <f t="shared" si="0"/>
        <v>8332510.0101006702</v>
      </c>
      <c r="R22" s="125">
        <f>IFERROR(SUM(D22:G22,I22,K22:P22)*(1+Assumptions!$D$24)^-($C22-Assumptions!$D$10)+J22,0)</f>
        <v>4552368.2725480804</v>
      </c>
    </row>
    <row r="23" spans="2:18" ht="15" customHeight="1" x14ac:dyDescent="0.25">
      <c r="B23" s="410"/>
      <c r="C23" s="263">
        <f t="shared" si="1"/>
        <v>2043</v>
      </c>
      <c r="D23" s="84">
        <f>IFERROR(_xlfn.XLOOKUP($C23,'Travel Time Savings'!$B$6:$B$25,'Travel Time Savings'!$J$6:$J$25,0,0,1),0)</f>
        <v>2689750.2179682497</v>
      </c>
      <c r="E23" s="122">
        <f>IFERROR(_xlfn.XLOOKUP(C23,'Travel Time_Construction'!$B$7:$B$8,'Travel Time_Construction'!$J$7:$J$8),0)</f>
        <v>0</v>
      </c>
      <c r="F23" s="122">
        <f>IFERROR(_xlfn.XLOOKUP($C23,'VOC Savings'!$B$6:$B$25,'VOC Savings'!$J$6:$J$25,0,0,1),0)</f>
        <v>1067551.9999999888</v>
      </c>
      <c r="G23" s="82">
        <f>IFERROR(_xlfn.XLOOKUP(C23,VOC_Construction!$B$6:$B$7,VOC_Construction!$J$6:$J$7),0)</f>
        <v>0</v>
      </c>
      <c r="H23" s="84">
        <f>IFERROR(_xlfn.XLOOKUP($C23,'Air Quality'!$B$6:$B$27,'Air Quality'!$D$6:$D$27,0,0,1),0)</f>
        <v>216083.21718433942</v>
      </c>
      <c r="I23" s="122">
        <f>IFERROR(_xlfn.XLOOKUP($C23,'Air Quality'!$B$6:$B$27,'Air Quality'!$L$6:$L$27,0,0,1),0)</f>
        <v>28317.481849175492</v>
      </c>
      <c r="J23" s="123">
        <f>IFERROR(_xlfn.XLOOKUP($C23,'Air Quality'!$B$6:$B$27,'Air Quality'!$E$6:$E$27,0,0,1),0)</f>
        <v>142566.48110864987</v>
      </c>
      <c r="K23" s="84">
        <f>IFERROR(_xlfn.XLOOKUP($C23,'Corridor Safety Improvement'!B$6:B$25,'Corridor Safety Improvement'!E$6:E$25,0,0,1),0)</f>
        <v>3695120.2065870161</v>
      </c>
      <c r="L23" s="159">
        <f>IFERROR(_xlfn.XLOOKUP($C23,'Intersection Safety Improvement'!$B$6:$B$25,'Intersection Safety Improvement'!$E$6:$E$25,0,0,1),0)</f>
        <v>345060.34329670318</v>
      </c>
      <c r="M23" s="83">
        <f>IFERROR(_xlfn.XLOOKUP($C23,'Construction Safety Improvement'!$B$6:$B$7,'Construction Safety Improvement'!$E$6:$E$7,0,0,1),0)</f>
        <v>0</v>
      </c>
      <c r="N23" s="159">
        <f>IFERROR(_xlfn.XLOOKUP($C23,'Quality of Life Benefits '!$B$7:$B$26,'Quality of Life Benefits '!$L$7:$L$26,0,0,1),0)</f>
        <v>299434.2927377696</v>
      </c>
      <c r="O23" s="84">
        <f>IFERROR(_xlfn.XLOOKUP($C23,'O&amp;M + Rehab'!$B$5:$B$24,'O&amp;M + Rehab'!$J$5:$J$24,0,0,1),0)</f>
        <v>83333.5</v>
      </c>
      <c r="P23" s="83">
        <f>IFERROR(_xlfn.XLOOKUP($C23,'Capital Cost + RCV'!$B$6:$B$30,'Capital Cost + RCV'!$E$6:$E$30,0,0,1),0)</f>
        <v>0</v>
      </c>
      <c r="Q23" s="124">
        <f t="shared" si="0"/>
        <v>8424651.2596232425</v>
      </c>
      <c r="R23" s="125">
        <f>IFERROR(SUM(D23:G23,I23,K23:P23)*(1+Assumptions!$D$24)^-($C23-Assumptions!$D$10)+J23,0)</f>
        <v>4466066.1647768617</v>
      </c>
    </row>
    <row r="24" spans="2:18" ht="15" customHeight="1" x14ac:dyDescent="0.25">
      <c r="B24" s="410"/>
      <c r="C24" s="263">
        <f t="shared" si="1"/>
        <v>2044</v>
      </c>
      <c r="D24" s="84">
        <f>IFERROR(_xlfn.XLOOKUP($C24,'Travel Time Savings'!$B$6:$B$25,'Travel Time Savings'!$J$6:$J$25,0,0,1),0)</f>
        <v>2707407.2215873022</v>
      </c>
      <c r="E24" s="122">
        <f>IFERROR(_xlfn.XLOOKUP(C24,'Travel Time_Construction'!$B$7:$B$8,'Travel Time_Construction'!$J$7:$J$8),0)</f>
        <v>0</v>
      </c>
      <c r="F24" s="122">
        <f>IFERROR(_xlfn.XLOOKUP($C24,'VOC Savings'!$B$6:$B$25,'VOC Savings'!$J$6:$J$25,0,0,1),0)</f>
        <v>1074559.9999999776</v>
      </c>
      <c r="G24" s="82">
        <f>IFERROR(_xlfn.XLOOKUP(C24,VOC_Construction!$B$6:$B$7,VOC_Construction!$J$6:$J$7),0)</f>
        <v>0</v>
      </c>
      <c r="H24" s="84">
        <f>IFERROR(_xlfn.XLOOKUP($C24,'Air Quality'!$B$6:$B$27,'Air Quality'!$D$6:$D$27,0,0,1),0)</f>
        <v>220987.31084708023</v>
      </c>
      <c r="I24" s="122">
        <f>IFERROR(_xlfn.XLOOKUP($C24,'Air Quality'!$B$6:$B$27,'Air Quality'!$L$6:$L$27,0,0,1),0)</f>
        <v>28503.373414924747</v>
      </c>
      <c r="J24" s="123">
        <f>IFERROR(_xlfn.XLOOKUP($C24,'Air Quality'!$B$6:$B$27,'Air Quality'!$E$6:$E$27,0,0,1),0)</f>
        <v>142943.21912795494</v>
      </c>
      <c r="K24" s="84">
        <f>IFERROR(_xlfn.XLOOKUP($C24,'Corridor Safety Improvement'!B$6:B$25,'Corridor Safety Improvement'!E$6:E$25,0,0,1),0)</f>
        <v>3719377.0131948092</v>
      </c>
      <c r="L24" s="159">
        <f>IFERROR(_xlfn.XLOOKUP($C24,'Intersection Safety Improvement'!$B$6:$B$25,'Intersection Safety Improvement'!$E$6:$E$25,0,0,1),0)</f>
        <v>347478.49926739931</v>
      </c>
      <c r="M24" s="83">
        <f>IFERROR(_xlfn.XLOOKUP($C24,'Construction Safety Improvement'!$B$6:$B$7,'Construction Safety Improvement'!$E$6:$E$7,0,0,1),0)</f>
        <v>0</v>
      </c>
      <c r="N24" s="159">
        <f>IFERROR(_xlfn.XLOOKUP($C24,'Quality of Life Benefits '!$B$7:$B$26,'Quality of Life Benefits '!$L$7:$L$26,0,0,1),0)</f>
        <v>302578.3528115162</v>
      </c>
      <c r="O24" s="84">
        <f>IFERROR(_xlfn.XLOOKUP($C24,'O&amp;M + Rehab'!$B$5:$B$24,'O&amp;M + Rehab'!$J$5:$J$24,0,0,1),0)</f>
        <v>0</v>
      </c>
      <c r="P24" s="83">
        <f>IFERROR(_xlfn.XLOOKUP($C24,'Capital Cost + RCV'!$B$6:$B$30,'Capital Cost + RCV'!$E$6:$E$30,0,0,1),0)</f>
        <v>0</v>
      </c>
      <c r="Q24" s="124">
        <f t="shared" si="0"/>
        <v>8400891.7711230088</v>
      </c>
      <c r="R24" s="125">
        <f>IFERROR(SUM(D24:G24,I24,K24:P24)*(1+Assumptions!$D$24)^-($C24-Assumptions!$D$10)+J24,0)</f>
        <v>4321801.0379323671</v>
      </c>
    </row>
    <row r="25" spans="2:18" ht="15" customHeight="1" x14ac:dyDescent="0.25">
      <c r="B25" s="410"/>
      <c r="C25" s="263">
        <f t="shared" si="1"/>
        <v>2045</v>
      </c>
      <c r="D25" s="84">
        <f>IFERROR(_xlfn.XLOOKUP($C25,'Travel Time Savings'!$B$6:$B$25,'Travel Time Savings'!$J$6:$J$25,0,0,1),0)</f>
        <v>2725064.2252063565</v>
      </c>
      <c r="E25" s="122">
        <f>IFERROR(_xlfn.XLOOKUP(C25,'Travel Time_Construction'!$B$7:$B$8,'Travel Time_Construction'!$J$7:$J$8),0)</f>
        <v>0</v>
      </c>
      <c r="F25" s="122">
        <f>IFERROR(_xlfn.XLOOKUP($C25,'VOC Savings'!$B$6:$B$25,'VOC Savings'!$J$6:$J$25,0,0,1),0)</f>
        <v>1081568.0000000019</v>
      </c>
      <c r="G25" s="82">
        <f>IFERROR(_xlfn.XLOOKUP(C25,VOC_Construction!$B$6:$B$7,VOC_Construction!$J$6:$J$7),0)</f>
        <v>0</v>
      </c>
      <c r="H25" s="84">
        <f>IFERROR(_xlfn.XLOOKUP($C25,'Air Quality'!$B$6:$B$27,'Air Quality'!$D$6:$D$27,0,0,1),0)</f>
        <v>225235.20161861426</v>
      </c>
      <c r="I25" s="122">
        <f>IFERROR(_xlfn.XLOOKUP($C25,'Air Quality'!$B$6:$B$27,'Air Quality'!$L$6:$L$27,0,0,1),0)</f>
        <v>28689.264980674896</v>
      </c>
      <c r="J25" s="123">
        <f>IFERROR(_xlfn.XLOOKUP($C25,'Air Quality'!$B$6:$B$27,'Air Quality'!$E$6:$E$27,0,0,1),0)</f>
        <v>142834.2359802612</v>
      </c>
      <c r="K25" s="84">
        <f>IFERROR(_xlfn.XLOOKUP($C25,'Corridor Safety Improvement'!B$6:B$25,'Corridor Safety Improvement'!E$6:E$25,0,0,1),0)</f>
        <v>3743633.8198025953</v>
      </c>
      <c r="L25" s="159">
        <f>IFERROR(_xlfn.XLOOKUP($C25,'Intersection Safety Improvement'!$B$6:$B$25,'Intersection Safety Improvement'!$E$6:$E$25,0,0,1),0)</f>
        <v>349896.65523809544</v>
      </c>
      <c r="M25" s="83">
        <f>IFERROR(_xlfn.XLOOKUP($C25,'Construction Safety Improvement'!$B$6:$B$7,'Construction Safety Improvement'!$E$6:$E$7,0,0,1),0)</f>
        <v>0</v>
      </c>
      <c r="N25" s="159">
        <f>IFERROR(_xlfn.XLOOKUP($C25,'Quality of Life Benefits '!$B$7:$B$26,'Quality of Life Benefits '!$L$7:$L$26,0,0,1),0)</f>
        <v>305755.42551603715</v>
      </c>
      <c r="O25" s="84">
        <f>IFERROR(_xlfn.XLOOKUP($C25,'O&amp;M + Rehab'!$B$5:$B$24,'O&amp;M + Rehab'!$J$5:$J$24,0,0,1),0)</f>
        <v>50000.100000000006</v>
      </c>
      <c r="P25" s="83">
        <f>IFERROR(_xlfn.XLOOKUP($C25,'Capital Cost + RCV'!$B$6:$B$30,'Capital Cost + RCV'!$E$6:$E$30,0,0,1),0)</f>
        <v>0</v>
      </c>
      <c r="Q25" s="124">
        <f t="shared" si="0"/>
        <v>8509842.6923623756</v>
      </c>
      <c r="R25" s="125">
        <f>IFERROR(SUM(D25:G25,I25,K25:P25)*(1+Assumptions!$D$24)^-($C25-Assumptions!$D$10)+J25,0)</f>
        <v>4247923.7881889418</v>
      </c>
    </row>
    <row r="26" spans="2:18" ht="15" customHeight="1" x14ac:dyDescent="0.25">
      <c r="B26" s="410"/>
      <c r="C26" s="121">
        <f t="shared" si="1"/>
        <v>2046</v>
      </c>
      <c r="D26" s="84">
        <f>IFERROR(_xlfn.XLOOKUP($C26,'Travel Time Savings'!$B$6:$B$25,'Travel Time Savings'!$J$6:$J$25,0,0,1),0)</f>
        <v>2742721.2288253792</v>
      </c>
      <c r="E26" s="122">
        <f>IFERROR(_xlfn.XLOOKUP(C26,'Travel Time_Construction'!$B$7:$B$8,'Travel Time_Construction'!$J$7:$J$8),0)</f>
        <v>0</v>
      </c>
      <c r="F26" s="122">
        <f>IFERROR(_xlfn.XLOOKUP($C26,'VOC Savings'!$B$6:$B$25,'VOC Savings'!$J$6:$J$25,0,0,1),0)</f>
        <v>1088575.9999999925</v>
      </c>
      <c r="G26" s="82">
        <f>IFERROR(_xlfn.XLOOKUP(C26,VOC_Construction!$B$6:$B$7,VOC_Construction!$J$6:$J$7),0)</f>
        <v>0</v>
      </c>
      <c r="H26" s="84">
        <f>IFERROR(_xlfn.XLOOKUP($C26,'Air Quality'!$B$6:$B$27,'Air Quality'!$D$6:$D$27,0,0,1),0)</f>
        <v>230225.67764809693</v>
      </c>
      <c r="I26" s="122">
        <f>IFERROR(_xlfn.XLOOKUP($C26,'Air Quality'!$B$6:$B$27,'Air Quality'!$L$6:$L$27,0,0,1),0)</f>
        <v>28875.156546424154</v>
      </c>
      <c r="J26" s="123">
        <f>IFERROR(_xlfn.XLOOKUP($C26,'Air Quality'!$B$6:$B$27,'Air Quality'!$E$6:$E$27,0,0,1),0)</f>
        <v>143136.25086910368</v>
      </c>
      <c r="K26" s="84">
        <f>IFERROR(_xlfn.XLOOKUP($C26,'Corridor Safety Improvement'!B$6:B$25,'Corridor Safety Improvement'!E$6:E$25,0,0,1),0)</f>
        <v>3767890.6264103875</v>
      </c>
      <c r="L26" s="159">
        <f>IFERROR(_xlfn.XLOOKUP($C26,'Intersection Safety Improvement'!$B$6:$B$25,'Intersection Safety Improvement'!$E$6:$E$25,0,0,1),0)</f>
        <v>352314.81120879075</v>
      </c>
      <c r="M26" s="83">
        <f>IFERROR(_xlfn.XLOOKUP($C26,'Construction Safety Improvement'!$B$6:$B$7,'Construction Safety Improvement'!$E$6:$E$7,0,0,1),0)</f>
        <v>0</v>
      </c>
      <c r="N26" s="159">
        <f>IFERROR(_xlfn.XLOOKUP($C26,'Quality of Life Benefits '!$B$7:$B$26,'Quality of Life Benefits '!$L$7:$L$26,0,0,1),0)</f>
        <v>308965.85748395557</v>
      </c>
      <c r="O26" s="84">
        <f>IFERROR(_xlfn.XLOOKUP($C26,'O&amp;M + Rehab'!$B$5:$B$24,'O&amp;M + Rehab'!$J$5:$J$24,0,0,1),0)</f>
        <v>33333.399999999994</v>
      </c>
      <c r="P26" s="83">
        <f>IFERROR(_xlfn.XLOOKUP($C26,'Capital Cost + RCV'!$B$6:$B$30,'Capital Cost + RCV'!$E$6:$E$30,0,0,1),0)</f>
        <v>0</v>
      </c>
      <c r="Q26" s="124">
        <f t="shared" si="0"/>
        <v>8552902.7581230272</v>
      </c>
      <c r="R26" s="125">
        <f>IFERROR(SUM(D26:G26,I26,K26:P26)*(1+Assumptions!$D$24)^-($C26-Assumptions!$D$10)+J26,0)</f>
        <v>4143090.9935353347</v>
      </c>
    </row>
    <row r="27" spans="2:18" ht="15" customHeight="1" x14ac:dyDescent="0.25">
      <c r="B27" s="410"/>
      <c r="C27" s="121">
        <f t="shared" si="1"/>
        <v>2047</v>
      </c>
      <c r="D27" s="84">
        <f>IFERROR(_xlfn.XLOOKUP($C27,'Travel Time Savings'!$B$6:$B$25,'Travel Time Savings'!$J$6:$J$25,0,0,1),0)</f>
        <v>2760378.2324444316</v>
      </c>
      <c r="E27" s="122">
        <f>IFERROR(_xlfn.XLOOKUP(C27,'Travel Time_Construction'!$B$7:$B$8,'Travel Time_Construction'!$J$7:$J$8),0)</f>
        <v>0</v>
      </c>
      <c r="F27" s="122">
        <f>IFERROR(_xlfn.XLOOKUP($C27,'VOC Savings'!$B$6:$B$25,'VOC Savings'!$J$6:$J$25,0,0,1),0)</f>
        <v>1095584.0000000019</v>
      </c>
      <c r="G27" s="82">
        <f>IFERROR(_xlfn.XLOOKUP(C27,VOC_Construction!$B$6:$B$7,VOC_Construction!$J$6:$J$7),0)</f>
        <v>0</v>
      </c>
      <c r="H27" s="84">
        <f>IFERROR(_xlfn.XLOOKUP($C27,'Air Quality'!$B$6:$B$27,'Air Quality'!$D$6:$D$27,0,0,1),0)</f>
        <v>235261.61808113137</v>
      </c>
      <c r="I27" s="122">
        <f>IFERROR(_xlfn.XLOOKUP($C27,'Air Quality'!$B$6:$B$27,'Air Quality'!$L$6:$L$27,0,0,1),0)</f>
        <v>29061.048112173863</v>
      </c>
      <c r="J27" s="123">
        <f>IFERROR(_xlfn.XLOOKUP($C27,'Air Quality'!$B$6:$B$27,'Air Quality'!$E$6:$E$27,0,0,1),0)</f>
        <v>143399.2188708836</v>
      </c>
      <c r="K27" s="84">
        <f>IFERROR(_xlfn.XLOOKUP($C27,'Corridor Safety Improvement'!B$6:B$25,'Corridor Safety Improvement'!E$6:E$25,0,0,1),0)</f>
        <v>3792147.4330181815</v>
      </c>
      <c r="L27" s="159">
        <f>IFERROR(_xlfn.XLOOKUP($C27,'Intersection Safety Improvement'!$B$6:$B$25,'Intersection Safety Improvement'!$E$6:$E$25,0,0,1),0)</f>
        <v>354732.96717948694</v>
      </c>
      <c r="M27" s="83">
        <f>IFERROR(_xlfn.XLOOKUP($C27,'Construction Safety Improvement'!$B$6:$B$7,'Construction Safety Improvement'!$E$6:$E$7,0,0,1),0)</f>
        <v>0</v>
      </c>
      <c r="N27" s="159">
        <f>IFERROR(_xlfn.XLOOKUP($C27,'Quality of Life Benefits '!$B$7:$B$26,'Quality of Life Benefits '!$L$7:$L$26,0,0,1),0)</f>
        <v>312209.99898753711</v>
      </c>
      <c r="O27" s="84">
        <f>IFERROR(_xlfn.XLOOKUP($C27,'O&amp;M + Rehab'!$B$5:$B$24,'O&amp;M + Rehab'!$J$5:$J$24,0,0,1),0)</f>
        <v>-83333.5</v>
      </c>
      <c r="P27" s="83">
        <f>IFERROR(_xlfn.XLOOKUP($C27,'Capital Cost + RCV'!$B$6:$B$30,'Capital Cost + RCV'!$E$6:$E$30,0,0,1),0)</f>
        <v>0</v>
      </c>
      <c r="Q27" s="124">
        <f t="shared" si="0"/>
        <v>8496041.7978229448</v>
      </c>
      <c r="R27" s="125">
        <f>IFERROR(SUM(D27:G27,I27,K27:P27)*(1+Assumptions!$D$24)^-($C27-Assumptions!$D$10)+J27,0)</f>
        <v>3994229.9908656646</v>
      </c>
    </row>
    <row r="28" spans="2:18" ht="15" customHeight="1" thickBot="1" x14ac:dyDescent="0.3">
      <c r="B28" s="411"/>
      <c r="C28" s="275">
        <f t="shared" si="1"/>
        <v>2048</v>
      </c>
      <c r="D28" s="87">
        <f>IFERROR(_xlfn.XLOOKUP($C28,'Travel Time Savings'!$B$6:$B$25,'Travel Time Savings'!$J$6:$J$25,0,0,1),0)</f>
        <v>2778035.236063486</v>
      </c>
      <c r="E28" s="126">
        <f>IFERROR(_xlfn.XLOOKUP(C28,'Travel Time_Construction'!$B$7:$B$8,'Travel Time_Construction'!$J$7:$J$8),0)</f>
        <v>0</v>
      </c>
      <c r="F28" s="126">
        <f>IFERROR(_xlfn.XLOOKUP($C28,'VOC Savings'!$B$6:$B$25,'VOC Savings'!$J$6:$J$25,0,0,1),0)</f>
        <v>1102591.9999999907</v>
      </c>
      <c r="G28" s="85">
        <f>IFERROR(_xlfn.XLOOKUP(C28,VOC_Construction!$B$6:$B$7,VOC_Construction!$J$6:$J$7),0)</f>
        <v>0</v>
      </c>
      <c r="H28" s="87">
        <f>IFERROR(_xlfn.XLOOKUP($C28,'Air Quality'!$B$6:$B$27,'Air Quality'!$D$6:$D$27,0,0,1),0)</f>
        <v>240343.02291771056</v>
      </c>
      <c r="I28" s="126">
        <f>IFERROR(_xlfn.XLOOKUP($C28,'Air Quality'!$B$6:$B$27,'Air Quality'!$L$6:$L$27,0,0,1),0)</f>
        <v>29246.939677923117</v>
      </c>
      <c r="J28" s="127">
        <f>IFERROR(_xlfn.XLOOKUP($C28,'Air Quality'!$B$6:$B$27,'Air Quality'!$E$6:$E$27,0,0,1),0)</f>
        <v>143624.01174944147</v>
      </c>
      <c r="K28" s="87">
        <f>IFERROR(_xlfn.XLOOKUP($C28,'Corridor Safety Improvement'!B$6:B$25,'Corridor Safety Improvement'!E$6:E$25,0,0,1),0)</f>
        <v>3816404.2396259755</v>
      </c>
      <c r="L28" s="165">
        <f>IFERROR(_xlfn.XLOOKUP($C28,'Intersection Safety Improvement'!$B$6:$B$25,'Intersection Safety Improvement'!$E$6:$E$25,0,0,1),0)</f>
        <v>357151.12315018306</v>
      </c>
      <c r="M28" s="86">
        <f>IFERROR(_xlfn.XLOOKUP($C28,'Construction Safety Improvement'!$B$6:$B$7,'Construction Safety Improvement'!$E$6:$E$7,0,0,1),0)</f>
        <v>0</v>
      </c>
      <c r="N28" s="165">
        <f>IFERROR(_xlfn.XLOOKUP($C28,'Quality of Life Benefits '!$B$7:$B$26,'Quality of Life Benefits '!$L$7:$L$26,0,0,1),0)</f>
        <v>315488.20397690625</v>
      </c>
      <c r="O28" s="87">
        <f>IFERROR(_xlfn.XLOOKUP($C28,'O&amp;M + Rehab'!$B$5:$B$24,'O&amp;M + Rehab'!$J$5:$J$24,0,0,1),0)</f>
        <v>50000.100000000006</v>
      </c>
      <c r="P28" s="86">
        <f>IFERROR(_xlfn.XLOOKUP($C28,'Capital Cost + RCV'!$B$6:$B$30,'Capital Cost + RCV'!$E$6:$E$30,0,0,1),0)</f>
        <v>15333807.54318</v>
      </c>
      <c r="Q28" s="128">
        <f t="shared" si="0"/>
        <v>24023068.408592176</v>
      </c>
      <c r="R28" s="129">
        <f>IFERROR(SUM(D28:G28,I28,K28:P28)*(1+Assumptions!$D$24)^-($C28-Assumptions!$D$10)+J28,0)</f>
        <v>10896789.358616184</v>
      </c>
    </row>
    <row r="29" spans="2:18" ht="15" hidden="1" customHeight="1" x14ac:dyDescent="0.25">
      <c r="C29" s="270">
        <f>C28+1</f>
        <v>2049</v>
      </c>
      <c r="D29" s="154">
        <f>IFERROR(_xlfn.XLOOKUP($C29,'Travel Time Savings'!$B$6:$B$25,'Travel Time Savings'!$J$6:$J$25,0,0,1),0)</f>
        <v>0</v>
      </c>
      <c r="E29" s="170">
        <f>IFERROR(_xlfn.XLOOKUP(C29,'Travel Time_Construction'!$B$7:$B$8,'Travel Time_Construction'!$J$7:$J$8),0)</f>
        <v>0</v>
      </c>
      <c r="F29" s="170">
        <f>IFERROR(_xlfn.XLOOKUP($C29,'VOC Savings'!$B$6:$B$25,'VOC Savings'!$J$6:$J$25,0,0,1),0)</f>
        <v>0</v>
      </c>
      <c r="G29" s="213">
        <f>IFERROR(_xlfn.XLOOKUP(C29,VOC_Construction!$B$6:$B$7,VOC_Construction!$J$6:$J$7),0)</f>
        <v>0</v>
      </c>
      <c r="H29" s="154">
        <f>IFERROR(_xlfn.XLOOKUP($C29,'Air Quality'!$B$6:$B$27,'Air Quality'!$D$6:$D$27,0,0,1),0)</f>
        <v>0</v>
      </c>
      <c r="I29" s="170">
        <f>IFERROR(_xlfn.XLOOKUP($C29,'Air Quality'!$B$6:$B$27,'Air Quality'!$L$6:$L$27,0,0,1),0)</f>
        <v>0</v>
      </c>
      <c r="J29" s="271">
        <f>IFERROR(_xlfn.XLOOKUP($C29,'Air Quality'!$B$6:$B$27,'Air Quality'!$E$6:$E$27,0,0,1),0)</f>
        <v>0</v>
      </c>
      <c r="K29" s="154">
        <f>IFERROR(_xlfn.XLOOKUP($C29,'Corridor Safety Improvement'!B$6:B$25,'Corridor Safety Improvement'!E$6:E$25,0,0,1),0)</f>
        <v>0</v>
      </c>
      <c r="L29" s="272">
        <f>IFERROR(_xlfn.XLOOKUP($C29,'Intersection Safety Improvement'!$B$6:$B$25,'Intersection Safety Improvement'!$E$6:$E$25,0,0,1),0)</f>
        <v>0</v>
      </c>
      <c r="M29" s="155">
        <f>IFERROR(_xlfn.XLOOKUP($C29,'Construction Safety Improvement'!$B$6:$B$7,'Construction Safety Improvement'!$E$6:$E$7,0,0,1),0)</f>
        <v>0</v>
      </c>
      <c r="N29" s="272"/>
      <c r="O29" s="154">
        <f>IFERROR(_xlfn.XLOOKUP($C29,'O&amp;M + Rehab'!$B$5:$B$24,'O&amp;M + Rehab'!$J$5:$J$24,0,0,1),0)</f>
        <v>0</v>
      </c>
      <c r="P29" s="155">
        <f>IFERROR(_xlfn.XLOOKUP($C29,'Capital Cost + RCV'!$B$6:$B$30,'Capital Cost + RCV'!$E$6:$E$30,0,0,1),0)</f>
        <v>0</v>
      </c>
      <c r="Q29" s="273">
        <f t="shared" si="0"/>
        <v>0</v>
      </c>
      <c r="R29" s="274">
        <f>IFERROR(SUM(D29:G29,I29,K29:P29)*(1+Assumptions!$D$24)^-($C29-Assumptions!$D$10)+J29,0)</f>
        <v>0</v>
      </c>
    </row>
    <row r="30" spans="2:18" ht="15" hidden="1" customHeight="1" x14ac:dyDescent="0.25">
      <c r="C30" s="121">
        <f>C29+1</f>
        <v>2050</v>
      </c>
      <c r="D30" s="84">
        <f>IFERROR(_xlfn.XLOOKUP($C30,'Travel Time Savings'!$B$6:$B$25,'Travel Time Savings'!$J$6:$J$25,0,0,1),0)</f>
        <v>0</v>
      </c>
      <c r="E30" s="122">
        <f>IFERROR(_xlfn.XLOOKUP(C30,'Travel Time_Construction'!$B$7:$B$8,'Travel Time_Construction'!$J$7:$J$8),0)</f>
        <v>0</v>
      </c>
      <c r="F30" s="122">
        <f>IFERROR(_xlfn.XLOOKUP($C30,'VOC Savings'!$B$6:$B$25,'VOC Savings'!$J$6:$J$25,0,0,1),0)</f>
        <v>0</v>
      </c>
      <c r="G30" s="82">
        <f>IFERROR(_xlfn.XLOOKUP(C30,VOC_Construction!$B$6:$B$7,VOC_Construction!$J$6:$J$7),0)</f>
        <v>0</v>
      </c>
      <c r="H30" s="84">
        <f>IFERROR(_xlfn.XLOOKUP($C30,'Air Quality'!$B$6:$B$27,'Air Quality'!$D$6:$D$27,0,0,1),0)</f>
        <v>0</v>
      </c>
      <c r="I30" s="122">
        <f>IFERROR(_xlfn.XLOOKUP($C30,'Air Quality'!$B$6:$B$27,'Air Quality'!$L$6:$L$27,0,0,1),0)</f>
        <v>0</v>
      </c>
      <c r="J30" s="123">
        <f>IFERROR(_xlfn.XLOOKUP($C30,'Air Quality'!$B$6:$B$27,'Air Quality'!$E$6:$E$27,0,0,1),0)</f>
        <v>0</v>
      </c>
      <c r="K30" s="84">
        <f>IFERROR(_xlfn.XLOOKUP($C30,'Corridor Safety Improvement'!B$6:B$25,'Corridor Safety Improvement'!E$6:E$25,0,0,1),0)</f>
        <v>0</v>
      </c>
      <c r="L30" s="159">
        <f>IFERROR(_xlfn.XLOOKUP($C30,'Intersection Safety Improvement'!$B$6:$B$25,'Intersection Safety Improvement'!$E$6:$E$25,0,0,1),0)</f>
        <v>0</v>
      </c>
      <c r="M30" s="83">
        <f>IFERROR(_xlfn.XLOOKUP($C30,'Construction Safety Improvement'!$B$6:$B$7,'Construction Safety Improvement'!$E$6:$E$7,0,0,1),0)</f>
        <v>0</v>
      </c>
      <c r="N30" s="159"/>
      <c r="O30" s="84">
        <f>IFERROR(_xlfn.XLOOKUP($C30,'O&amp;M + Rehab'!$B$5:$B$24,'O&amp;M + Rehab'!$J$5:$J$24,0,0,1),0)</f>
        <v>0</v>
      </c>
      <c r="P30" s="83">
        <f>IFERROR(_xlfn.XLOOKUP($C30,'Capital Cost + RCV'!$B$6:$B$30,'Capital Cost + RCV'!$E$6:$E$30,0,0,1),0)</f>
        <v>0</v>
      </c>
      <c r="Q30" s="124">
        <f t="shared" si="0"/>
        <v>0</v>
      </c>
      <c r="R30" s="125">
        <f>IFERROR(SUM(D30:G30,I30,K30:P30)*(1+Assumptions!$D$24)^-($C30-Assumptions!$D$10)+J30,0)</f>
        <v>0</v>
      </c>
    </row>
    <row r="31" spans="2:18" x14ac:dyDescent="0.25">
      <c r="C31" s="3"/>
      <c r="D31" s="17"/>
      <c r="E31" s="17"/>
      <c r="F31" s="17"/>
      <c r="G31" s="17"/>
      <c r="H31" s="17"/>
      <c r="K31" s="17"/>
      <c r="L31" s="17"/>
      <c r="M31" s="17"/>
      <c r="P31" s="14" t="s">
        <v>1</v>
      </c>
      <c r="Q31" s="76">
        <f>SUM(Q7:Q30)</f>
        <v>140137048.63015765</v>
      </c>
      <c r="R31" s="76">
        <f>SUM(R7:R30)</f>
        <v>78941179.371767923</v>
      </c>
    </row>
    <row r="32" spans="2:18" x14ac:dyDescent="0.25">
      <c r="B32" s="38"/>
      <c r="O32" s="17"/>
      <c r="P32" s="130"/>
      <c r="R32" s="40"/>
    </row>
    <row r="33" spans="2:18" x14ac:dyDescent="0.25">
      <c r="C33" s="2"/>
      <c r="D33" s="56"/>
      <c r="E33" s="56"/>
      <c r="F33" s="56"/>
      <c r="G33" s="56"/>
      <c r="H33" s="56"/>
      <c r="I33" s="56"/>
      <c r="J33" s="56"/>
      <c r="K33" s="56"/>
      <c r="L33" s="56"/>
      <c r="M33" s="56"/>
      <c r="N33" s="56"/>
      <c r="O33" s="56"/>
      <c r="P33" s="56"/>
      <c r="Q33" s="56"/>
      <c r="R33" s="17"/>
    </row>
    <row r="34" spans="2:18" ht="15.75" thickBot="1" x14ac:dyDescent="0.3">
      <c r="C34" s="28" t="s">
        <v>5</v>
      </c>
      <c r="D34" s="131"/>
      <c r="E34" s="131"/>
    </row>
    <row r="35" spans="2:18" x14ac:dyDescent="0.25">
      <c r="C35" s="412" t="s">
        <v>0</v>
      </c>
      <c r="D35" s="414" t="s">
        <v>24</v>
      </c>
      <c r="E35" s="414" t="s">
        <v>172</v>
      </c>
    </row>
    <row r="36" spans="2:18" ht="15.75" thickBot="1" x14ac:dyDescent="0.3">
      <c r="C36" s="413"/>
      <c r="D36" s="415"/>
      <c r="E36" s="415"/>
    </row>
    <row r="37" spans="2:18" x14ac:dyDescent="0.25">
      <c r="C37" s="116">
        <f>Assumptions!D11</f>
        <v>2024</v>
      </c>
      <c r="D37" s="196">
        <f>_xlfn.XLOOKUP($C37,'Capital Cost + RCV'!$B$6:$B$30,'Capital Cost + RCV'!$C$6:$C$30)</f>
        <v>0</v>
      </c>
      <c r="E37" s="197">
        <f>D37*(1+Assumptions!$D$24)^-($C37-Assumptions!$D$10)</f>
        <v>0</v>
      </c>
      <c r="I37" s="1"/>
    </row>
    <row r="38" spans="2:18" x14ac:dyDescent="0.25">
      <c r="C38" s="121">
        <f>C37+1</f>
        <v>2025</v>
      </c>
      <c r="D38" s="198">
        <f>_xlfn.XLOOKUP($C38,'Capital Cost + RCV'!$B$6:$B$30,'Capital Cost + RCV'!$C$6:$C$30)</f>
        <v>1562793.7500000002</v>
      </c>
      <c r="E38" s="199">
        <f>D38*(1+Assumptions!$D$24)^-($C38-Assumptions!$D$10)</f>
        <v>1426020.1749940161</v>
      </c>
      <c r="I38" s="1"/>
      <c r="J38" s="17"/>
    </row>
    <row r="39" spans="2:18" ht="15" customHeight="1" x14ac:dyDescent="0.25">
      <c r="C39" s="121">
        <f>C38+1</f>
        <v>2026</v>
      </c>
      <c r="D39" s="200">
        <f>_xlfn.XLOOKUP($C39,'Capital Cost + RCV'!$B$6:$B$30,'Capital Cost + RCV'!$C$6:$C$30)</f>
        <v>1823259.375</v>
      </c>
      <c r="E39" s="201">
        <f>D39*(1+Assumptions!$D$24)^-($C39-Assumptions!$D$10)</f>
        <v>1613666.5413769982</v>
      </c>
      <c r="I39" s="1"/>
    </row>
    <row r="40" spans="2:18" ht="15.75" customHeight="1" x14ac:dyDescent="0.25">
      <c r="C40" s="121">
        <f>C39+1</f>
        <v>2027</v>
      </c>
      <c r="D40" s="200">
        <f>_xlfn.XLOOKUP($C40,'Capital Cost + RCV'!$B$6:$B$30,'Capital Cost + RCV'!$C$6:$C$30)</f>
        <v>34364415.352300644</v>
      </c>
      <c r="E40" s="201">
        <f>D40*(1+Assumptions!$D$24)^-($C40-Assumptions!$D$10)</f>
        <v>29499566.442473218</v>
      </c>
    </row>
    <row r="41" spans="2:18" ht="15.75" customHeight="1" x14ac:dyDescent="0.25">
      <c r="B41" s="2"/>
      <c r="C41" s="121">
        <f t="shared" ref="C41:C58" si="2">C40+1</f>
        <v>2028</v>
      </c>
      <c r="D41" s="200">
        <f>_xlfn.XLOOKUP($C41,'Capital Cost + RCV'!$B$6:$B$30,'Capital Cost + RCV'!$C$6:$C$30)</f>
        <v>0</v>
      </c>
      <c r="E41" s="201">
        <f>D41*(1+Assumptions!$D$24)^-($C41-Assumptions!$D$10)</f>
        <v>0</v>
      </c>
    </row>
    <row r="42" spans="2:18" ht="15.75" customHeight="1" x14ac:dyDescent="0.25">
      <c r="C42" s="121">
        <f t="shared" si="2"/>
        <v>2029</v>
      </c>
      <c r="D42" s="200">
        <f>_xlfn.XLOOKUP($C42,'Capital Cost + RCV'!$B$6:$B$30,'Capital Cost + RCV'!$C$6:$C$30)</f>
        <v>0</v>
      </c>
      <c r="E42" s="201">
        <f>D42*(1+Assumptions!$D$24)^-($C42-Assumptions!$D$10)</f>
        <v>0</v>
      </c>
    </row>
    <row r="43" spans="2:18" ht="15.75" customHeight="1" x14ac:dyDescent="0.25">
      <c r="C43" s="121">
        <f t="shared" si="2"/>
        <v>2030</v>
      </c>
      <c r="D43" s="200">
        <f>_xlfn.XLOOKUP($C43,'Capital Cost + RCV'!$B$6:$B$30,'Capital Cost + RCV'!$C$6:$C$30)</f>
        <v>0</v>
      </c>
      <c r="E43" s="201">
        <f>D43*(1+Assumptions!$D$24)^-($C43-Assumptions!$D$10)</f>
        <v>0</v>
      </c>
    </row>
    <row r="44" spans="2:18" ht="15.75" customHeight="1" outlineLevel="1" x14ac:dyDescent="0.25">
      <c r="C44" s="121">
        <f t="shared" si="2"/>
        <v>2031</v>
      </c>
      <c r="D44" s="200">
        <f>_xlfn.XLOOKUP($C44,'Capital Cost + RCV'!$B$6:$B$30,'Capital Cost + RCV'!$C$6:$C$30)</f>
        <v>0</v>
      </c>
      <c r="E44" s="201">
        <f>D44*(1+Assumptions!$D$24)^-($C44-Assumptions!$D$10)</f>
        <v>0</v>
      </c>
    </row>
    <row r="45" spans="2:18" ht="15.75" customHeight="1" outlineLevel="1" x14ac:dyDescent="0.25">
      <c r="C45" s="121">
        <f t="shared" si="2"/>
        <v>2032</v>
      </c>
      <c r="D45" s="200">
        <f>_xlfn.XLOOKUP($C45,'Capital Cost + RCV'!$B$6:$B$30,'Capital Cost + RCV'!$C$6:$C$30)</f>
        <v>0</v>
      </c>
      <c r="E45" s="201">
        <f>D45*(1+Assumptions!$D$24)^-($C45-Assumptions!$D$10)</f>
        <v>0</v>
      </c>
    </row>
    <row r="46" spans="2:18" ht="15.75" customHeight="1" outlineLevel="1" x14ac:dyDescent="0.25">
      <c r="C46" s="121">
        <f t="shared" si="2"/>
        <v>2033</v>
      </c>
      <c r="D46" s="200">
        <f>_xlfn.XLOOKUP($C46,'Capital Cost + RCV'!$B$6:$B$30,'Capital Cost + RCV'!$C$6:$C$30)</f>
        <v>0</v>
      </c>
      <c r="E46" s="201">
        <f>D46*(1+Assumptions!$D$24)^-($C46-Assumptions!$D$10)</f>
        <v>0</v>
      </c>
    </row>
    <row r="47" spans="2:18" ht="15.75" customHeight="1" outlineLevel="1" x14ac:dyDescent="0.25">
      <c r="C47" s="121">
        <f t="shared" si="2"/>
        <v>2034</v>
      </c>
      <c r="D47" s="200">
        <f>_xlfn.XLOOKUP($C47,'Capital Cost + RCV'!$B$6:$B$30,'Capital Cost + RCV'!$C$6:$C$30)</f>
        <v>0</v>
      </c>
      <c r="E47" s="201">
        <f>D47*(1+Assumptions!$D$24)^-($C47-Assumptions!$D$10)</f>
        <v>0</v>
      </c>
    </row>
    <row r="48" spans="2:18" ht="15.75" customHeight="1" outlineLevel="1" x14ac:dyDescent="0.25">
      <c r="C48" s="121">
        <f t="shared" si="2"/>
        <v>2035</v>
      </c>
      <c r="D48" s="200">
        <f>_xlfn.XLOOKUP($C48,'Capital Cost + RCV'!$B$6:$B$30,'Capital Cost + RCV'!$C$6:$C$30)</f>
        <v>0</v>
      </c>
      <c r="E48" s="201">
        <f>D48*(1+Assumptions!$D$24)^-($C48-Assumptions!$D$10)</f>
        <v>0</v>
      </c>
    </row>
    <row r="49" spans="3:14" ht="15.75" customHeight="1" outlineLevel="1" x14ac:dyDescent="0.25">
      <c r="C49" s="121">
        <f t="shared" si="2"/>
        <v>2036</v>
      </c>
      <c r="D49" s="200">
        <f>_xlfn.XLOOKUP($C49,'Capital Cost + RCV'!$B$6:$B$30,'Capital Cost + RCV'!$C$6:$C$30)</f>
        <v>0</v>
      </c>
      <c r="E49" s="201">
        <f>D49*(1+Assumptions!$D$24)^-($C49-Assumptions!$D$10)</f>
        <v>0</v>
      </c>
    </row>
    <row r="50" spans="3:14" ht="15.75" customHeight="1" outlineLevel="1" x14ac:dyDescent="0.25">
      <c r="C50" s="121">
        <f t="shared" si="2"/>
        <v>2037</v>
      </c>
      <c r="D50" s="200">
        <f>_xlfn.XLOOKUP($C50,'Capital Cost + RCV'!$B$6:$B$30,'Capital Cost + RCV'!$C$6:$C$30)</f>
        <v>0</v>
      </c>
      <c r="E50" s="201">
        <f>D50*(1+Assumptions!$D$24)^-($C50-Assumptions!$D$10)</f>
        <v>0</v>
      </c>
    </row>
    <row r="51" spans="3:14" ht="15.75" customHeight="1" outlineLevel="1" x14ac:dyDescent="0.25">
      <c r="C51" s="121">
        <f t="shared" si="2"/>
        <v>2038</v>
      </c>
      <c r="D51" s="200">
        <f>_xlfn.XLOOKUP($C51,'Capital Cost + RCV'!$B$6:$B$30,'Capital Cost + RCV'!$C$6:$C$30)</f>
        <v>0</v>
      </c>
      <c r="E51" s="201">
        <f>D51*(1+Assumptions!$D$24)^-($C51-Assumptions!$D$10)</f>
        <v>0</v>
      </c>
    </row>
    <row r="52" spans="3:14" ht="15.75" customHeight="1" outlineLevel="1" x14ac:dyDescent="0.25">
      <c r="C52" s="121">
        <f t="shared" si="2"/>
        <v>2039</v>
      </c>
      <c r="D52" s="200">
        <f>_xlfn.XLOOKUP($C52,'Capital Cost + RCV'!$B$6:$B$30,'Capital Cost + RCV'!$C$6:$C$30)</f>
        <v>0</v>
      </c>
      <c r="E52" s="201">
        <f>D52*(1+Assumptions!$D$24)^-($C52-Assumptions!$D$10)</f>
        <v>0</v>
      </c>
    </row>
    <row r="53" spans="3:14" ht="15.75" customHeight="1" outlineLevel="1" x14ac:dyDescent="0.25">
      <c r="C53" s="121">
        <f t="shared" si="2"/>
        <v>2040</v>
      </c>
      <c r="D53" s="200">
        <f>_xlfn.XLOOKUP($C53,'Capital Cost + RCV'!$B$6:$B$30,'Capital Cost + RCV'!$C$6:$C$30)</f>
        <v>0</v>
      </c>
      <c r="E53" s="201">
        <f>D53*(1+Assumptions!$D$24)^-($C53-Assumptions!$D$10)</f>
        <v>0</v>
      </c>
    </row>
    <row r="54" spans="3:14" ht="15.75" customHeight="1" outlineLevel="1" x14ac:dyDescent="0.25">
      <c r="C54" s="121">
        <f t="shared" si="2"/>
        <v>2041</v>
      </c>
      <c r="D54" s="200">
        <f>_xlfn.XLOOKUP($C54,'Capital Cost + RCV'!$B$6:$B$30,'Capital Cost + RCV'!$C$6:$C$30)</f>
        <v>0</v>
      </c>
      <c r="E54" s="201">
        <f>D54*(1+Assumptions!$D$24)^-($C54-Assumptions!$D$10)</f>
        <v>0</v>
      </c>
    </row>
    <row r="55" spans="3:14" ht="15.75" customHeight="1" outlineLevel="1" x14ac:dyDescent="0.25">
      <c r="C55" s="121">
        <f t="shared" si="2"/>
        <v>2042</v>
      </c>
      <c r="D55" s="200">
        <f>_xlfn.XLOOKUP($C55,'Capital Cost + RCV'!$B$6:$B$30,'Capital Cost + RCV'!$C$6:$C$30)</f>
        <v>0</v>
      </c>
      <c r="E55" s="201">
        <f>D55*(1+Assumptions!$D$24)^-($C55-Assumptions!$D$10)</f>
        <v>0</v>
      </c>
    </row>
    <row r="56" spans="3:14" ht="15.75" customHeight="1" outlineLevel="1" x14ac:dyDescent="0.25">
      <c r="C56" s="121">
        <f t="shared" si="2"/>
        <v>2043</v>
      </c>
      <c r="D56" s="200">
        <f>_xlfn.XLOOKUP($C56,'Capital Cost + RCV'!$B$6:$B$30,'Capital Cost + RCV'!$C$6:$C$30)</f>
        <v>0</v>
      </c>
      <c r="E56" s="201">
        <f>D56*(1+Assumptions!$D$24)^-($C56-Assumptions!$D$10)</f>
        <v>0</v>
      </c>
    </row>
    <row r="57" spans="3:14" ht="15.75" customHeight="1" outlineLevel="1" x14ac:dyDescent="0.25">
      <c r="C57" s="121">
        <f t="shared" si="2"/>
        <v>2044</v>
      </c>
      <c r="D57" s="200">
        <f>_xlfn.XLOOKUP($C57,'Capital Cost + RCV'!$B$6:$B$30,'Capital Cost + RCV'!$C$6:$C$30)</f>
        <v>0</v>
      </c>
      <c r="E57" s="201">
        <f>D57*(1+Assumptions!$D$24)^-($C57-Assumptions!$D$10)</f>
        <v>0</v>
      </c>
    </row>
    <row r="58" spans="3:14" ht="15.75" customHeight="1" outlineLevel="1" x14ac:dyDescent="0.25">
      <c r="C58" s="121">
        <f t="shared" si="2"/>
        <v>2045</v>
      </c>
      <c r="D58" s="200">
        <f>_xlfn.XLOOKUP($C58,'Capital Cost + RCV'!$B$6:$B$30,'Capital Cost + RCV'!$C$6:$C$30)</f>
        <v>0</v>
      </c>
      <c r="E58" s="201">
        <f>D58*(1+Assumptions!$D$24)^-($C58-Assumptions!$D$10)</f>
        <v>0</v>
      </c>
    </row>
    <row r="59" spans="3:14" ht="15.75" customHeight="1" outlineLevel="1" x14ac:dyDescent="0.25">
      <c r="C59" s="121">
        <f>C58+1</f>
        <v>2046</v>
      </c>
      <c r="D59" s="200">
        <f>_xlfn.XLOOKUP($C59,'Capital Cost + RCV'!$B$6:$B$30,'Capital Cost + RCV'!$C$6:$C$30)</f>
        <v>0</v>
      </c>
      <c r="E59" s="201">
        <f>D59*(1+Assumptions!$D$24)^-($C59-Assumptions!$D$10)</f>
        <v>0</v>
      </c>
    </row>
    <row r="60" spans="3:14" ht="15.75" customHeight="1" outlineLevel="1" thickBot="1" x14ac:dyDescent="0.3">
      <c r="C60" s="121">
        <f>C59+1</f>
        <v>2047</v>
      </c>
      <c r="D60" s="200">
        <f>_xlfn.XLOOKUP($C60,'Capital Cost + RCV'!$B$6:$B$30,'Capital Cost + RCV'!$C$6:$C$30)</f>
        <v>0</v>
      </c>
      <c r="E60" s="201">
        <f>D60*(1+Assumptions!$D$24)^-($C60-Assumptions!$D$10)</f>
        <v>0</v>
      </c>
    </row>
    <row r="61" spans="3:14" ht="15.75" customHeight="1" outlineLevel="1" thickBot="1" x14ac:dyDescent="0.3">
      <c r="C61" s="31" t="s">
        <v>34</v>
      </c>
      <c r="D61" s="133">
        <f>SUM(D37:D60)</f>
        <v>37750468.477300644</v>
      </c>
      <c r="E61" s="134">
        <f>SUM(E37:E60)</f>
        <v>32539253.158844233</v>
      </c>
    </row>
    <row r="62" spans="3:14" ht="15.75" customHeight="1" outlineLevel="1" x14ac:dyDescent="0.25">
      <c r="D62" s="130"/>
      <c r="E62" s="40"/>
    </row>
    <row r="63" spans="3:14" ht="15.75" customHeight="1" outlineLevel="1" thickBot="1" x14ac:dyDescent="0.3">
      <c r="C63" s="28" t="s">
        <v>11</v>
      </c>
      <c r="E63" s="17"/>
    </row>
    <row r="64" spans="3:14" ht="15.75" thickBot="1" x14ac:dyDescent="0.3">
      <c r="C64" s="217" t="s">
        <v>152</v>
      </c>
      <c r="D64" s="232">
        <f>Assumptions!D24</f>
        <v>3.1E-2</v>
      </c>
      <c r="E64" s="17"/>
      <c r="J64" s="131"/>
      <c r="K64" s="135"/>
      <c r="L64" s="135"/>
      <c r="M64" s="135"/>
      <c r="N64" s="135"/>
    </row>
    <row r="65" spans="3:19" x14ac:dyDescent="0.25">
      <c r="C65" s="4" t="s">
        <v>8</v>
      </c>
      <c r="D65" s="136">
        <f>R31</f>
        <v>78941179.371767923</v>
      </c>
      <c r="E65" s="132"/>
      <c r="F65" s="40"/>
      <c r="G65" s="40"/>
      <c r="J65" s="131"/>
      <c r="K65" s="135"/>
      <c r="L65" s="135"/>
      <c r="M65" s="135"/>
      <c r="N65" s="135"/>
    </row>
    <row r="66" spans="3:19" ht="15.75" thickBot="1" x14ac:dyDescent="0.3">
      <c r="C66" s="5" t="s">
        <v>9</v>
      </c>
      <c r="D66" s="137">
        <f>E61</f>
        <v>32539253.158844233</v>
      </c>
      <c r="F66" s="17"/>
      <c r="G66" s="17"/>
    </row>
    <row r="67" spans="3:19" ht="15.75" thickTop="1" x14ac:dyDescent="0.25">
      <c r="C67" s="18" t="s">
        <v>10</v>
      </c>
      <c r="D67" s="42">
        <f>D65/D66</f>
        <v>2.4260292326442521</v>
      </c>
      <c r="F67" s="17"/>
      <c r="G67" s="17"/>
    </row>
    <row r="68" spans="3:19" ht="15.75" thickBot="1" x14ac:dyDescent="0.3">
      <c r="C68" s="19" t="s">
        <v>23</v>
      </c>
      <c r="D68" s="138">
        <f>D65-D66</f>
        <v>46401926.212923691</v>
      </c>
      <c r="F68" s="132"/>
      <c r="G68" s="132"/>
      <c r="J68" s="17"/>
      <c r="K68" s="17"/>
      <c r="L68" s="17"/>
      <c r="M68" s="17"/>
      <c r="N68" s="17"/>
      <c r="O68" s="17"/>
      <c r="P68" s="17"/>
      <c r="Q68" s="17"/>
      <c r="R68" s="17"/>
      <c r="S68" s="17"/>
    </row>
    <row r="70" spans="3:19" x14ac:dyDescent="0.25">
      <c r="C70" s="130"/>
      <c r="D70" s="40"/>
    </row>
    <row r="71" spans="3:19" ht="15.75" thickBot="1" x14ac:dyDescent="0.3">
      <c r="C71" s="28" t="s">
        <v>89</v>
      </c>
    </row>
    <row r="72" spans="3:19" ht="15.75" thickBot="1" x14ac:dyDescent="0.3">
      <c r="C72" s="217" t="s">
        <v>152</v>
      </c>
      <c r="D72" s="6">
        <f>Assumptions!D24</f>
        <v>3.1E-2</v>
      </c>
    </row>
    <row r="73" spans="3:19" x14ac:dyDescent="0.25">
      <c r="C73" s="4" t="s">
        <v>8</v>
      </c>
      <c r="D73" s="136">
        <f>MROUND(D65,50000)</f>
        <v>78950000</v>
      </c>
    </row>
    <row r="74" spans="3:19" ht="15.75" thickBot="1" x14ac:dyDescent="0.3">
      <c r="C74" s="5" t="s">
        <v>9</v>
      </c>
      <c r="D74" s="137">
        <f>MROUND(D66,50000)</f>
        <v>32550000</v>
      </c>
    </row>
    <row r="75" spans="3:19" ht="15.75" thickTop="1" x14ac:dyDescent="0.25">
      <c r="C75" s="18" t="s">
        <v>10</v>
      </c>
      <c r="D75" s="42">
        <f>D73/D74</f>
        <v>2.425499231950845</v>
      </c>
    </row>
    <row r="76" spans="3:19" ht="15.75" thickBot="1" x14ac:dyDescent="0.3">
      <c r="C76" s="19" t="s">
        <v>23</v>
      </c>
      <c r="D76" s="138">
        <f>D73-D74</f>
        <v>46400000</v>
      </c>
    </row>
  </sheetData>
  <mergeCells count="26">
    <mergeCell ref="Q5:Q6"/>
    <mergeCell ref="O4:P4"/>
    <mergeCell ref="R5:R6"/>
    <mergeCell ref="H4:J4"/>
    <mergeCell ref="D4:F4"/>
    <mergeCell ref="K4:M4"/>
    <mergeCell ref="E5:E6"/>
    <mergeCell ref="Q4:R4"/>
    <mergeCell ref="G5:G6"/>
    <mergeCell ref="P5:P6"/>
    <mergeCell ref="K5:K6"/>
    <mergeCell ref="O5:O6"/>
    <mergeCell ref="J5:J6"/>
    <mergeCell ref="N5:N6"/>
    <mergeCell ref="C5:C6"/>
    <mergeCell ref="D5:D6"/>
    <mergeCell ref="I5:I6"/>
    <mergeCell ref="H5:H6"/>
    <mergeCell ref="M5:M6"/>
    <mergeCell ref="F5:F6"/>
    <mergeCell ref="L5:L6"/>
    <mergeCell ref="B7:B8"/>
    <mergeCell ref="B9:B28"/>
    <mergeCell ref="C35:C36"/>
    <mergeCell ref="D35:D36"/>
    <mergeCell ref="E35:E36"/>
  </mergeCells>
  <pageMargins left="0.25" right="0.25" top="0.75" bottom="0.75" header="0.3" footer="0.3"/>
  <pageSetup paperSize="3"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6051-DA4C-4499-AC93-BBA9B8C74320}">
  <sheetPr codeName="Sheet4">
    <tabColor theme="3" tint="0.79998168889431442"/>
    <pageSetUpPr fitToPage="1"/>
  </sheetPr>
  <dimension ref="A1:R60"/>
  <sheetViews>
    <sheetView view="pageBreakPreview" zoomScale="85" zoomScaleNormal="40" zoomScaleSheetLayoutView="85" zoomScalePageLayoutView="55" workbookViewId="0"/>
  </sheetViews>
  <sheetFormatPr defaultRowHeight="15" outlineLevelRow="1" x14ac:dyDescent="0.25"/>
  <cols>
    <col min="1" max="1" width="3.7109375" customWidth="1"/>
    <col min="2" max="11" width="20.7109375" customWidth="1"/>
    <col min="12" max="12" width="5.7109375" customWidth="1"/>
    <col min="13" max="13" width="3" customWidth="1"/>
    <col min="14" max="14" width="39.140625" customWidth="1"/>
    <col min="15" max="15" width="24.85546875" bestFit="1" customWidth="1"/>
    <col min="16" max="16" width="23.7109375" bestFit="1" customWidth="1"/>
    <col min="17" max="17" width="13.42578125" bestFit="1" customWidth="1"/>
    <col min="18" max="18" width="11.85546875" bestFit="1" customWidth="1"/>
  </cols>
  <sheetData>
    <row r="1" spans="2:17" ht="14.25" customHeight="1" x14ac:dyDescent="0.25">
      <c r="B1" s="41"/>
      <c r="C1" s="41"/>
      <c r="D1" s="41"/>
      <c r="E1" s="41"/>
      <c r="F1" s="41"/>
      <c r="G1" s="41"/>
      <c r="H1" s="41"/>
      <c r="I1" s="41"/>
      <c r="J1" s="41"/>
      <c r="K1" s="41"/>
    </row>
    <row r="2" spans="2:17" x14ac:dyDescent="0.25">
      <c r="B2" s="1" t="s">
        <v>128</v>
      </c>
      <c r="C2" s="1"/>
      <c r="D2" s="1"/>
      <c r="E2" s="1"/>
    </row>
    <row r="3" spans="2:17" ht="15.75" thickBot="1" x14ac:dyDescent="0.3">
      <c r="N3" s="12"/>
    </row>
    <row r="4" spans="2:17" ht="35.1" customHeight="1" x14ac:dyDescent="0.25">
      <c r="B4" s="445" t="s">
        <v>0</v>
      </c>
      <c r="C4" s="451" t="s">
        <v>44</v>
      </c>
      <c r="D4" s="447" t="s">
        <v>748</v>
      </c>
      <c r="E4" s="447" t="s">
        <v>202</v>
      </c>
      <c r="F4" s="449" t="s">
        <v>201</v>
      </c>
      <c r="G4" s="451" t="s">
        <v>45</v>
      </c>
      <c r="H4" s="449" t="s">
        <v>36</v>
      </c>
      <c r="I4" s="451" t="s">
        <v>1004</v>
      </c>
      <c r="J4" s="453" t="s">
        <v>20</v>
      </c>
      <c r="K4" s="442" t="s">
        <v>186</v>
      </c>
      <c r="N4" s="46"/>
    </row>
    <row r="5" spans="2:17" ht="43.5" customHeight="1" thickBot="1" x14ac:dyDescent="0.3">
      <c r="B5" s="446"/>
      <c r="C5" s="452"/>
      <c r="D5" s="448"/>
      <c r="E5" s="448"/>
      <c r="F5" s="450"/>
      <c r="G5" s="452"/>
      <c r="H5" s="450"/>
      <c r="I5" s="452"/>
      <c r="J5" s="454"/>
      <c r="K5" s="443"/>
      <c r="N5" s="444" t="s">
        <v>187</v>
      </c>
      <c r="O5" s="444"/>
      <c r="P5" s="25"/>
    </row>
    <row r="6" spans="2:17" ht="15" customHeight="1" x14ac:dyDescent="0.25">
      <c r="B6" s="68">
        <f>Assumptions!D14</f>
        <v>2029</v>
      </c>
      <c r="C6" s="101" cm="1">
        <f t="array" ref="C6">IF(OR(B6=Assumptions!$D$45, B6=Assumptions!$D$45+Assumptions!$D$46-1,B6&gt;=Assumptions!$D$44),0,IF(AND(B6&gt;=Assumptions!$D$45,B6&lt;=Assumptions!$D$15),TREND($O$22:$O$23,$N$22:$N$23,B6),0))</f>
        <v>252458.33333333349</v>
      </c>
      <c r="D6" s="236" cm="1">
        <f t="array" ref="D6">IF(AND(B6&gt;=Assumptions!$D$44,B6&lt;=Assumptions!$D$15),TREND($P$22:$P$23,$N$22:$N$23,B6),0)</f>
        <v>0</v>
      </c>
      <c r="E6" s="238">
        <f>C6+D6</f>
        <v>252458.33333333349</v>
      </c>
      <c r="F6" s="102">
        <f>IFERROR(E6*$O$18,0)</f>
        <v>8273160.566666672</v>
      </c>
      <c r="G6" s="101" cm="1">
        <f t="array" ref="G6">IF(B6&lt;=Assumptions!$D$45+Assumptions!$D$46-1,0,IF(AND(B6&gt;=Assumptions!$D$45,B6&lt;=Assumptions!$D$15),TREND($O$22:$O$23,$N$22:$N$23,B6),IF(AND(B6&gt;=Assumptions!$D$44,B6&lt;=Assumptions!$D$15),TREND('Travel Time Savings'!$R$22:$R$23,'Travel Time Savings'!$N$22:$N$23,'Travel Time Savings'!B6),0)))</f>
        <v>252458.33333333349</v>
      </c>
      <c r="H6" s="102">
        <f t="shared" ref="H6:H25" si="0">IFERROR(G6*$O$18,0)</f>
        <v>8273160.566666672</v>
      </c>
      <c r="I6" s="236">
        <f>E6-G6</f>
        <v>0</v>
      </c>
      <c r="J6" s="105">
        <f t="shared" ref="J6:J25" si="1">F6-H6</f>
        <v>0</v>
      </c>
      <c r="K6" s="106">
        <f>J6*(1+Assumptions!$D$24)^-(B6-Assumptions!$D$10)</f>
        <v>0</v>
      </c>
      <c r="N6" s="22" t="s">
        <v>40</v>
      </c>
      <c r="O6" s="187">
        <f>Assumptions!D28</f>
        <v>19.600000000000001</v>
      </c>
    </row>
    <row r="7" spans="2:17" x14ac:dyDescent="0.25">
      <c r="B7" s="68">
        <f t="shared" ref="B7:B25" si="2">B6+1</f>
        <v>2030</v>
      </c>
      <c r="C7" s="101" cm="1">
        <f t="array" ref="C7">IF(OR(B7=Assumptions!$D$45, B7=Assumptions!$D$45+Assumptions!$D$46-1,B7&gt;=Assumptions!$D$44),0,IF(AND(B7&gt;=Assumptions!$D$45,B7&lt;=Assumptions!$D$15),TREND($O$22:$O$23,$N$22:$N$23,B7),0))</f>
        <v>254283.33333333349</v>
      </c>
      <c r="D7" s="236" cm="1">
        <f t="array" ref="D7">IF(AND(B7&gt;=Assumptions!$D$44,B7&lt;=Assumptions!$D$15),TREND($P$22:$P$23,$N$22:$N$23,B7),0)</f>
        <v>0</v>
      </c>
      <c r="E7" s="238">
        <f t="shared" ref="E7:E25" si="3">C7+D7</f>
        <v>254283.33333333349</v>
      </c>
      <c r="F7" s="102">
        <f t="shared" ref="F7:F25" si="4">IFERROR(E7*$O$18,0)</f>
        <v>8332966.5466666725</v>
      </c>
      <c r="G7" s="101" cm="1">
        <f t="array" ref="G7">IF(B7&lt;=Assumptions!$D$45+Assumptions!$D$46-1,0,IF(AND(B7&gt;=Assumptions!$D$45,B7&lt;=Assumptions!$D$15),TREND($O$22:$O$23,$N$22:$N$23,B7),IF(AND(B7&gt;=Assumptions!$D$44,B7&lt;=Assumptions!$D$15),TREND('Travel Time Savings'!$R$22:$R$23,'Travel Time Savings'!$N$22:$N$23,'Travel Time Savings'!B7),0)))</f>
        <v>254283.33333333349</v>
      </c>
      <c r="H7" s="102">
        <f t="shared" si="0"/>
        <v>8332966.5466666725</v>
      </c>
      <c r="I7" s="236">
        <f t="shared" ref="I7:I25" si="5">E7-G7</f>
        <v>0</v>
      </c>
      <c r="J7" s="105">
        <f t="shared" si="1"/>
        <v>0</v>
      </c>
      <c r="K7" s="106">
        <f>J7*(1+Assumptions!$D$24)^-(B7-Assumptions!$D$10)</f>
        <v>0</v>
      </c>
      <c r="N7" s="22" t="s">
        <v>37</v>
      </c>
      <c r="O7" s="187">
        <f>Assumptions!D30</f>
        <v>33.5</v>
      </c>
    </row>
    <row r="8" spans="2:17" x14ac:dyDescent="0.25">
      <c r="B8" s="68">
        <f t="shared" si="2"/>
        <v>2031</v>
      </c>
      <c r="C8" s="101" cm="1">
        <f t="array" ref="C8">IF(OR(B8=Assumptions!$D$45, B8=Assumptions!$D$45+Assumptions!$D$46-1,B8&gt;=Assumptions!$D$44),0,IF(AND(B8&gt;=Assumptions!$D$45,B8&lt;=Assumptions!$D$15),TREND($O$22:$O$23,$N$22:$N$23,B8),0))</f>
        <v>256108.33333333349</v>
      </c>
      <c r="D8" s="236" cm="1">
        <f t="array" ref="D8">IF(AND(B8&gt;=Assumptions!$D$44,B8&lt;=Assumptions!$D$15),TREND($P$22:$P$23,$N$22:$N$23,B8),0)</f>
        <v>0</v>
      </c>
      <c r="E8" s="238">
        <f t="shared" si="3"/>
        <v>256108.33333333349</v>
      </c>
      <c r="F8" s="102">
        <f t="shared" si="4"/>
        <v>8392772.5266666729</v>
      </c>
      <c r="G8" s="101" cm="1">
        <f t="array" ref="G8">IF(B8&lt;=Assumptions!$D$45+Assumptions!$D$46-1,0,IF(AND(B8&gt;=Assumptions!$D$45,B8&lt;=Assumptions!$D$15),TREND($O$22:$O$23,$N$22:$N$23,B8),IF(AND(B8&gt;=Assumptions!$D$44,B8&lt;=Assumptions!$D$15),TREND('Travel Time Savings'!$R$22:$R$23,'Travel Time Savings'!$N$22:$N$23,'Travel Time Savings'!B8),0)))</f>
        <v>256108.33333333349</v>
      </c>
      <c r="H8" s="102">
        <f t="shared" si="0"/>
        <v>8392772.5266666729</v>
      </c>
      <c r="I8" s="236">
        <f t="shared" si="5"/>
        <v>0</v>
      </c>
      <c r="J8" s="105">
        <f t="shared" si="1"/>
        <v>0</v>
      </c>
      <c r="K8" s="106">
        <f>J8*(1+Assumptions!$D$24)^-(B8-Assumptions!$D$10)</f>
        <v>0</v>
      </c>
      <c r="M8" s="13"/>
    </row>
    <row r="9" spans="2:17" ht="15" customHeight="1" x14ac:dyDescent="0.25">
      <c r="B9" s="68">
        <f t="shared" si="2"/>
        <v>2032</v>
      </c>
      <c r="C9" s="101" cm="1">
        <f t="array" ref="C9">IF(OR(B9=Assumptions!$D$45, B9=Assumptions!$D$45+Assumptions!$D$46-1,B9&gt;=Assumptions!$D$44),0,IF(AND(B9&gt;=Assumptions!$D$45,B9&lt;=Assumptions!$D$15),TREND($O$22:$O$23,$N$22:$N$23,B9),0))</f>
        <v>257933.33333333349</v>
      </c>
      <c r="D9" s="236" cm="1">
        <f t="array" ref="D9">IF(AND(B9&gt;=Assumptions!$D$44,B9&lt;=Assumptions!$D$15),TREND($P$22:$P$23,$N$22:$N$23,B9),0)</f>
        <v>0</v>
      </c>
      <c r="E9" s="238">
        <f t="shared" si="3"/>
        <v>257933.33333333349</v>
      </c>
      <c r="F9" s="102">
        <f t="shared" si="4"/>
        <v>8452578.5066666715</v>
      </c>
      <c r="G9" s="101" cm="1">
        <f t="array" ref="G9">IF(B9&lt;=Assumptions!$D$45+Assumptions!$D$46-1,0,IF(AND(B9&gt;=Assumptions!$D$45,B9&lt;=Assumptions!$D$15),TREND($O$22:$O$23,$N$22:$N$23,B9),IF(AND(B9&gt;=Assumptions!$D$44,B9&lt;=Assumptions!$D$15),TREND('Travel Time Savings'!$R$22:$R$23,'Travel Time Savings'!$N$22:$N$23,'Travel Time Savings'!B9),0)))</f>
        <v>257933.33333333349</v>
      </c>
      <c r="H9" s="102">
        <f t="shared" si="0"/>
        <v>8452578.5066666715</v>
      </c>
      <c r="I9" s="236">
        <f t="shared" si="5"/>
        <v>0</v>
      </c>
      <c r="J9" s="105">
        <f t="shared" si="1"/>
        <v>0</v>
      </c>
      <c r="K9" s="106">
        <f>J9*(1+Assumptions!$D$24)^-(B9-Assumptions!$D$10)</f>
        <v>0</v>
      </c>
      <c r="N9" s="16" t="s">
        <v>43</v>
      </c>
      <c r="O9" s="16"/>
    </row>
    <row r="10" spans="2:17" x14ac:dyDescent="0.25">
      <c r="B10" s="68">
        <f t="shared" si="2"/>
        <v>2033</v>
      </c>
      <c r="C10" s="101" cm="1">
        <f t="array" ref="C10">IF(OR(B10=Assumptions!$D$45, B10=Assumptions!$D$45+Assumptions!$D$46-1,B10&gt;=Assumptions!$D$44),0,IF(AND(B10&gt;=Assumptions!$D$45,B10&lt;=Assumptions!$D$15),TREND($O$22:$O$23,$N$22:$N$23,B10),0))</f>
        <v>259758.33333333349</v>
      </c>
      <c r="D10" s="236" cm="1">
        <f t="array" ref="D10">IF(AND(B10&gt;=Assumptions!$D$44,B10&lt;=Assumptions!$D$15),TREND($P$22:$P$23,$N$22:$N$23,B10),0)</f>
        <v>0</v>
      </c>
      <c r="E10" s="238">
        <f t="shared" si="3"/>
        <v>259758.33333333349</v>
      </c>
      <c r="F10" s="102">
        <f t="shared" si="4"/>
        <v>8512384.4866666719</v>
      </c>
      <c r="G10" s="101" cm="1">
        <f t="array" ref="G10">IF(B10&lt;=Assumptions!$D$45+Assumptions!$D$46-1,0,IF(AND(B10&gt;=Assumptions!$D$45,B10&lt;=Assumptions!$D$15),TREND($O$22:$O$23,$N$22:$N$23,B10),IF(AND(B10&gt;=Assumptions!$D$44,B10&lt;=Assumptions!$D$15),TREND('Travel Time Savings'!$R$22:$R$23,'Travel Time Savings'!$N$22:$N$23,'Travel Time Savings'!B10),0)))</f>
        <v>259758.33333333349</v>
      </c>
      <c r="H10" s="102">
        <f t="shared" si="0"/>
        <v>8512384.4866666719</v>
      </c>
      <c r="I10" s="236">
        <f t="shared" si="5"/>
        <v>0</v>
      </c>
      <c r="J10" s="105">
        <f t="shared" si="1"/>
        <v>0</v>
      </c>
      <c r="K10" s="106">
        <f>J10*(1+Assumptions!$D$24)^-(B10-Assumptions!$D$10)</f>
        <v>0</v>
      </c>
      <c r="N10" s="22" t="s">
        <v>41</v>
      </c>
      <c r="O10" s="188">
        <f>Assumptions!$D$19</f>
        <v>0.95</v>
      </c>
    </row>
    <row r="11" spans="2:17" x14ac:dyDescent="0.25">
      <c r="B11" s="68">
        <f t="shared" si="2"/>
        <v>2034</v>
      </c>
      <c r="C11" s="101" cm="1">
        <f t="array" ref="C11">IF(OR(B11=Assumptions!$D$45, B11=Assumptions!$D$45+Assumptions!$D$46-1,B11&gt;=Assumptions!$D$44),0,IF(AND(B11&gt;=Assumptions!$D$45,B11&lt;=Assumptions!$D$15),TREND($O$22:$O$23,$N$22:$N$23,B11),0))</f>
        <v>261583.33333333349</v>
      </c>
      <c r="D11" s="236" cm="1">
        <f t="array" ref="D11">IF(AND(B11&gt;=Assumptions!$D$44,B11&lt;=Assumptions!$D$15),TREND($P$22:$P$23,$N$22:$N$23,B11),0)</f>
        <v>0</v>
      </c>
      <c r="E11" s="238">
        <f t="shared" si="3"/>
        <v>261583.33333333349</v>
      </c>
      <c r="F11" s="102">
        <f t="shared" si="4"/>
        <v>8572190.4666666724</v>
      </c>
      <c r="G11" s="101" cm="1">
        <f t="array" ref="G11">IF(B11&lt;=Assumptions!$D$45+Assumptions!$D$46-1,0,IF(AND(B11&gt;=Assumptions!$D$45,B11&lt;=Assumptions!$D$15),TREND($O$22:$O$23,$N$22:$N$23,B11),IF(AND(B11&gt;=Assumptions!$D$44,B11&lt;=Assumptions!$D$15),TREND('Travel Time Savings'!$R$22:$R$23,'Travel Time Savings'!$N$22:$N$23,'Travel Time Savings'!B11),0)))</f>
        <v>261583.33333333349</v>
      </c>
      <c r="H11" s="102">
        <f t="shared" si="0"/>
        <v>8572190.4666666724</v>
      </c>
      <c r="I11" s="236">
        <f t="shared" si="5"/>
        <v>0</v>
      </c>
      <c r="J11" s="105">
        <f t="shared" si="1"/>
        <v>0</v>
      </c>
      <c r="K11" s="106">
        <f>J11*(1+Assumptions!$D$24)^-(B11-Assumptions!$D$10)</f>
        <v>0</v>
      </c>
      <c r="N11" s="22" t="s">
        <v>38</v>
      </c>
      <c r="O11" s="188">
        <f>Assumptions!$D$18</f>
        <v>0.05</v>
      </c>
    </row>
    <row r="12" spans="2:17" x14ac:dyDescent="0.25">
      <c r="B12" s="68">
        <f t="shared" si="2"/>
        <v>2035</v>
      </c>
      <c r="C12" s="101" cm="1">
        <f t="array" ref="C12">IF(OR(B12=Assumptions!$D$45, B12=Assumptions!$D$45+Assumptions!$D$46-1,B12&gt;=Assumptions!$D$44),0,IF(AND(B12&gt;=Assumptions!$D$45,B12&lt;=Assumptions!$D$15),TREND($O$22:$O$23,$N$22:$N$23,B12),0))</f>
        <v>263408.33333333349</v>
      </c>
      <c r="D12" s="236" cm="1">
        <f t="array" ref="D12">IF(AND(B12&gt;=Assumptions!$D$44,B12&lt;=Assumptions!$D$15),TREND($P$22:$P$23,$N$22:$N$23,B12),0)</f>
        <v>0</v>
      </c>
      <c r="E12" s="238">
        <f t="shared" si="3"/>
        <v>263408.33333333349</v>
      </c>
      <c r="F12" s="102">
        <f t="shared" si="4"/>
        <v>8631996.4466666728</v>
      </c>
      <c r="G12" s="101" cm="1">
        <f t="array" ref="G12">IF(B12&lt;=Assumptions!$D$45+Assumptions!$D$46-1,0,IF(AND(B12&gt;=Assumptions!$D$45,B12&lt;=Assumptions!$D$15),TREND($O$22:$O$23,$N$22:$N$23,B12),IF(AND(B12&gt;=Assumptions!$D$44,B12&lt;=Assumptions!$D$15),TREND('Travel Time Savings'!$R$22:$R$23,'Travel Time Savings'!$N$22:$N$23,'Travel Time Savings'!B12),0)))</f>
        <v>263408.33333333349</v>
      </c>
      <c r="H12" s="102">
        <f t="shared" si="0"/>
        <v>8631996.4466666728</v>
      </c>
      <c r="I12" s="236">
        <f t="shared" si="5"/>
        <v>0</v>
      </c>
      <c r="J12" s="105">
        <f t="shared" si="1"/>
        <v>0</v>
      </c>
      <c r="K12" s="106">
        <f>J12*(1+Assumptions!$D$24)^-(B12-Assumptions!$D$10)</f>
        <v>0</v>
      </c>
      <c r="Q12" s="174"/>
    </row>
    <row r="13" spans="2:17" ht="15" customHeight="1" x14ac:dyDescent="0.25">
      <c r="B13" s="68">
        <f t="shared" si="2"/>
        <v>2036</v>
      </c>
      <c r="C13" s="101" cm="1">
        <f t="array" ref="C13">IF(OR(B13=Assumptions!$D$45, B13=Assumptions!$D$45+Assumptions!$D$46-1,B13&gt;=Assumptions!$D$44),0,IF(AND(B13&gt;=Assumptions!$D$45,B13&lt;=Assumptions!$D$15),TREND($O$22:$O$23,$N$22:$N$23,B13),0))</f>
        <v>265233.33333333349</v>
      </c>
      <c r="D13" s="236" cm="1">
        <f t="array" ref="D13">IF(AND(B13&gt;=Assumptions!$D$44,B13&lt;=Assumptions!$D$15),TREND($P$22:$P$23,$N$22:$N$23,B13),0)</f>
        <v>0</v>
      </c>
      <c r="E13" s="238">
        <f t="shared" si="3"/>
        <v>265233.33333333349</v>
      </c>
      <c r="F13" s="102">
        <f t="shared" si="4"/>
        <v>8691802.4266666714</v>
      </c>
      <c r="G13" s="101" cm="1">
        <f t="array" ref="G13">IF(B13&lt;=Assumptions!$D$45+Assumptions!$D$46-1,0,IF(AND(B13&gt;=Assumptions!$D$45,B13&lt;=Assumptions!$D$15),TREND($O$22:$O$23,$N$22:$N$23,B13),IF(AND(B13&gt;=Assumptions!$D$44,B13&lt;=Assumptions!$D$15),TREND('Travel Time Savings'!$R$22:$R$23,'Travel Time Savings'!$N$22:$N$23,'Travel Time Savings'!B13),0)))</f>
        <v>265233.33333333349</v>
      </c>
      <c r="H13" s="102">
        <f t="shared" si="0"/>
        <v>8691802.4266666714</v>
      </c>
      <c r="I13" s="236">
        <f t="shared" si="5"/>
        <v>0</v>
      </c>
      <c r="J13" s="105">
        <f t="shared" si="1"/>
        <v>0</v>
      </c>
      <c r="K13" s="106">
        <f>J13*(1+Assumptions!$D$24)^-(B13-Assumptions!$D$10)</f>
        <v>0</v>
      </c>
      <c r="N13" s="16" t="s">
        <v>183</v>
      </c>
      <c r="O13" s="173"/>
      <c r="Q13" s="174"/>
    </row>
    <row r="14" spans="2:17" x14ac:dyDescent="0.25">
      <c r="B14" s="68">
        <f t="shared" si="2"/>
        <v>2037</v>
      </c>
      <c r="C14" s="101" cm="1">
        <f t="array" ref="C14">IF(OR(B14=Assumptions!$D$45, B14=Assumptions!$D$45+Assumptions!$D$46-1,B14&gt;=Assumptions!$D$44),0,IF(AND(B14&gt;=Assumptions!$D$45,B14&lt;=Assumptions!$D$15),TREND($O$22:$O$23,$N$22:$N$23,B14),0))</f>
        <v>267058.33333333349</v>
      </c>
      <c r="D14" s="236" cm="1">
        <f t="array" ref="D14">IF(AND(B14&gt;=Assumptions!$D$44,B14&lt;=Assumptions!$D$15),TREND($P$22:$P$23,$N$22:$N$23,B14),0)</f>
        <v>0</v>
      </c>
      <c r="E14" s="238">
        <f t="shared" si="3"/>
        <v>267058.33333333349</v>
      </c>
      <c r="F14" s="102">
        <f t="shared" si="4"/>
        <v>8751608.4066666719</v>
      </c>
      <c r="G14" s="101" cm="1">
        <f t="array" ref="G14">IF(B14&lt;=Assumptions!$D$45+Assumptions!$D$46-1,0,IF(AND(B14&gt;=Assumptions!$D$45,B14&lt;=Assumptions!$D$15),TREND($O$22:$O$23,$N$22:$N$23,B14),IF(AND(B14&gt;=Assumptions!$D$44,B14&lt;=Assumptions!$D$15),TREND('Travel Time Savings'!$R$22:$R$23,'Travel Time Savings'!$N$22:$N$23,'Travel Time Savings'!B14),0)))</f>
        <v>267058.33333333349</v>
      </c>
      <c r="H14" s="102">
        <f t="shared" si="0"/>
        <v>8751608.4066666719</v>
      </c>
      <c r="I14" s="236">
        <f t="shared" si="5"/>
        <v>0</v>
      </c>
      <c r="J14" s="105">
        <f t="shared" si="1"/>
        <v>0</v>
      </c>
      <c r="K14" s="106">
        <f>J14*(1+Assumptions!$D$24)^-(B14-Assumptions!$D$10)</f>
        <v>0</v>
      </c>
      <c r="N14" s="22" t="s">
        <v>42</v>
      </c>
      <c r="O14" s="189">
        <f>Assumptions!$D$20</f>
        <v>1.67</v>
      </c>
      <c r="P14" s="173"/>
      <c r="Q14" s="174"/>
    </row>
    <row r="15" spans="2:17" x14ac:dyDescent="0.25">
      <c r="B15" s="68">
        <f t="shared" si="2"/>
        <v>2038</v>
      </c>
      <c r="C15" s="101" cm="1">
        <f t="array" ref="C15">IF(OR(B15=Assumptions!$D$45, B15=Assumptions!$D$45+Assumptions!$D$46-1,B15&gt;=Assumptions!$D$44),0,IF(AND(B15&gt;=Assumptions!$D$45,B15&lt;=Assumptions!$D$15),TREND($O$22:$O$23,$N$22:$N$23,B15),0))</f>
        <v>268883.33333333349</v>
      </c>
      <c r="D15" s="236" cm="1">
        <f t="array" ref="D15">IF(AND(B15&gt;=Assumptions!$D$44,B15&lt;=Assumptions!$D$15),TREND($P$22:$P$23,$N$22:$N$23,B15),0)</f>
        <v>0</v>
      </c>
      <c r="E15" s="238">
        <f t="shared" si="3"/>
        <v>268883.33333333349</v>
      </c>
      <c r="F15" s="102">
        <f t="shared" si="4"/>
        <v>8811414.3866666723</v>
      </c>
      <c r="G15" s="101" cm="1">
        <f t="array" ref="G15">IF(B15&lt;=Assumptions!$D$45+Assumptions!$D$46-1,0,IF(AND(B15&gt;=Assumptions!$D$45,B15&lt;=Assumptions!$D$15),TREND($O$22:$O$23,$N$22:$N$23,B15),IF(AND(B15&gt;=Assumptions!$D$44,B15&lt;=Assumptions!$D$15),TREND('Travel Time Savings'!$R$22:$R$23,'Travel Time Savings'!$N$22:$N$23,'Travel Time Savings'!B15),0)))</f>
        <v>268883.33333333349</v>
      </c>
      <c r="H15" s="102">
        <f t="shared" si="0"/>
        <v>8811414.3866666723</v>
      </c>
      <c r="I15" s="236">
        <f t="shared" si="5"/>
        <v>0</v>
      </c>
      <c r="J15" s="105">
        <f t="shared" si="1"/>
        <v>0</v>
      </c>
      <c r="K15" s="106">
        <f>J15*(1+Assumptions!$D$24)^-(B15-Assumptions!$D$10)</f>
        <v>0</v>
      </c>
      <c r="N15" s="22" t="s">
        <v>19</v>
      </c>
      <c r="O15" s="189">
        <f>Assumptions!$D$21</f>
        <v>1</v>
      </c>
      <c r="P15" s="173"/>
    </row>
    <row r="16" spans="2:17" x14ac:dyDescent="0.25">
      <c r="B16" s="68">
        <f t="shared" si="2"/>
        <v>2039</v>
      </c>
      <c r="C16" s="101" cm="1">
        <f t="array" ref="C16">IF(OR(B16=Assumptions!$D$45, B16=Assumptions!$D$45+Assumptions!$D$46-1,B16&gt;=Assumptions!$D$44),0,IF(AND(B16&gt;=Assumptions!$D$45,B16&lt;=Assumptions!$D$15),TREND($O$22:$O$23,$N$22:$N$23,B16),0))</f>
        <v>270708.33333333349</v>
      </c>
      <c r="D16" s="236" cm="1">
        <f t="array" ref="D16">IF(AND(B16&gt;=Assumptions!$D$44,B16&lt;=Assumptions!$D$15),TREND($P$22:$P$23,$N$22:$N$23,B16),0)</f>
        <v>0</v>
      </c>
      <c r="E16" s="238">
        <f t="shared" si="3"/>
        <v>270708.33333333349</v>
      </c>
      <c r="F16" s="102">
        <f t="shared" si="4"/>
        <v>8871220.3666666728</v>
      </c>
      <c r="G16" s="101" cm="1">
        <f t="array" ref="G16">IF(B16&lt;=Assumptions!$D$45+Assumptions!$D$46-1,0,IF(AND(B16&gt;=Assumptions!$D$45,B16&lt;=Assumptions!$D$15),TREND($O$22:$O$23,$N$22:$N$23,B16),IF(AND(B16&gt;=Assumptions!$D$44,B16&lt;=Assumptions!$D$15),TREND('Travel Time Savings'!$R$22:$R$23,'Travel Time Savings'!$N$22:$N$23,'Travel Time Savings'!B16),0)))</f>
        <v>270708.33333333349</v>
      </c>
      <c r="H16" s="102">
        <f t="shared" si="0"/>
        <v>8871220.3666666728</v>
      </c>
      <c r="I16" s="236">
        <f t="shared" si="5"/>
        <v>0</v>
      </c>
      <c r="J16" s="105">
        <f t="shared" si="1"/>
        <v>0</v>
      </c>
      <c r="K16" s="106">
        <f>J16*(1+Assumptions!$D$24)^-(B16-Assumptions!$D$10)</f>
        <v>0</v>
      </c>
    </row>
    <row r="17" spans="1:18" x14ac:dyDescent="0.25">
      <c r="B17" s="68">
        <f t="shared" si="2"/>
        <v>2040</v>
      </c>
      <c r="C17" s="101" cm="1">
        <f t="array" ref="C17">IF(OR(B17=Assumptions!$D$45, B17=Assumptions!$D$45+Assumptions!$D$46-1,B17&gt;=Assumptions!$D$44),0,IF(AND(B17&gt;=Assumptions!$D$45,B17&lt;=Assumptions!$D$15),TREND($O$22:$O$23,$N$22:$N$23,B17),0))</f>
        <v>0</v>
      </c>
      <c r="D17" s="236" cm="1">
        <f t="array" ref="D17">IF(AND(B17&gt;=Assumptions!$D$44,B17&lt;=Assumptions!$D$15),TREND($P$22:$P$23,$N$22:$N$23,B17),0)</f>
        <v>352995.55555555597</v>
      </c>
      <c r="E17" s="238">
        <f t="shared" si="3"/>
        <v>352995.55555555597</v>
      </c>
      <c r="F17" s="102">
        <f t="shared" si="4"/>
        <v>11567805.553777792</v>
      </c>
      <c r="G17" s="101" cm="1">
        <f t="array" ref="G17">IF(B17&lt;=Assumptions!$D$45+Assumptions!$D$46-1,0,IF(AND(B17&gt;=Assumptions!$D$45,B17&lt;=Assumptions!$D$15),TREND($O$22:$O$23,$N$22:$N$23,B17),IF(AND(B17&gt;=Assumptions!$D$44,B17&lt;=Assumptions!$D$15),TREND('Travel Time Savings'!$R$22:$R$23,'Travel Time Savings'!$N$22:$N$23,'Travel Time Savings'!B17),0)))</f>
        <v>272533.33333333349</v>
      </c>
      <c r="H17" s="102">
        <f t="shared" si="0"/>
        <v>8931026.3466666732</v>
      </c>
      <c r="I17" s="236">
        <f t="shared" si="5"/>
        <v>80462.222222222481</v>
      </c>
      <c r="J17" s="105">
        <f>F17-H17</f>
        <v>2636779.2071111184</v>
      </c>
      <c r="K17" s="106">
        <f>J17*(1+Assumptions!$D$24)^-(B17-Assumptions!$D$10)</f>
        <v>1522010.996463818</v>
      </c>
      <c r="N17" s="16" t="s">
        <v>184</v>
      </c>
      <c r="O17" s="234"/>
    </row>
    <row r="18" spans="1:18" x14ac:dyDescent="0.25">
      <c r="B18" s="68">
        <f t="shared" si="2"/>
        <v>2041</v>
      </c>
      <c r="C18" s="101" cm="1">
        <f t="array" ref="C18">IF(OR(B18=Assumptions!$D$45, B18=Assumptions!$D$45+Assumptions!$D$46-1,B18&gt;=Assumptions!$D$44),0,IF(AND(B18&gt;=Assumptions!$D$45,B18&lt;=Assumptions!$D$15),TREND($O$22:$O$23,$N$22:$N$23,B18),0))</f>
        <v>0</v>
      </c>
      <c r="D18" s="236" cm="1">
        <f t="array" ref="D18">IF(AND(B18&gt;=Assumptions!$D$44,B18&lt;=Assumptions!$D$15),TREND($P$22:$P$23,$N$22:$N$23,B18),0)</f>
        <v>355359.36507936474</v>
      </c>
      <c r="E18" s="238">
        <f t="shared" si="3"/>
        <v>355359.36507936474</v>
      </c>
      <c r="F18" s="102">
        <f t="shared" si="4"/>
        <v>11645268.537396815</v>
      </c>
      <c r="G18" s="101" cm="1">
        <f t="array" ref="G18">IF(B18&lt;=Assumptions!$D$45+Assumptions!$D$46-1,0,IF(AND(B18&gt;=Assumptions!$D$45,B18&lt;=Assumptions!$D$15),TREND($O$22:$O$23,$N$22:$N$23,B18),IF(AND(B18&gt;=Assumptions!$D$44,B18&lt;=Assumptions!$D$15),TREND('Travel Time Savings'!$R$22:$R$23,'Travel Time Savings'!$N$22:$N$23,'Travel Time Savings'!B18),0)))</f>
        <v>274358.33333333349</v>
      </c>
      <c r="H18" s="102">
        <f t="shared" si="0"/>
        <v>8990832.3266666718</v>
      </c>
      <c r="I18" s="236">
        <f t="shared" si="5"/>
        <v>81001.031746031251</v>
      </c>
      <c r="J18" s="105">
        <f t="shared" si="1"/>
        <v>2654436.2107301429</v>
      </c>
      <c r="K18" s="106">
        <f>J18*(1+Assumptions!$D$24)^-(B18-Assumptions!$D$10)</f>
        <v>1486132.9140509735</v>
      </c>
      <c r="N18" s="22" t="s">
        <v>180</v>
      </c>
      <c r="O18" s="187">
        <f>O6*O10*O14+O7*O11*O15</f>
        <v>32.770400000000002</v>
      </c>
    </row>
    <row r="19" spans="1:18" x14ac:dyDescent="0.25">
      <c r="B19" s="68">
        <f t="shared" si="2"/>
        <v>2042</v>
      </c>
      <c r="C19" s="101" cm="1">
        <f t="array" ref="C19">IF(OR(B19=Assumptions!$D$45, B19=Assumptions!$D$45+Assumptions!$D$46-1,B19&gt;=Assumptions!$D$44),0,IF(AND(B19&gt;=Assumptions!$D$45,B19&lt;=Assumptions!$D$15),TREND($O$22:$O$23,$N$22:$N$23,B19),0))</f>
        <v>0</v>
      </c>
      <c r="D19" s="236" cm="1">
        <f t="array" ref="D19">IF(AND(B19&gt;=Assumptions!$D$44,B19&lt;=Assumptions!$D$15),TREND($P$22:$P$23,$N$22:$N$23,B19),0)</f>
        <v>357723.17460317444</v>
      </c>
      <c r="E19" s="238">
        <f t="shared" si="3"/>
        <v>357723.17460317444</v>
      </c>
      <c r="F19" s="102">
        <f t="shared" si="4"/>
        <v>11722731.521015868</v>
      </c>
      <c r="G19" s="101" cm="1">
        <f t="array" ref="G19">IF(B19&lt;=Assumptions!$D$45+Assumptions!$D$46-1,0,IF(AND(B19&gt;=Assumptions!$D$45,B19&lt;=Assumptions!$D$15),TREND($O$22:$O$23,$N$22:$N$23,B19),IF(AND(B19&gt;=Assumptions!$D$44,B19&lt;=Assumptions!$D$15),TREND('Travel Time Savings'!$R$22:$R$23,'Travel Time Savings'!$N$22:$N$23,'Travel Time Savings'!B19),0)))</f>
        <v>276183.33333333349</v>
      </c>
      <c r="H19" s="102">
        <f t="shared" si="0"/>
        <v>9050638.3066666722</v>
      </c>
      <c r="I19" s="236">
        <f t="shared" si="5"/>
        <v>81539.841269840952</v>
      </c>
      <c r="J19" s="105">
        <f t="shared" si="1"/>
        <v>2672093.2143491954</v>
      </c>
      <c r="K19" s="106">
        <f>J19*(1+Assumptions!$D$24)^-(B19-Assumptions!$D$10)</f>
        <v>1451036.3713337604</v>
      </c>
    </row>
    <row r="20" spans="1:18" ht="14.25" customHeight="1" x14ac:dyDescent="0.25">
      <c r="B20" s="68">
        <f t="shared" si="2"/>
        <v>2043</v>
      </c>
      <c r="C20" s="101" cm="1">
        <f t="array" ref="C20">IF(OR(B20=Assumptions!$D$45, B20=Assumptions!$D$45+Assumptions!$D$46-1,B20&gt;=Assumptions!$D$44),0,IF(AND(B20&gt;=Assumptions!$D$45,B20&lt;=Assumptions!$D$15),TREND($O$22:$O$23,$N$22:$N$23,B20),0))</f>
        <v>0</v>
      </c>
      <c r="D20" s="236" cm="1">
        <f t="array" ref="D20">IF(AND(B20&gt;=Assumptions!$D$44,B20&lt;=Assumptions!$D$15),TREND($P$22:$P$23,$N$22:$N$23,B20),0)</f>
        <v>360086.98412698414</v>
      </c>
      <c r="E20" s="238">
        <f t="shared" si="3"/>
        <v>360086.98412698414</v>
      </c>
      <c r="F20" s="102">
        <f t="shared" si="4"/>
        <v>11800194.504634922</v>
      </c>
      <c r="G20" s="101" cm="1">
        <f t="array" ref="G20">IF(B20&lt;=Assumptions!$D$45+Assumptions!$D$46-1,0,IF(AND(B20&gt;=Assumptions!$D$45,B20&lt;=Assumptions!$D$15),TREND($O$22:$O$23,$N$22:$N$23,B20),IF(AND(B20&gt;=Assumptions!$D$44,B20&lt;=Assumptions!$D$15),TREND('Travel Time Savings'!$R$22:$R$23,'Travel Time Savings'!$N$22:$N$23,'Travel Time Savings'!B20),0)))</f>
        <v>278008.33333333349</v>
      </c>
      <c r="H20" s="102">
        <f t="shared" si="0"/>
        <v>9110444.2866666727</v>
      </c>
      <c r="I20" s="236">
        <f t="shared" si="5"/>
        <v>82078.650793650653</v>
      </c>
      <c r="J20" s="105">
        <f t="shared" si="1"/>
        <v>2689750.2179682497</v>
      </c>
      <c r="K20" s="106">
        <f>J20*(1+Assumptions!$D$24)^-(B20-Assumptions!$D$10)</f>
        <v>1416706.8064014027</v>
      </c>
      <c r="N20" s="1" t="s">
        <v>185</v>
      </c>
    </row>
    <row r="21" spans="1:18" ht="15" customHeight="1" x14ac:dyDescent="0.25">
      <c r="B21" s="68">
        <f t="shared" si="2"/>
        <v>2044</v>
      </c>
      <c r="C21" s="101" cm="1">
        <f t="array" ref="C21">IF(OR(B21=Assumptions!$D$45, B21=Assumptions!$D$45+Assumptions!$D$46-1,B21&gt;=Assumptions!$D$44),0,IF(AND(B21&gt;=Assumptions!$D$45,B21&lt;=Assumptions!$D$15),TREND($O$22:$O$23,$N$22:$N$23,B21),0))</f>
        <v>0</v>
      </c>
      <c r="D21" s="236" cm="1">
        <f t="array" ref="D21">IF(AND(B21&gt;=Assumptions!$D$44,B21&lt;=Assumptions!$D$15),TREND($P$22:$P$23,$N$22:$N$23,B21),0)</f>
        <v>362450.79365079384</v>
      </c>
      <c r="E21" s="238">
        <f t="shared" si="3"/>
        <v>362450.79365079384</v>
      </c>
      <c r="F21" s="102">
        <f t="shared" si="4"/>
        <v>11877657.488253975</v>
      </c>
      <c r="G21" s="101" cm="1">
        <f t="array" ref="G21">IF(B21&lt;=Assumptions!$D$45+Assumptions!$D$46-1,0,IF(AND(B21&gt;=Assumptions!$D$45,B21&lt;=Assumptions!$D$15),TREND($O$22:$O$23,$N$22:$N$23,B21),IF(AND(B21&gt;=Assumptions!$D$44,B21&lt;=Assumptions!$D$15),TREND('Travel Time Savings'!$R$22:$R$23,'Travel Time Savings'!$N$22:$N$23,'Travel Time Savings'!B21),0)))</f>
        <v>279833.33333333349</v>
      </c>
      <c r="H21" s="102">
        <f t="shared" si="0"/>
        <v>9170250.2666666731</v>
      </c>
      <c r="I21" s="236">
        <f t="shared" si="5"/>
        <v>82617.460317460354</v>
      </c>
      <c r="J21" s="105">
        <f t="shared" si="1"/>
        <v>2707407.2215873022</v>
      </c>
      <c r="K21" s="106">
        <f>J21*(1+Assumptions!$D$24)^-(B21-Assumptions!$D$10)</f>
        <v>1383129.8264620537</v>
      </c>
      <c r="N21" s="21" t="s">
        <v>39</v>
      </c>
      <c r="O21" s="21" t="s">
        <v>746</v>
      </c>
      <c r="P21" s="21" t="s">
        <v>747</v>
      </c>
      <c r="Q21" s="21" t="s">
        <v>179</v>
      </c>
      <c r="R21" s="21" t="s">
        <v>144</v>
      </c>
    </row>
    <row r="22" spans="1:18" x14ac:dyDescent="0.25">
      <c r="B22" s="68">
        <f t="shared" si="2"/>
        <v>2045</v>
      </c>
      <c r="C22" s="101" cm="1">
        <f t="array" ref="C22">IF(OR(B22=Assumptions!$D$45, B22=Assumptions!$D$45+Assumptions!$D$46-1,B22&gt;=Assumptions!$D$44),0,IF(AND(B22&gt;=Assumptions!$D$45,B22&lt;=Assumptions!$D$15),TREND($O$22:$O$23,$N$22:$N$23,B22),0))</f>
        <v>0</v>
      </c>
      <c r="D22" s="236" cm="1">
        <f t="array" ref="D22">IF(AND(B22&gt;=Assumptions!$D$44,B22&lt;=Assumptions!$D$15),TREND($P$22:$P$23,$N$22:$N$23,B22),0)</f>
        <v>364814.60317460354</v>
      </c>
      <c r="E22" s="238">
        <f t="shared" si="3"/>
        <v>364814.60317460354</v>
      </c>
      <c r="F22" s="102">
        <f t="shared" si="4"/>
        <v>11955120.471873028</v>
      </c>
      <c r="G22" s="101" cm="1">
        <f t="array" ref="G22">IF(B22&lt;=Assumptions!$D$45+Assumptions!$D$46-1,0,IF(AND(B22&gt;=Assumptions!$D$45,B22&lt;=Assumptions!$D$15),TREND($O$22:$O$23,$N$22:$N$23,B22),IF(AND(B22&gt;=Assumptions!$D$44,B22&lt;=Assumptions!$D$15),TREND('Travel Time Savings'!$R$22:$R$23,'Travel Time Savings'!$N$22:$N$23,'Travel Time Savings'!B22),0)))</f>
        <v>281658.33333333349</v>
      </c>
      <c r="H22" s="102">
        <f t="shared" si="0"/>
        <v>9230056.2466666717</v>
      </c>
      <c r="I22" s="236">
        <f t="shared" si="5"/>
        <v>83156.269841270056</v>
      </c>
      <c r="J22" s="105">
        <f t="shared" si="1"/>
        <v>2725064.2252063565</v>
      </c>
      <c r="K22" s="106">
        <f>J22*(1+Assumptions!$D$24)^-(B22-Assumptions!$D$10)</f>
        <v>1350291.2108377945</v>
      </c>
      <c r="N22" s="21">
        <f>'Traffic Volume and Route Data'!C11</f>
        <v>2019</v>
      </c>
      <c r="O22" s="233">
        <f>('Traffic Volume and Route Data'!$G$21*$O$10+'Traffic Volume and Route Data'!$G$22*$O$11)*Assumptions!$D$27*'Traffic Volume and Route Data'!$D$11</f>
        <v>234208.33333333331</v>
      </c>
      <c r="P22" s="233">
        <f>('Traffic Volume and Route Data'!$G$26*$O$10+'Traffic Volume and Route Data'!$G$27*$O$11)*Assumptions!$D$27*'Traffic Volume and Route Data'!$D$11</f>
        <v>303355.55555555556</v>
      </c>
      <c r="Q22" s="233">
        <f>('Traffic Volume and Route Data'!$G$31*$O$10+'Traffic Volume and Route Data'!$G$32*$O$11)*Assumptions!$D$27*'Traffic Volume and Route Data'!$D$11</f>
        <v>301125</v>
      </c>
      <c r="R22" s="233">
        <f>('Traffic Volume and Route Data'!$G$36*$O$10+'Traffic Volume and Route Data'!$G$37*$O$11)*Assumptions!$D$27*'Traffic Volume and Route Data'!$D$11</f>
        <v>234208.33333333331</v>
      </c>
    </row>
    <row r="23" spans="1:18" x14ac:dyDescent="0.25">
      <c r="B23" s="68">
        <f t="shared" si="2"/>
        <v>2046</v>
      </c>
      <c r="C23" s="101" cm="1">
        <f t="array" ref="C23">IF(OR(B23=Assumptions!$D$45, B23=Assumptions!$D$45+Assumptions!$D$46-1,B23&gt;=Assumptions!$D$44),0,IF(AND(B23&gt;=Assumptions!$D$45,B23&lt;=Assumptions!$D$15),TREND($O$22:$O$23,$N$22:$N$23,B23),0))</f>
        <v>0</v>
      </c>
      <c r="D23" s="236" cm="1">
        <f t="array" ref="D23">IF(AND(B23&gt;=Assumptions!$D$44,B23&lt;=Assumptions!$D$15),TREND($P$22:$P$23,$N$22:$N$23,B23),0)</f>
        <v>367178.41269841231</v>
      </c>
      <c r="E23" s="238">
        <f t="shared" si="3"/>
        <v>367178.41269841231</v>
      </c>
      <c r="F23" s="102">
        <f t="shared" si="4"/>
        <v>12032583.455492051</v>
      </c>
      <c r="G23" s="101" cm="1">
        <f t="array" ref="G23">IF(B23&lt;=Assumptions!$D$45+Assumptions!$D$46-1,0,IF(AND(B23&gt;=Assumptions!$D$45,B23&lt;=Assumptions!$D$15),TREND($O$22:$O$23,$N$22:$N$23,B23),IF(AND(B23&gt;=Assumptions!$D$44,B23&lt;=Assumptions!$D$15),TREND('Travel Time Savings'!$R$22:$R$23,'Travel Time Savings'!$N$22:$N$23,'Travel Time Savings'!B23),0)))</f>
        <v>283483.33333333349</v>
      </c>
      <c r="H23" s="102">
        <f t="shared" si="0"/>
        <v>9289862.2266666722</v>
      </c>
      <c r="I23" s="236">
        <f t="shared" si="5"/>
        <v>83695.079365078826</v>
      </c>
      <c r="J23" s="105">
        <f t="shared" si="1"/>
        <v>2742721.2288253792</v>
      </c>
      <c r="K23" s="106">
        <f>J23*(1+Assumptions!$D$24)^-(B23-Assumptions!$D$10)</f>
        <v>1318176.9136266173</v>
      </c>
      <c r="N23" s="21">
        <f>'Traffic Volume and Route Data'!C12</f>
        <v>2040</v>
      </c>
      <c r="O23" s="233">
        <f>('Traffic Volume and Route Data'!$G$21*$O$10+'Traffic Volume and Route Data'!$G$22*$O$11)*Assumptions!$D$27*'Traffic Volume and Route Data'!$D$12</f>
        <v>272533.33333333331</v>
      </c>
      <c r="P23" s="233">
        <f>('Traffic Volume and Route Data'!$G$26*$O$10+'Traffic Volume and Route Data'!$G$27*$O$11)*Assumptions!$D$27*'Traffic Volume and Route Data'!$D$12</f>
        <v>352995.55555555556</v>
      </c>
      <c r="Q23" s="233">
        <f>('Traffic Volume and Route Data'!$G$31*$O$10+'Traffic Volume and Route Data'!$G$32*$O$11)*Assumptions!$D$27*'Traffic Volume and Route Data'!$D$12</f>
        <v>350400</v>
      </c>
      <c r="R23" s="233">
        <f>('Traffic Volume and Route Data'!$G$36*$O$10+'Traffic Volume and Route Data'!$G$37*$O$11)*Assumptions!$D$27*'Traffic Volume and Route Data'!$D$12</f>
        <v>272533.33333333331</v>
      </c>
    </row>
    <row r="24" spans="1:18" x14ac:dyDescent="0.25">
      <c r="B24" s="68">
        <f t="shared" si="2"/>
        <v>2047</v>
      </c>
      <c r="C24" s="103" cm="1">
        <f t="array" ref="C24">IF(OR(B24=Assumptions!$D$45, B24=Assumptions!$D$45+Assumptions!$D$46-1,B24&gt;=Assumptions!$D$44),0,IF(AND(B24&gt;=Assumptions!$D$45,B24&lt;=Assumptions!$D$15),TREND($O$22:$O$23,$N$22:$N$23,B24),0))</f>
        <v>0</v>
      </c>
      <c r="D24" s="240" cm="1">
        <f t="array" ref="D24">IF(AND(B24&gt;=Assumptions!$D$44,B24&lt;=Assumptions!$D$15),TREND($P$22:$P$23,$N$22:$N$23,B24),0)</f>
        <v>369542.22222222202</v>
      </c>
      <c r="E24" s="276">
        <f t="shared" si="3"/>
        <v>369542.22222222202</v>
      </c>
      <c r="F24" s="104">
        <f t="shared" si="4"/>
        <v>12110046.439111104</v>
      </c>
      <c r="G24" s="103" cm="1">
        <f t="array" ref="G24">IF(B24&lt;=Assumptions!$D$45+Assumptions!$D$46-1,0,IF(AND(B24&gt;=Assumptions!$D$45,B24&lt;=Assumptions!$D$15),TREND($O$22:$O$23,$N$22:$N$23,B24),IF(AND(B24&gt;=Assumptions!$D$44,B24&lt;=Assumptions!$D$15),TREND('Travel Time Savings'!$R$22:$R$23,'Travel Time Savings'!$N$22:$N$23,'Travel Time Savings'!B24),0)))</f>
        <v>285308.33333333349</v>
      </c>
      <c r="H24" s="104">
        <f t="shared" si="0"/>
        <v>9349668.2066666726</v>
      </c>
      <c r="I24" s="240">
        <f t="shared" si="5"/>
        <v>84233.888888888527</v>
      </c>
      <c r="J24" s="105">
        <f t="shared" si="1"/>
        <v>2760378.2324444316</v>
      </c>
      <c r="K24" s="106">
        <f>J24*(1+Assumptions!$D$24)^-(B24-Assumptions!$D$10)</f>
        <v>1286773.0660488058</v>
      </c>
    </row>
    <row r="25" spans="1:18" ht="15" customHeight="1" thickBot="1" x14ac:dyDescent="0.3">
      <c r="B25" s="64">
        <f t="shared" si="2"/>
        <v>2048</v>
      </c>
      <c r="C25" s="235" cm="1">
        <f t="array" ref="C25">IF(OR(B25=Assumptions!$D$45, B25=Assumptions!$D$45+Assumptions!$D$46-1,B25&gt;=Assumptions!$D$44),0,IF(AND(B25&gt;=Assumptions!$D$45,B25&lt;=Assumptions!$D$15),TREND($O$22:$O$23,$N$22:$N$23,B25),0))</f>
        <v>0</v>
      </c>
      <c r="D25" s="239" cm="1">
        <f t="array" ref="D25">IF(AND(B25&gt;=Assumptions!$D$44,B25&lt;=Assumptions!$D$15),TREND($P$22:$P$23,$N$22:$N$23,B25),0)</f>
        <v>371906.03174603172</v>
      </c>
      <c r="E25" s="277">
        <f t="shared" si="3"/>
        <v>371906.03174603172</v>
      </c>
      <c r="F25" s="108">
        <f t="shared" si="4"/>
        <v>12187509.422730159</v>
      </c>
      <c r="G25" s="235" cm="1">
        <f t="array" ref="G25">IF(B25&lt;=Assumptions!$D$45+Assumptions!$D$46-1,0,IF(AND(B25&gt;=Assumptions!$D$45,B25&lt;=Assumptions!$D$15),TREND($O$22:$O$23,$N$22:$N$23,B25),IF(AND(B25&gt;=Assumptions!$D$44,B25&lt;=Assumptions!$D$15),TREND('Travel Time Savings'!$R$22:$R$23,'Travel Time Savings'!$N$22:$N$23,'Travel Time Savings'!B25),0)))</f>
        <v>287133.33333333349</v>
      </c>
      <c r="H25" s="108">
        <f t="shared" si="0"/>
        <v>9409474.186666673</v>
      </c>
      <c r="I25" s="239">
        <f t="shared" si="5"/>
        <v>84772.698412698228</v>
      </c>
      <c r="J25" s="110">
        <f t="shared" si="1"/>
        <v>2778035.236063486</v>
      </c>
      <c r="K25" s="111">
        <f>J25*(1+Assumptions!$D$24)^-(B25-Assumptions!$D$10)</f>
        <v>1256065.9784940574</v>
      </c>
    </row>
    <row r="26" spans="1:18" ht="15" customHeight="1" thickBot="1" x14ac:dyDescent="0.3">
      <c r="J26" s="67" t="s">
        <v>1</v>
      </c>
      <c r="K26" s="112">
        <f>SUM(K6:K25)</f>
        <v>12470324.083719283</v>
      </c>
    </row>
    <row r="27" spans="1:18" ht="15" customHeight="1" x14ac:dyDescent="0.25">
      <c r="B27" s="38"/>
      <c r="C27" s="38"/>
      <c r="D27" s="39"/>
      <c r="E27" s="39"/>
      <c r="F27" s="36"/>
      <c r="G27" s="36"/>
      <c r="H27" s="36"/>
      <c r="I27" s="36"/>
      <c r="J27" s="36"/>
      <c r="K27" s="36"/>
      <c r="L27" s="3"/>
    </row>
    <row r="28" spans="1:18" ht="15" customHeight="1" outlineLevel="1" x14ac:dyDescent="0.25">
      <c r="K28" s="17"/>
      <c r="L28" s="25"/>
    </row>
    <row r="29" spans="1:18" ht="15" customHeight="1" x14ac:dyDescent="0.25">
      <c r="L29" s="26"/>
    </row>
    <row r="30" spans="1:18" x14ac:dyDescent="0.25">
      <c r="B30" s="1" t="s">
        <v>2</v>
      </c>
      <c r="C30" s="1"/>
      <c r="D30" s="1"/>
      <c r="E30" s="1"/>
    </row>
    <row r="31" spans="1:18" x14ac:dyDescent="0.25">
      <c r="A31" s="2" t="s">
        <v>14</v>
      </c>
      <c r="B31" s="441" t="s">
        <v>181</v>
      </c>
      <c r="C31" s="441"/>
      <c r="D31" s="441"/>
      <c r="E31" s="441"/>
      <c r="F31" s="441"/>
      <c r="G31" s="441"/>
      <c r="H31" s="441"/>
      <c r="I31" s="441"/>
      <c r="J31" s="441"/>
      <c r="K31" s="7"/>
    </row>
    <row r="32" spans="1:18" ht="15" customHeight="1" x14ac:dyDescent="0.25">
      <c r="B32" s="441"/>
      <c r="C32" s="441"/>
      <c r="D32" s="441"/>
      <c r="E32" s="441"/>
      <c r="F32" s="441"/>
      <c r="G32" s="441"/>
      <c r="H32" s="441"/>
      <c r="I32" s="441"/>
      <c r="J32" s="441"/>
      <c r="K32" s="403"/>
    </row>
    <row r="33" spans="1:18" ht="15" customHeight="1" x14ac:dyDescent="0.25">
      <c r="A33" s="2"/>
      <c r="B33" s="7"/>
      <c r="C33" s="7"/>
      <c r="D33" s="7"/>
      <c r="E33" s="7"/>
      <c r="F33" s="7"/>
      <c r="G33" s="7"/>
      <c r="H33" s="7"/>
      <c r="I33" s="7"/>
      <c r="J33" s="7"/>
      <c r="K33" s="171"/>
      <c r="R33" s="1"/>
    </row>
    <row r="34" spans="1:18" ht="32.25" customHeight="1" x14ac:dyDescent="0.25">
      <c r="A34" s="34" t="s">
        <v>15</v>
      </c>
      <c r="B34" s="441" t="s">
        <v>196</v>
      </c>
      <c r="C34" s="441"/>
      <c r="D34" s="441"/>
      <c r="E34" s="441"/>
      <c r="F34" s="441"/>
      <c r="G34" s="441"/>
      <c r="H34" s="441"/>
      <c r="I34" s="441"/>
      <c r="J34" s="441"/>
      <c r="K34" s="171"/>
      <c r="R34" s="1"/>
    </row>
    <row r="35" spans="1:18" ht="15" customHeight="1" x14ac:dyDescent="0.25">
      <c r="K35" s="171"/>
      <c r="R35" s="1"/>
    </row>
    <row r="36" spans="1:18" x14ac:dyDescent="0.25">
      <c r="A36" s="34" t="s">
        <v>16</v>
      </c>
      <c r="B36" s="441" t="s">
        <v>887</v>
      </c>
      <c r="C36" s="441"/>
      <c r="D36" s="441"/>
      <c r="E36" s="441"/>
      <c r="F36" s="441"/>
      <c r="G36" s="441"/>
      <c r="H36" s="441"/>
      <c r="I36" s="441"/>
      <c r="J36" s="441"/>
      <c r="K36" s="171"/>
      <c r="R36" s="1"/>
    </row>
    <row r="37" spans="1:18" ht="15" customHeight="1" x14ac:dyDescent="0.25">
      <c r="B37" s="7"/>
      <c r="C37" s="7"/>
      <c r="D37" s="7"/>
      <c r="E37" s="7"/>
      <c r="F37" s="7"/>
      <c r="G37" s="7"/>
      <c r="H37" s="7"/>
      <c r="I37" s="7"/>
      <c r="J37" s="7"/>
      <c r="R37" s="1"/>
    </row>
    <row r="38" spans="1:18" ht="15" customHeight="1" x14ac:dyDescent="0.25">
      <c r="A38" s="2" t="s">
        <v>98</v>
      </c>
      <c r="B38" s="441" t="s">
        <v>888</v>
      </c>
      <c r="C38" s="441"/>
      <c r="D38" s="441"/>
      <c r="E38" s="441"/>
      <c r="F38" s="441"/>
      <c r="G38" s="441"/>
      <c r="H38" s="441"/>
      <c r="I38" s="441"/>
      <c r="J38" s="441"/>
    </row>
    <row r="39" spans="1:18" ht="15" customHeight="1" x14ac:dyDescent="0.25">
      <c r="A39" s="2"/>
      <c r="B39" s="7"/>
      <c r="C39" s="7"/>
      <c r="D39" s="7"/>
      <c r="E39" s="7"/>
      <c r="F39" s="7"/>
      <c r="G39" s="7"/>
      <c r="H39" s="7"/>
      <c r="I39" s="7"/>
      <c r="J39" s="7"/>
    </row>
    <row r="40" spans="1:18" ht="15" customHeight="1" x14ac:dyDescent="0.25">
      <c r="A40" s="2" t="s">
        <v>17</v>
      </c>
      <c r="B40" s="441" t="s">
        <v>192</v>
      </c>
      <c r="C40" s="441"/>
      <c r="D40" s="441"/>
      <c r="E40" s="441"/>
      <c r="F40" s="441"/>
      <c r="G40" s="441"/>
      <c r="H40" s="441"/>
      <c r="I40" s="441"/>
      <c r="J40" s="441"/>
    </row>
    <row r="41" spans="1:18" ht="15" customHeight="1" x14ac:dyDescent="0.25">
      <c r="B41" s="441"/>
      <c r="C41" s="441"/>
      <c r="D41" s="441"/>
      <c r="E41" s="441"/>
      <c r="F41" s="441"/>
      <c r="G41" s="441"/>
      <c r="H41" s="441"/>
      <c r="I41" s="441"/>
      <c r="J41" s="441"/>
    </row>
    <row r="42" spans="1:18" ht="15" customHeight="1" x14ac:dyDescent="0.25">
      <c r="A42" s="2"/>
      <c r="K42" s="2"/>
    </row>
    <row r="43" spans="1:18" x14ac:dyDescent="0.25">
      <c r="A43" s="34" t="s">
        <v>138</v>
      </c>
      <c r="B43" s="441" t="s">
        <v>889</v>
      </c>
      <c r="C43" s="441"/>
      <c r="D43" s="441"/>
      <c r="E43" s="441"/>
      <c r="F43" s="441"/>
      <c r="G43" s="441"/>
      <c r="H43" s="441"/>
      <c r="I43" s="441"/>
      <c r="J43" s="441"/>
    </row>
    <row r="44" spans="1:18" ht="15" customHeight="1" x14ac:dyDescent="0.25">
      <c r="B44" s="441"/>
      <c r="C44" s="441"/>
      <c r="D44" s="441"/>
      <c r="E44" s="441"/>
      <c r="F44" s="441"/>
      <c r="G44" s="441"/>
      <c r="H44" s="441"/>
      <c r="I44" s="441"/>
      <c r="J44" s="441"/>
    </row>
    <row r="45" spans="1:18" ht="15" customHeight="1" x14ac:dyDescent="0.25">
      <c r="A45" s="2"/>
      <c r="B45" s="7"/>
      <c r="C45" s="7"/>
    </row>
    <row r="46" spans="1:18" ht="15" customHeight="1" x14ac:dyDescent="0.25">
      <c r="A46" s="10" t="s">
        <v>155</v>
      </c>
      <c r="B46" s="406" t="s">
        <v>890</v>
      </c>
      <c r="C46" s="406"/>
      <c r="D46" s="406"/>
      <c r="E46" s="406"/>
      <c r="F46" s="406"/>
      <c r="G46" s="406"/>
      <c r="H46" s="406"/>
      <c r="I46" s="406"/>
      <c r="J46" s="406"/>
      <c r="L46" s="7"/>
      <c r="M46" s="7"/>
    </row>
    <row r="47" spans="1:18" ht="15" customHeight="1" x14ac:dyDescent="0.25">
      <c r="A47" s="10"/>
      <c r="B47" s="406"/>
      <c r="C47" s="406"/>
      <c r="D47" s="406"/>
      <c r="E47" s="406"/>
      <c r="F47" s="406"/>
      <c r="G47" s="406"/>
      <c r="H47" s="406"/>
      <c r="I47" s="406"/>
      <c r="J47" s="406"/>
    </row>
    <row r="48" spans="1:18" ht="15" customHeight="1" x14ac:dyDescent="0.25">
      <c r="A48" s="10"/>
      <c r="B48" s="35"/>
      <c r="C48" s="35"/>
      <c r="D48" s="35"/>
      <c r="E48" s="35"/>
      <c r="F48" s="35"/>
      <c r="G48" s="35"/>
      <c r="H48" s="35"/>
      <c r="I48" s="35"/>
      <c r="J48" s="35"/>
    </row>
    <row r="51" spans="1:5" ht="15" customHeight="1" x14ac:dyDescent="0.25"/>
    <row r="52" spans="1:5" ht="15" customHeight="1" x14ac:dyDescent="0.25"/>
    <row r="54" spans="1:5" ht="15" customHeight="1" x14ac:dyDescent="0.25"/>
    <row r="55" spans="1:5" x14ac:dyDescent="0.25">
      <c r="B55" s="7"/>
      <c r="C55" s="7"/>
    </row>
    <row r="56" spans="1:5" x14ac:dyDescent="0.25">
      <c r="A56" s="2"/>
      <c r="B56" s="7"/>
      <c r="C56" s="7"/>
      <c r="D56" s="7"/>
      <c r="E56" s="7"/>
    </row>
    <row r="57" spans="1:5" ht="15" customHeight="1" x14ac:dyDescent="0.25">
      <c r="A57" s="2"/>
    </row>
    <row r="58" spans="1:5" x14ac:dyDescent="0.25">
      <c r="A58" s="2"/>
    </row>
    <row r="59" spans="1:5" ht="15" customHeight="1" x14ac:dyDescent="0.25"/>
    <row r="60" spans="1:5" ht="21" customHeight="1" x14ac:dyDescent="0.25"/>
  </sheetData>
  <mergeCells count="18">
    <mergeCell ref="B31:J32"/>
    <mergeCell ref="K4:K5"/>
    <mergeCell ref="N5:O5"/>
    <mergeCell ref="B4:B5"/>
    <mergeCell ref="D4:D5"/>
    <mergeCell ref="F4:F5"/>
    <mergeCell ref="G4:G5"/>
    <mergeCell ref="H4:H5"/>
    <mergeCell ref="J4:J5"/>
    <mergeCell ref="C4:C5"/>
    <mergeCell ref="E4:E5"/>
    <mergeCell ref="I4:I5"/>
    <mergeCell ref="B46:J47"/>
    <mergeCell ref="B40:J41"/>
    <mergeCell ref="B34:J34"/>
    <mergeCell ref="B36:J36"/>
    <mergeCell ref="B43:J44"/>
    <mergeCell ref="B38:J38"/>
  </mergeCells>
  <pageMargins left="0.25" right="0.25"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D07C-97C6-43CF-86DF-2133CDF9A50C}">
  <sheetPr>
    <tabColor theme="3" tint="0.79998168889431442"/>
    <pageSetUpPr fitToPage="1"/>
  </sheetPr>
  <dimension ref="A1:T75"/>
  <sheetViews>
    <sheetView view="pageBreakPreview" zoomScale="85" zoomScaleNormal="40" zoomScaleSheetLayoutView="85" zoomScalePageLayoutView="55" workbookViewId="0"/>
  </sheetViews>
  <sheetFormatPr defaultRowHeight="15" x14ac:dyDescent="0.25"/>
  <cols>
    <col min="1" max="1" width="3.7109375" customWidth="1"/>
    <col min="2" max="6" width="20.7109375" customWidth="1"/>
    <col min="7" max="7" width="26.7109375" customWidth="1"/>
    <col min="8" max="11" width="20.7109375" customWidth="1"/>
    <col min="12" max="12" width="5.7109375" customWidth="1"/>
    <col min="13" max="13" width="3" customWidth="1"/>
    <col min="14" max="14" width="39.140625" customWidth="1"/>
    <col min="15" max="15" width="24.85546875" bestFit="1" customWidth="1"/>
    <col min="16" max="17" width="13.42578125" bestFit="1" customWidth="1"/>
    <col min="18" max="18" width="4.28515625" customWidth="1"/>
    <col min="19" max="19" width="35.28515625" customWidth="1"/>
    <col min="20" max="20" width="13.42578125" customWidth="1"/>
  </cols>
  <sheetData>
    <row r="1" spans="1:20" ht="14.25" customHeight="1" x14ac:dyDescent="0.25">
      <c r="B1" s="41"/>
      <c r="C1" s="41"/>
      <c r="D1" s="41"/>
      <c r="E1" s="41"/>
      <c r="F1" s="41"/>
      <c r="G1" s="41"/>
      <c r="H1" s="41"/>
      <c r="I1" s="41"/>
      <c r="J1" s="41"/>
      <c r="K1" s="41"/>
    </row>
    <row r="2" spans="1:20" x14ac:dyDescent="0.25">
      <c r="B2" s="1" t="s">
        <v>151</v>
      </c>
      <c r="C2" s="1"/>
    </row>
    <row r="3" spans="1:20" ht="15.75" thickBot="1" x14ac:dyDescent="0.3">
      <c r="B3" s="1"/>
      <c r="C3" s="1"/>
    </row>
    <row r="4" spans="1:20" ht="15.75" thickBot="1" x14ac:dyDescent="0.3">
      <c r="C4" s="457" t="s">
        <v>44</v>
      </c>
      <c r="D4" s="458"/>
      <c r="E4" s="457" t="s">
        <v>45</v>
      </c>
      <c r="F4" s="459"/>
      <c r="G4" s="459"/>
      <c r="H4" s="459"/>
      <c r="I4" s="458"/>
      <c r="N4" s="12"/>
    </row>
    <row r="5" spans="1:20" x14ac:dyDescent="0.25">
      <c r="B5" s="445" t="s">
        <v>0</v>
      </c>
      <c r="C5" s="451" t="s">
        <v>760</v>
      </c>
      <c r="D5" s="465" t="s">
        <v>761</v>
      </c>
      <c r="E5" s="470" t="s">
        <v>762</v>
      </c>
      <c r="F5" s="461" t="s">
        <v>923</v>
      </c>
      <c r="G5" s="461" t="s">
        <v>924</v>
      </c>
      <c r="H5" s="461" t="s">
        <v>763</v>
      </c>
      <c r="I5" s="467" t="s">
        <v>761</v>
      </c>
      <c r="J5" s="453" t="s">
        <v>20</v>
      </c>
      <c r="K5" s="442" t="s">
        <v>186</v>
      </c>
      <c r="N5" s="46"/>
    </row>
    <row r="6" spans="1:20" ht="46.5" customHeight="1" x14ac:dyDescent="0.25">
      <c r="B6" s="463"/>
      <c r="C6" s="464"/>
      <c r="D6" s="466"/>
      <c r="E6" s="471"/>
      <c r="F6" s="462"/>
      <c r="G6" s="462"/>
      <c r="H6" s="462"/>
      <c r="I6" s="468"/>
      <c r="J6" s="469"/>
      <c r="K6" s="460"/>
      <c r="N6" s="444" t="s">
        <v>187</v>
      </c>
      <c r="O6" s="444"/>
      <c r="P6" s="25"/>
      <c r="S6" s="1" t="s">
        <v>756</v>
      </c>
    </row>
    <row r="7" spans="1:20" ht="15" customHeight="1" x14ac:dyDescent="0.25">
      <c r="B7" s="68">
        <f>Assumptions!$D$45</f>
        <v>2027</v>
      </c>
      <c r="C7" s="103" cm="1">
        <f t="array" ref="C7">IF(B7&lt;=$N$29,TREND($O$23:$O$24,$N$23:$N$24,B7),0)</f>
        <v>248808.33333333349</v>
      </c>
      <c r="D7" s="293">
        <f>C7*$O$19</f>
        <v>8153548.606666672</v>
      </c>
      <c r="E7" s="103" cm="1">
        <f t="array" ref="E7">IF(B7=$N$28,((12-$O$28)/12)*TREND($O$23:$O$24,$N$23:$N$24,B7),IF(B7=$N$29,((12-$O$29)/12)*TREND($O$23:$O$24,$N$23:$N$24,B7),0))</f>
        <v>165872.22222222231</v>
      </c>
      <c r="F7" s="240" cm="1">
        <f t="array" ref="F7">IF(B7=$N$28,($O$28/12)*($O$32*TREND($P$23:$P$24,$N$23:$N$24,B7)),IF(B7=$N$29,($O$29/12)*($O$32*TREND($P$23:$P$24,$N$23:$N$24,B7))))</f>
        <v>95968.928571428463</v>
      </c>
      <c r="G7" s="240" cm="1">
        <f t="array" ref="G7">TREND('Traffic Volume and Route Data'!$D$11:$D$12,'Traffic Volume and Route Data'!$C$11:$C$12,'Travel Time_Construction'!B7)*('Traffic Volume and Route Data'!$G$21+$T$12+$T$22)*Assumptions!$D$27*$O$33*O28/12</f>
        <v>10358.03811928812</v>
      </c>
      <c r="H7" s="240">
        <f>F7+E7+G7</f>
        <v>272199.18891293887</v>
      </c>
      <c r="I7" s="104">
        <f>H7*$O$19</f>
        <v>8920076.3003525734</v>
      </c>
      <c r="J7" s="105">
        <f>D7-I7</f>
        <v>-766527.69368590135</v>
      </c>
      <c r="K7" s="106">
        <f>J7*(1+Assumptions!$D$24)^-(B7-Assumptions!$D$10)</f>
        <v>-658013.07538814715</v>
      </c>
      <c r="N7" s="22" t="s">
        <v>40</v>
      </c>
      <c r="O7" s="187">
        <f>Assumptions!D28</f>
        <v>19.600000000000001</v>
      </c>
      <c r="S7" s="20" t="s">
        <v>753</v>
      </c>
      <c r="T7" s="57">
        <f>'Traffic Volume and Route Data'!E21</f>
        <v>55</v>
      </c>
    </row>
    <row r="8" spans="1:20" ht="18" thickBot="1" x14ac:dyDescent="0.3">
      <c r="B8" s="64">
        <f>B7+1</f>
        <v>2028</v>
      </c>
      <c r="C8" s="235" cm="1">
        <f t="array" ref="C8">IF(B8&lt;=$N$29,TREND($O$23:$O$24,$N$23:$N$24,B8),0)</f>
        <v>250633.33333333349</v>
      </c>
      <c r="D8" s="294">
        <f>C8*$O$19</f>
        <v>8213354.5866666725</v>
      </c>
      <c r="E8" s="107" cm="1">
        <f t="array" ref="E8">IF(B8=$N$28,((12-$O$28)/12)*TREND($O$23:$O$24,$N$23:$N$24,B8),IF(B8=$N$29,((12-$O$29)/12)*TREND($O$23:$O$24,$N$23:$N$24,B8),0))</f>
        <v>83544.444444444496</v>
      </c>
      <c r="F8" s="237" cm="1">
        <f t="array" ref="F8">IF(B8=$N$28,($O$28/12)*($O$32*TREND($P$23:$P$24,$N$23:$N$24,B8)),IF(B8=$N$29,($O$29/12)*($O$32*TREND($P$23:$P$24,$N$23:$N$24,B8))))</f>
        <v>193345.7142857138</v>
      </c>
      <c r="G8" s="237" cm="1">
        <f t="array" ref="G8">TREND('Traffic Volume and Route Data'!$D$11:$D$12,'Traffic Volume and Route Data'!$C$11:$C$12,'Travel Time_Construction'!B8)*('Traffic Volume and Route Data'!$G$21+$T$12+$T$22)*Assumptions!$D$27*$O$33*O29/12</f>
        <v>20868.027898027907</v>
      </c>
      <c r="H8" s="237">
        <f>F8+E8+G8</f>
        <v>297758.1866281862</v>
      </c>
      <c r="I8" s="109">
        <f t="shared" ref="I8" si="0">H8*$O$19</f>
        <v>9757654.8790803142</v>
      </c>
      <c r="J8" s="110">
        <f>D8-I8</f>
        <v>-1544300.2924136417</v>
      </c>
      <c r="K8" s="111">
        <f>J8*(1+Assumptions!$D$24)^-(B8-Assumptions!$D$10)</f>
        <v>-1285818.7723833304</v>
      </c>
      <c r="N8" s="22" t="s">
        <v>37</v>
      </c>
      <c r="O8" s="187">
        <f>Assumptions!D30</f>
        <v>33.5</v>
      </c>
      <c r="S8" s="20" t="s">
        <v>915</v>
      </c>
      <c r="T8" s="37">
        <v>45</v>
      </c>
    </row>
    <row r="9" spans="1:20" ht="18" thickBot="1" x14ac:dyDescent="0.3">
      <c r="J9" s="67" t="s">
        <v>1</v>
      </c>
      <c r="K9" s="112">
        <f>SUM(K7:K8)</f>
        <v>-1943831.8477714774</v>
      </c>
      <c r="M9" s="13"/>
      <c r="S9" s="20" t="s">
        <v>919</v>
      </c>
      <c r="T9" s="291">
        <v>1</v>
      </c>
    </row>
    <row r="10" spans="1:20" ht="15" customHeight="1" x14ac:dyDescent="0.25">
      <c r="N10" s="16" t="s">
        <v>43</v>
      </c>
      <c r="O10" s="16"/>
      <c r="S10" s="20" t="s">
        <v>754</v>
      </c>
      <c r="T10" s="243">
        <f>(T9/T7)*60</f>
        <v>1.0909090909090908</v>
      </c>
    </row>
    <row r="11" spans="1:20" x14ac:dyDescent="0.25">
      <c r="K11" s="7"/>
      <c r="N11" s="22" t="s">
        <v>41</v>
      </c>
      <c r="O11" s="188">
        <f>Assumptions!$D$19</f>
        <v>0.95</v>
      </c>
      <c r="S11" s="20" t="s">
        <v>755</v>
      </c>
      <c r="T11" s="243">
        <f>(T9/T8)*60</f>
        <v>1.3333333333333335</v>
      </c>
    </row>
    <row r="12" spans="1:20" x14ac:dyDescent="0.25">
      <c r="B12" s="1" t="s">
        <v>2</v>
      </c>
      <c r="C12" s="1"/>
      <c r="K12" s="7"/>
      <c r="N12" s="22" t="s">
        <v>38</v>
      </c>
      <c r="O12" s="188">
        <f>Assumptions!$D$18</f>
        <v>0.05</v>
      </c>
      <c r="S12" s="20" t="s">
        <v>922</v>
      </c>
      <c r="T12" s="249">
        <f>(T11-T10)/60</f>
        <v>4.0404040404040439E-3</v>
      </c>
    </row>
    <row r="13" spans="1:20" x14ac:dyDescent="0.25">
      <c r="A13" s="2" t="s">
        <v>14</v>
      </c>
      <c r="B13" s="441" t="s">
        <v>181</v>
      </c>
      <c r="C13" s="441"/>
      <c r="D13" s="441"/>
      <c r="E13" s="441"/>
      <c r="F13" s="441"/>
      <c r="G13" s="441"/>
      <c r="H13" s="441"/>
      <c r="I13" s="441"/>
      <c r="J13" s="441"/>
      <c r="K13" s="171"/>
      <c r="Q13" s="174"/>
    </row>
    <row r="14" spans="1:20" ht="15" customHeight="1" x14ac:dyDescent="0.25">
      <c r="B14" s="441"/>
      <c r="C14" s="441"/>
      <c r="D14" s="441"/>
      <c r="E14" s="441"/>
      <c r="F14" s="441"/>
      <c r="G14" s="441"/>
      <c r="H14" s="441"/>
      <c r="I14" s="441"/>
      <c r="J14" s="441"/>
      <c r="K14" s="171"/>
      <c r="N14" s="16" t="s">
        <v>183</v>
      </c>
      <c r="O14" s="234"/>
      <c r="Q14" s="174"/>
      <c r="S14" s="1" t="s">
        <v>757</v>
      </c>
    </row>
    <row r="15" spans="1:20" x14ac:dyDescent="0.25">
      <c r="A15" s="2"/>
      <c r="B15" s="7"/>
      <c r="C15" s="7"/>
      <c r="D15" s="7"/>
      <c r="E15" s="7"/>
      <c r="F15" s="7"/>
      <c r="G15" s="7"/>
      <c r="H15" s="7"/>
      <c r="I15" s="7"/>
      <c r="J15" s="7"/>
      <c r="K15" s="171"/>
      <c r="N15" s="22" t="s">
        <v>42</v>
      </c>
      <c r="O15" s="189">
        <f>Assumptions!$D$20</f>
        <v>1.67</v>
      </c>
      <c r="P15" s="173"/>
      <c r="Q15" s="174"/>
      <c r="S15" s="20" t="s">
        <v>913</v>
      </c>
      <c r="T15" s="389">
        <f>3600*T9/T8</f>
        <v>80</v>
      </c>
    </row>
    <row r="16" spans="1:20" x14ac:dyDescent="0.25">
      <c r="A16" s="34" t="s">
        <v>15</v>
      </c>
      <c r="B16" s="441" t="s">
        <v>149</v>
      </c>
      <c r="C16" s="441"/>
      <c r="D16" s="441"/>
      <c r="E16" s="441"/>
      <c r="F16" s="441"/>
      <c r="G16" s="441"/>
      <c r="H16" s="441"/>
      <c r="I16" s="441"/>
      <c r="J16" s="441"/>
      <c r="K16" s="171"/>
      <c r="N16" s="22" t="s">
        <v>19</v>
      </c>
      <c r="O16" s="189">
        <f>Assumptions!$D$21</f>
        <v>1</v>
      </c>
      <c r="P16" s="173"/>
      <c r="S16" s="20" t="s">
        <v>914</v>
      </c>
      <c r="T16" s="389">
        <f>T15-T17</f>
        <v>40</v>
      </c>
    </row>
    <row r="17" spans="1:20" x14ac:dyDescent="0.25">
      <c r="K17" s="171"/>
      <c r="S17" s="20" t="s">
        <v>916</v>
      </c>
      <c r="T17" s="57">
        <f>T15/2</f>
        <v>40</v>
      </c>
    </row>
    <row r="18" spans="1:20" ht="15" customHeight="1" x14ac:dyDescent="0.25">
      <c r="A18" s="2" t="s">
        <v>16</v>
      </c>
      <c r="B18" s="441" t="s">
        <v>887</v>
      </c>
      <c r="C18" s="441"/>
      <c r="D18" s="441"/>
      <c r="E18" s="441"/>
      <c r="F18" s="441"/>
      <c r="G18" s="441"/>
      <c r="H18" s="441"/>
      <c r="I18" s="441"/>
      <c r="J18" s="441"/>
      <c r="K18" s="171"/>
      <c r="N18" s="16" t="s">
        <v>184</v>
      </c>
      <c r="O18" s="234"/>
      <c r="S18" s="20" t="s">
        <v>917</v>
      </c>
      <c r="T18" s="37">
        <v>10</v>
      </c>
    </row>
    <row r="19" spans="1:20" x14ac:dyDescent="0.25">
      <c r="B19" s="7"/>
      <c r="C19" s="7"/>
      <c r="D19" s="7"/>
      <c r="E19" s="7"/>
      <c r="F19" s="7"/>
      <c r="G19" s="7"/>
      <c r="H19" s="7"/>
      <c r="I19" s="7"/>
      <c r="J19" s="7"/>
      <c r="K19" s="171"/>
      <c r="N19" s="22" t="s">
        <v>180</v>
      </c>
      <c r="O19" s="187">
        <f>O7*O11*O15+O8*O12*O16</f>
        <v>32.770400000000002</v>
      </c>
      <c r="S19" s="20" t="s">
        <v>758</v>
      </c>
      <c r="T19" s="177">
        <f>ROUNDUP(3600/(T16*2+T17+T18),0)</f>
        <v>28</v>
      </c>
    </row>
    <row r="20" spans="1:20" ht="15" customHeight="1" x14ac:dyDescent="0.25">
      <c r="A20" s="2" t="s">
        <v>98</v>
      </c>
      <c r="B20" s="441" t="s">
        <v>888</v>
      </c>
      <c r="C20" s="441"/>
      <c r="D20" s="441"/>
      <c r="E20" s="441"/>
      <c r="F20" s="441"/>
      <c r="G20" s="441"/>
      <c r="H20" s="441"/>
      <c r="I20" s="441"/>
      <c r="J20" s="441"/>
      <c r="S20" s="20" t="s">
        <v>759</v>
      </c>
      <c r="T20" s="37">
        <v>12</v>
      </c>
    </row>
    <row r="21" spans="1:20" ht="14.25" customHeight="1" x14ac:dyDescent="0.25">
      <c r="B21" s="7"/>
      <c r="C21" s="7"/>
      <c r="D21" s="7"/>
      <c r="E21" s="7"/>
      <c r="F21" s="7"/>
      <c r="G21" s="7"/>
      <c r="H21" s="7"/>
      <c r="I21" s="7"/>
      <c r="J21" s="7"/>
      <c r="N21" s="1" t="s">
        <v>185</v>
      </c>
      <c r="S21" s="20" t="s">
        <v>925</v>
      </c>
      <c r="T21" s="292">
        <f>(T16+T17+T18)/60</f>
        <v>1.5</v>
      </c>
    </row>
    <row r="22" spans="1:20" ht="15" customHeight="1" x14ac:dyDescent="0.25">
      <c r="A22" s="2" t="s">
        <v>17</v>
      </c>
      <c r="B22" s="441" t="s">
        <v>192</v>
      </c>
      <c r="C22" s="441"/>
      <c r="D22" s="441"/>
      <c r="E22" s="441"/>
      <c r="F22" s="441"/>
      <c r="G22" s="441"/>
      <c r="H22" s="441"/>
      <c r="I22" s="441"/>
      <c r="J22" s="441"/>
      <c r="N22" s="21" t="s">
        <v>39</v>
      </c>
      <c r="O22" s="21" t="s">
        <v>746</v>
      </c>
      <c r="P22" s="21" t="s">
        <v>179</v>
      </c>
      <c r="Q22" s="21" t="s">
        <v>144</v>
      </c>
      <c r="S22" s="20" t="s">
        <v>926</v>
      </c>
      <c r="T22" s="292">
        <f>(T21)/60</f>
        <v>2.5000000000000001E-2</v>
      </c>
    </row>
    <row r="23" spans="1:20" x14ac:dyDescent="0.25">
      <c r="B23" s="441"/>
      <c r="C23" s="441"/>
      <c r="D23" s="441"/>
      <c r="E23" s="441"/>
      <c r="F23" s="441"/>
      <c r="G23" s="441"/>
      <c r="H23" s="441"/>
      <c r="I23" s="441"/>
      <c r="J23" s="441"/>
      <c r="N23" s="21">
        <f>'Traffic Volume and Route Data'!C11</f>
        <v>2019</v>
      </c>
      <c r="O23" s="233">
        <f>('Traffic Volume and Route Data'!$G$21*$O$11+'Traffic Volume and Route Data'!$G$22*$O$12)*Assumptions!$D$27*'Traffic Volume and Route Data'!$D$11</f>
        <v>234208.33333333331</v>
      </c>
      <c r="P23" s="233">
        <f>('Traffic Volume and Route Data'!$G$31*$O$11+'Traffic Volume and Route Data'!$G$32*$O$12)*Assumptions!$D$27*'Traffic Volume and Route Data'!$D$11</f>
        <v>301125</v>
      </c>
      <c r="Q23" s="233">
        <f>('Traffic Volume and Route Data'!$G$36*$O$11+'Traffic Volume and Route Data'!$G$37*$O$12)*Assumptions!$D$27*'Traffic Volume and Route Data'!$D$11</f>
        <v>234208.33333333331</v>
      </c>
      <c r="S23" s="456" t="s">
        <v>921</v>
      </c>
      <c r="T23" s="456"/>
    </row>
    <row r="24" spans="1:20" x14ac:dyDescent="0.25">
      <c r="A24" s="2"/>
      <c r="N24" s="21">
        <f>'Traffic Volume and Route Data'!C12</f>
        <v>2040</v>
      </c>
      <c r="O24" s="233">
        <f>('Traffic Volume and Route Data'!$G$21*$O$11+'Traffic Volume and Route Data'!$G$22*$O$12)*Assumptions!$D$27*'Traffic Volume and Route Data'!$D$12</f>
        <v>272533.33333333331</v>
      </c>
      <c r="P24" s="233">
        <f>('Traffic Volume and Route Data'!$G$31*$O$11+'Traffic Volume and Route Data'!$G$32*$O$12)*Assumptions!$D$27*'Traffic Volume and Route Data'!$D$12</f>
        <v>350400</v>
      </c>
      <c r="Q24" s="233">
        <f>('Traffic Volume and Route Data'!$G$36*$O$11+'Traffic Volume and Route Data'!$G$37*$O$12)*Assumptions!$D$27*'Traffic Volume and Route Data'!$D$12</f>
        <v>272533.33333333331</v>
      </c>
      <c r="S24" s="455"/>
      <c r="T24" s="455"/>
    </row>
    <row r="25" spans="1:20" x14ac:dyDescent="0.25">
      <c r="A25" s="2" t="s">
        <v>138</v>
      </c>
      <c r="B25" s="441" t="s">
        <v>891</v>
      </c>
      <c r="C25" s="441"/>
      <c r="D25" s="441"/>
      <c r="E25" s="441"/>
      <c r="F25" s="441"/>
      <c r="G25" s="441"/>
      <c r="H25" s="441"/>
      <c r="I25" s="441"/>
      <c r="J25" s="441"/>
    </row>
    <row r="26" spans="1:20" ht="15" customHeight="1" x14ac:dyDescent="0.25">
      <c r="B26" s="441"/>
      <c r="C26" s="441"/>
      <c r="D26" s="441"/>
      <c r="E26" s="441"/>
      <c r="F26" s="441"/>
      <c r="G26" s="441"/>
      <c r="H26" s="441"/>
      <c r="I26" s="441"/>
      <c r="J26" s="441"/>
      <c r="N26" s="1" t="s">
        <v>156</v>
      </c>
    </row>
    <row r="27" spans="1:20" ht="15" customHeight="1" x14ac:dyDescent="0.25">
      <c r="A27" s="2"/>
      <c r="B27" s="441"/>
      <c r="C27" s="441"/>
      <c r="D27" s="441"/>
      <c r="E27" s="441"/>
      <c r="F27" s="441"/>
      <c r="G27" s="441"/>
      <c r="H27" s="441"/>
      <c r="I27" s="441"/>
      <c r="J27" s="441"/>
      <c r="N27" s="21" t="s">
        <v>22</v>
      </c>
      <c r="O27" s="21" t="s">
        <v>100</v>
      </c>
    </row>
    <row r="28" spans="1:20" ht="15" customHeight="1" x14ac:dyDescent="0.25">
      <c r="A28" s="10"/>
      <c r="B28" s="7"/>
      <c r="C28" s="7"/>
      <c r="D28" s="7"/>
      <c r="E28" s="7"/>
      <c r="F28" s="7"/>
      <c r="G28" s="7"/>
      <c r="H28" s="7"/>
      <c r="I28" s="7"/>
      <c r="J28" s="7"/>
      <c r="L28" s="3"/>
      <c r="N28" s="21">
        <f>Assumptions!$D$45</f>
        <v>2027</v>
      </c>
      <c r="O28" s="214">
        <f>Assumptions!$D$47</f>
        <v>4</v>
      </c>
    </row>
    <row r="29" spans="1:20" ht="15" customHeight="1" x14ac:dyDescent="0.25">
      <c r="A29" s="10" t="s">
        <v>155</v>
      </c>
      <c r="B29" s="455" t="s">
        <v>912</v>
      </c>
      <c r="C29" s="455"/>
      <c r="D29" s="455"/>
      <c r="E29" s="455"/>
      <c r="F29" s="455"/>
      <c r="G29" s="455"/>
      <c r="H29" s="455"/>
      <c r="I29" s="455"/>
      <c r="J29" s="455"/>
      <c r="N29" s="21">
        <f>N28+1</f>
        <v>2028</v>
      </c>
      <c r="O29" s="214">
        <f>Assumptions!$D$48</f>
        <v>8</v>
      </c>
    </row>
    <row r="30" spans="1:20" ht="15" customHeight="1" x14ac:dyDescent="0.25">
      <c r="A30" s="10"/>
      <c r="B30" s="455"/>
      <c r="C30" s="455"/>
      <c r="D30" s="455"/>
      <c r="E30" s="455"/>
      <c r="F30" s="455"/>
      <c r="G30" s="455"/>
      <c r="H30" s="455"/>
      <c r="I30" s="455"/>
      <c r="J30" s="455"/>
    </row>
    <row r="31" spans="1:20" ht="15" customHeight="1" x14ac:dyDescent="0.25">
      <c r="N31" s="1" t="s">
        <v>911</v>
      </c>
    </row>
    <row r="32" spans="1:20" ht="15" customHeight="1" x14ac:dyDescent="0.25">
      <c r="A32" t="s">
        <v>847</v>
      </c>
      <c r="B32" s="455" t="s">
        <v>918</v>
      </c>
      <c r="C32" s="455"/>
      <c r="D32" s="455"/>
      <c r="E32" s="455"/>
      <c r="F32" s="455"/>
      <c r="G32" s="455"/>
      <c r="H32" s="455"/>
      <c r="I32" s="455"/>
      <c r="J32" s="455"/>
      <c r="N32" s="21" t="s">
        <v>750</v>
      </c>
      <c r="O32" s="289">
        <v>0.9</v>
      </c>
    </row>
    <row r="33" spans="1:18" x14ac:dyDescent="0.25">
      <c r="B33" s="455"/>
      <c r="C33" s="455"/>
      <c r="D33" s="455"/>
      <c r="E33" s="455"/>
      <c r="F33" s="455"/>
      <c r="G33" s="455"/>
      <c r="H33" s="455"/>
      <c r="I33" s="455"/>
      <c r="J33" s="455"/>
      <c r="N33" s="21" t="s">
        <v>751</v>
      </c>
      <c r="O33" s="290">
        <f>1-O32</f>
        <v>9.9999999999999978E-2</v>
      </c>
    </row>
    <row r="34" spans="1:18" ht="15" customHeight="1" x14ac:dyDescent="0.25">
      <c r="B34" s="455"/>
      <c r="C34" s="455"/>
      <c r="D34" s="455"/>
      <c r="E34" s="455"/>
      <c r="F34" s="455"/>
      <c r="G34" s="455"/>
      <c r="H34" s="455"/>
      <c r="I34" s="455"/>
      <c r="J34" s="455"/>
    </row>
    <row r="35" spans="1:18" ht="15" customHeight="1" x14ac:dyDescent="0.25"/>
    <row r="36" spans="1:18" ht="15" customHeight="1" x14ac:dyDescent="0.25">
      <c r="A36" t="s">
        <v>849</v>
      </c>
      <c r="B36" s="455" t="s">
        <v>920</v>
      </c>
      <c r="C36" s="455"/>
      <c r="D36" s="455"/>
      <c r="E36" s="455"/>
      <c r="F36" s="455"/>
      <c r="G36" s="455"/>
      <c r="H36" s="455"/>
      <c r="I36" s="455"/>
      <c r="J36" s="455"/>
    </row>
    <row r="37" spans="1:18" ht="15" customHeight="1" x14ac:dyDescent="0.25">
      <c r="B37" s="455"/>
      <c r="C37" s="455"/>
      <c r="D37" s="455"/>
      <c r="E37" s="455"/>
      <c r="F37" s="455"/>
      <c r="G37" s="455"/>
      <c r="H37" s="455"/>
      <c r="I37" s="455"/>
      <c r="J37" s="455"/>
    </row>
    <row r="38" spans="1:18" ht="15" customHeight="1" x14ac:dyDescent="0.25">
      <c r="B38" s="7"/>
      <c r="C38" s="7"/>
    </row>
    <row r="39" spans="1:18" ht="15" customHeight="1" x14ac:dyDescent="0.25">
      <c r="A39" s="2"/>
    </row>
    <row r="40" spans="1:18" ht="15" customHeight="1" x14ac:dyDescent="0.25">
      <c r="A40" s="2"/>
    </row>
    <row r="41" spans="1:18" ht="15" customHeight="1" x14ac:dyDescent="0.25">
      <c r="A41" s="2"/>
    </row>
    <row r="42" spans="1:18" ht="15" customHeight="1" x14ac:dyDescent="0.25">
      <c r="A42" s="2"/>
      <c r="L42" s="25"/>
    </row>
    <row r="43" spans="1:18" ht="15" customHeight="1" x14ac:dyDescent="0.25">
      <c r="A43" s="2" t="s">
        <v>15</v>
      </c>
      <c r="L43" s="26"/>
    </row>
    <row r="45" spans="1:18" x14ac:dyDescent="0.25">
      <c r="A45" s="2" t="s">
        <v>16</v>
      </c>
    </row>
    <row r="46" spans="1:18" ht="15" customHeight="1" x14ac:dyDescent="0.25">
      <c r="A46" s="2"/>
    </row>
    <row r="47" spans="1:18" ht="15" customHeight="1" x14ac:dyDescent="0.25">
      <c r="A47" s="2" t="s">
        <v>98</v>
      </c>
      <c r="R47" s="1"/>
    </row>
    <row r="48" spans="1:18" ht="15" customHeight="1" x14ac:dyDescent="0.25">
      <c r="A48" s="2"/>
      <c r="R48" s="1"/>
    </row>
    <row r="49" spans="1:18" ht="15" customHeight="1" x14ac:dyDescent="0.25">
      <c r="A49" s="2"/>
      <c r="R49" s="1"/>
    </row>
    <row r="50" spans="1:18" ht="15" customHeight="1" x14ac:dyDescent="0.25">
      <c r="A50" s="2" t="s">
        <v>17</v>
      </c>
      <c r="R50" s="1"/>
    </row>
    <row r="51" spans="1:18" ht="15" customHeight="1" x14ac:dyDescent="0.25">
      <c r="A51" s="2"/>
      <c r="R51" s="1"/>
    </row>
    <row r="52" spans="1:18" ht="15" customHeight="1" x14ac:dyDescent="0.25"/>
    <row r="53" spans="1:18" ht="15" customHeight="1" x14ac:dyDescent="0.25">
      <c r="A53" s="2" t="s">
        <v>138</v>
      </c>
    </row>
    <row r="54" spans="1:18" x14ac:dyDescent="0.25">
      <c r="A54" s="2"/>
    </row>
    <row r="55" spans="1:18" ht="15" customHeight="1" x14ac:dyDescent="0.25">
      <c r="A55" s="2"/>
    </row>
    <row r="56" spans="1:18" ht="15" customHeight="1" x14ac:dyDescent="0.25">
      <c r="A56" s="2"/>
    </row>
    <row r="57" spans="1:18" ht="15" customHeight="1" x14ac:dyDescent="0.25"/>
    <row r="58" spans="1:18" ht="15" customHeight="1" x14ac:dyDescent="0.25"/>
    <row r="59" spans="1:18" ht="15" customHeight="1" x14ac:dyDescent="0.25"/>
    <row r="60" spans="1:18" ht="15" customHeight="1" x14ac:dyDescent="0.25"/>
    <row r="61" spans="1:18" ht="15" customHeight="1" x14ac:dyDescent="0.25"/>
    <row r="62" spans="1:18" ht="15" customHeight="1" x14ac:dyDescent="0.25"/>
    <row r="63" spans="1:18" ht="15" customHeight="1" x14ac:dyDescent="0.25"/>
    <row r="65" spans="1:1" x14ac:dyDescent="0.25">
      <c r="A65" s="2"/>
    </row>
    <row r="66" spans="1:1" ht="15" customHeight="1" x14ac:dyDescent="0.25">
      <c r="A66" s="2"/>
    </row>
    <row r="67" spans="1:1" ht="15" customHeight="1" x14ac:dyDescent="0.25">
      <c r="A67" s="2"/>
    </row>
    <row r="69" spans="1:1" ht="15" customHeight="1" x14ac:dyDescent="0.25"/>
    <row r="72" spans="1:1" ht="15" customHeight="1" x14ac:dyDescent="0.25"/>
    <row r="74" spans="1:1" ht="15" customHeight="1" x14ac:dyDescent="0.25"/>
    <row r="75" spans="1:1" ht="21" customHeight="1" x14ac:dyDescent="0.25"/>
  </sheetData>
  <mergeCells count="23">
    <mergeCell ref="B18:J18"/>
    <mergeCell ref="B20:J20"/>
    <mergeCell ref="I5:I6"/>
    <mergeCell ref="J5:J6"/>
    <mergeCell ref="B16:J16"/>
    <mergeCell ref="E5:E6"/>
    <mergeCell ref="H5:H6"/>
    <mergeCell ref="B29:J30"/>
    <mergeCell ref="B32:J34"/>
    <mergeCell ref="B36:J37"/>
    <mergeCell ref="S23:T24"/>
    <mergeCell ref="C4:D4"/>
    <mergeCell ref="E4:I4"/>
    <mergeCell ref="K5:K6"/>
    <mergeCell ref="B22:J23"/>
    <mergeCell ref="N6:O6"/>
    <mergeCell ref="B13:J14"/>
    <mergeCell ref="G5:G6"/>
    <mergeCell ref="B25:J27"/>
    <mergeCell ref="B5:B6"/>
    <mergeCell ref="C5:C6"/>
    <mergeCell ref="D5:D6"/>
    <mergeCell ref="F5:F6"/>
  </mergeCells>
  <pageMargins left="0.25" right="0.25" top="0.75" bottom="0.75" header="0.3" footer="0.3"/>
  <pageSetup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7F5A-8CE9-4B9B-8A70-8E5AB447D2B6}">
  <sheetPr codeName="Sheet6">
    <tabColor theme="3" tint="0.79998168889431442"/>
    <pageSetUpPr fitToPage="1"/>
  </sheetPr>
  <dimension ref="A1:S58"/>
  <sheetViews>
    <sheetView view="pageBreakPreview" zoomScale="70" zoomScaleNormal="85" zoomScaleSheetLayoutView="70" zoomScalePageLayoutView="55" workbookViewId="0"/>
  </sheetViews>
  <sheetFormatPr defaultRowHeight="15" x14ac:dyDescent="0.25"/>
  <cols>
    <col min="1" max="1" width="3.7109375" customWidth="1"/>
    <col min="2" max="11" width="20.7109375" customWidth="1"/>
    <col min="12" max="12" width="13" bestFit="1" customWidth="1"/>
    <col min="13" max="13" width="3" customWidth="1"/>
    <col min="14" max="14" width="33" customWidth="1"/>
    <col min="15" max="15" width="24.5703125" bestFit="1" customWidth="1"/>
    <col min="16" max="16" width="13.85546875" bestFit="1" customWidth="1"/>
    <col min="17" max="17" width="12.140625" bestFit="1" customWidth="1"/>
    <col min="18" max="19" width="10.7109375" customWidth="1"/>
  </cols>
  <sheetData>
    <row r="1" spans="2:17" ht="14.25" customHeight="1" x14ac:dyDescent="0.25">
      <c r="B1" s="41"/>
      <c r="C1" s="41"/>
      <c r="D1" s="41"/>
      <c r="E1" s="41"/>
      <c r="F1" s="41"/>
      <c r="G1" s="41"/>
      <c r="H1" s="41"/>
      <c r="I1" s="41"/>
      <c r="J1" s="41"/>
      <c r="K1" s="41"/>
    </row>
    <row r="2" spans="2:17" x14ac:dyDescent="0.25">
      <c r="B2" s="1" t="s">
        <v>125</v>
      </c>
      <c r="C2" s="1"/>
      <c r="D2" s="1"/>
      <c r="E2" s="1"/>
    </row>
    <row r="3" spans="2:17" ht="15.75" thickBot="1" x14ac:dyDescent="0.3">
      <c r="N3" s="12"/>
    </row>
    <row r="4" spans="2:17" ht="35.1" customHeight="1" x14ac:dyDescent="0.25">
      <c r="B4" s="445" t="s">
        <v>0</v>
      </c>
      <c r="C4" s="451" t="s">
        <v>56</v>
      </c>
      <c r="D4" s="447" t="s">
        <v>774</v>
      </c>
      <c r="E4" s="447" t="s">
        <v>203</v>
      </c>
      <c r="F4" s="449" t="s">
        <v>58</v>
      </c>
      <c r="G4" s="451" t="s">
        <v>57</v>
      </c>
      <c r="H4" s="449" t="s">
        <v>59</v>
      </c>
      <c r="I4" s="451" t="s">
        <v>1005</v>
      </c>
      <c r="J4" s="453" t="s">
        <v>60</v>
      </c>
      <c r="K4" s="442" t="s">
        <v>186</v>
      </c>
      <c r="N4" s="46"/>
    </row>
    <row r="5" spans="2:17" ht="43.5" customHeight="1" thickBot="1" x14ac:dyDescent="0.3">
      <c r="B5" s="446"/>
      <c r="C5" s="452"/>
      <c r="D5" s="448"/>
      <c r="E5" s="448"/>
      <c r="F5" s="450"/>
      <c r="G5" s="452"/>
      <c r="H5" s="450"/>
      <c r="I5" s="452"/>
      <c r="J5" s="454"/>
      <c r="K5" s="443"/>
      <c r="N5" s="444" t="s">
        <v>188</v>
      </c>
      <c r="O5" s="444"/>
      <c r="P5" s="25"/>
    </row>
    <row r="6" spans="2:17" ht="15" customHeight="1" x14ac:dyDescent="0.25">
      <c r="B6" s="68">
        <f>Assumptions!D14</f>
        <v>2029</v>
      </c>
      <c r="C6" s="103" cm="1">
        <f t="array" ref="C6">IF(OR(B6=Assumptions!$D$45,B6=Assumptions!$D$45+Assumptions!$D$46-1),0,IF(AND(B6&gt;=Assumptions!$D$45,B6&lt;Assumptions!$D$44),TREND($O$18:$O$19,$N$18:$N$19,B6),0))</f>
        <v>14714714.285714298</v>
      </c>
      <c r="D6" s="236" cm="1">
        <f t="array" ref="D6">IF(AND(B6&gt;=Assumptions!$D$44,B6&lt;=Assumptions!$D$15),TREND($P$18:$P$19,$N$18:$N$19,B6),0)</f>
        <v>0</v>
      </c>
      <c r="E6" s="236">
        <f t="shared" ref="E6:E25" si="0">C6+D6</f>
        <v>14714714.285714298</v>
      </c>
      <c r="F6" s="102">
        <f t="shared" ref="F6:F25" si="1">IFERROR(E6*$O$14,0)</f>
        <v>8240240.0000000084</v>
      </c>
      <c r="G6" s="103" cm="1">
        <f t="array" ref="G6">IF(OR(B6=Assumptions!$D$45,B6=Assumptions!$D$45+Assumptions!$D$46-1),0,IF(AND(B6&gt;=Assumptions!$D$14,B6&lt;Assumptions!$D$44),TREND($O$18:$O$19,$N$18:$N$19,B6),IF(AND(B6&gt;=Assumptions!$D$46,B6&lt;=Assumptions!$D$15),TREND($Q$18:$Q$19,$N$18:$N$19,B6),0)))</f>
        <v>14714714.285714298</v>
      </c>
      <c r="H6" s="104">
        <f t="shared" ref="H6:H25" si="2">IFERROR(G6*$O$14,0)</f>
        <v>8240240.0000000084</v>
      </c>
      <c r="I6" s="236">
        <f>E6-G6</f>
        <v>0</v>
      </c>
      <c r="J6" s="105">
        <f t="shared" ref="J6:J25" si="3">F6-H6</f>
        <v>0</v>
      </c>
      <c r="K6" s="106">
        <f>J6*(1+Assumptions!$D$24)^-(B6-Assumptions!$D$10)</f>
        <v>0</v>
      </c>
      <c r="N6" s="22" t="s">
        <v>96</v>
      </c>
      <c r="O6" s="187">
        <f>Assumptions!D32</f>
        <v>0.52</v>
      </c>
    </row>
    <row r="7" spans="2:17" x14ac:dyDescent="0.25">
      <c r="B7" s="68">
        <f t="shared" ref="B7:B25" si="4">B6+1</f>
        <v>2030</v>
      </c>
      <c r="C7" s="103" cm="1">
        <f t="array" ref="C7">IF(OR(B7=Assumptions!$D$45,B7=Assumptions!$D$45+Assumptions!$D$46-1),0,IF(AND(B7&gt;=Assumptions!$D$45,B7&lt;Assumptions!$D$44),TREND($O$18:$O$19,$N$18:$N$19,B7),0))</f>
        <v>14821085.714285731</v>
      </c>
      <c r="D7" s="236" cm="1">
        <f t="array" ref="D7">IF(AND(B7&gt;=Assumptions!$D$44,B7&lt;=Assumptions!$D$15),TREND($P$18:$P$19,$N$18:$N$19,B7),0)</f>
        <v>0</v>
      </c>
      <c r="E7" s="236">
        <f t="shared" si="0"/>
        <v>14821085.714285731</v>
      </c>
      <c r="F7" s="102">
        <f t="shared" si="1"/>
        <v>8299808.0000000102</v>
      </c>
      <c r="G7" s="103" cm="1">
        <f t="array" ref="G7">IF(OR(B7=Assumptions!$D$45,B7=Assumptions!$D$45+Assumptions!$D$46-1),0,IF(AND(B7&gt;=Assumptions!$D$14,B7&lt;Assumptions!$D$44),TREND($O$18:$O$19,$N$18:$N$19,B7),IF(AND(B7&gt;=Assumptions!$D$46,B7&lt;=Assumptions!$D$15),TREND($Q$18:$Q$19,$N$18:$N$19,B7),0)))</f>
        <v>14821085.714285731</v>
      </c>
      <c r="H7" s="104">
        <f t="shared" si="2"/>
        <v>8299808.0000000102</v>
      </c>
      <c r="I7" s="236">
        <f t="shared" ref="I7:I25" si="5">E7-G7</f>
        <v>0</v>
      </c>
      <c r="J7" s="105">
        <f t="shared" si="3"/>
        <v>0</v>
      </c>
      <c r="K7" s="106">
        <f>J7*(1+Assumptions!$D$24)^-(B7-Assumptions!$D$10)</f>
        <v>0</v>
      </c>
      <c r="N7" s="22" t="s">
        <v>97</v>
      </c>
      <c r="O7" s="187">
        <f>Assumptions!D33</f>
        <v>1.32</v>
      </c>
    </row>
    <row r="8" spans="2:17" x14ac:dyDescent="0.25">
      <c r="B8" s="68">
        <f t="shared" si="4"/>
        <v>2031</v>
      </c>
      <c r="C8" s="103" cm="1">
        <f t="array" ref="C8">IF(OR(B8=Assumptions!$D$45,B8=Assumptions!$D$45+Assumptions!$D$46-1),0,IF(AND(B8&gt;=Assumptions!$D$45,B8&lt;Assumptions!$D$44),TREND($O$18:$O$19,$N$18:$N$19,B8),0))</f>
        <v>14927457.142857134</v>
      </c>
      <c r="D8" s="236" cm="1">
        <f t="array" ref="D8">IF(AND(B8&gt;=Assumptions!$D$44,B8&lt;=Assumptions!$D$15),TREND($P$18:$P$19,$N$18:$N$19,B8),0)</f>
        <v>0</v>
      </c>
      <c r="E8" s="236">
        <f t="shared" si="0"/>
        <v>14927457.142857134</v>
      </c>
      <c r="F8" s="102">
        <f t="shared" si="1"/>
        <v>8359375.9999999963</v>
      </c>
      <c r="G8" s="103" cm="1">
        <f t="array" ref="G8">IF(OR(B8=Assumptions!$D$45,B8=Assumptions!$D$45+Assumptions!$D$46-1),0,IF(AND(B8&gt;=Assumptions!$D$14,B8&lt;Assumptions!$D$44),TREND($O$18:$O$19,$N$18:$N$19,B8),IF(AND(B8&gt;=Assumptions!$D$46,B8&lt;=Assumptions!$D$15),TREND($Q$18:$Q$19,$N$18:$N$19,B8),0)))</f>
        <v>14927457.142857134</v>
      </c>
      <c r="H8" s="104">
        <f t="shared" si="2"/>
        <v>8359375.9999999963</v>
      </c>
      <c r="I8" s="236">
        <f t="shared" si="5"/>
        <v>0</v>
      </c>
      <c r="J8" s="105">
        <f t="shared" si="3"/>
        <v>0</v>
      </c>
      <c r="K8" s="106">
        <f>J8*(1+Assumptions!$D$24)^-(B8-Assumptions!$D$10)</f>
        <v>0</v>
      </c>
      <c r="M8" s="13"/>
    </row>
    <row r="9" spans="2:17" ht="15" customHeight="1" x14ac:dyDescent="0.25">
      <c r="B9" s="68">
        <f t="shared" si="4"/>
        <v>2032</v>
      </c>
      <c r="C9" s="103" cm="1">
        <f t="array" ref="C9">IF(OR(B9=Assumptions!$D$45,B9=Assumptions!$D$45+Assumptions!$D$46-1),0,IF(AND(B9&gt;=Assumptions!$D$45,B9&lt;Assumptions!$D$44),TREND($O$18:$O$19,$N$18:$N$19,B9),0))</f>
        <v>15033828.571428567</v>
      </c>
      <c r="D9" s="236" cm="1">
        <f t="array" ref="D9">IF(AND(B9&gt;=Assumptions!$D$44,B9&lt;=Assumptions!$D$15),TREND($P$18:$P$19,$N$18:$N$19,B9),0)</f>
        <v>0</v>
      </c>
      <c r="E9" s="236">
        <f t="shared" si="0"/>
        <v>15033828.571428567</v>
      </c>
      <c r="F9" s="102">
        <f t="shared" si="1"/>
        <v>8418943.9999999981</v>
      </c>
      <c r="G9" s="103" cm="1">
        <f t="array" ref="G9">IF(OR(B9=Assumptions!$D$45,B9=Assumptions!$D$45+Assumptions!$D$46-1),0,IF(AND(B9&gt;=Assumptions!$D$14,B9&lt;Assumptions!$D$44),TREND($O$18:$O$19,$N$18:$N$19,B9),IF(AND(B9&gt;=Assumptions!$D$46,B9&lt;=Assumptions!$D$15),TREND($Q$18:$Q$19,$N$18:$N$19,B9),0)))</f>
        <v>15033828.571428567</v>
      </c>
      <c r="H9" s="104">
        <f t="shared" si="2"/>
        <v>8418943.9999999981</v>
      </c>
      <c r="I9" s="236">
        <f t="shared" si="5"/>
        <v>0</v>
      </c>
      <c r="J9" s="105">
        <f t="shared" si="3"/>
        <v>0</v>
      </c>
      <c r="K9" s="106">
        <f>J9*(1+Assumptions!$D$24)^-(B9-Assumptions!$D$10)</f>
        <v>0</v>
      </c>
      <c r="N9" s="16" t="s">
        <v>43</v>
      </c>
      <c r="O9" s="16"/>
    </row>
    <row r="10" spans="2:17" x14ac:dyDescent="0.25">
      <c r="B10" s="68">
        <f t="shared" si="4"/>
        <v>2033</v>
      </c>
      <c r="C10" s="103" cm="1">
        <f t="array" ref="C10">IF(OR(B10=Assumptions!$D$45,B10=Assumptions!$D$45+Assumptions!$D$46-1),0,IF(AND(B10&gt;=Assumptions!$D$45,B10&lt;Assumptions!$D$44),TREND($O$18:$O$19,$N$18:$N$19,B10),0))</f>
        <v>15140200</v>
      </c>
      <c r="D10" s="236" cm="1">
        <f t="array" ref="D10">IF(AND(B10&gt;=Assumptions!$D$44,B10&lt;=Assumptions!$D$15),TREND($P$18:$P$19,$N$18:$N$19,B10),0)</f>
        <v>0</v>
      </c>
      <c r="E10" s="236">
        <f t="shared" si="0"/>
        <v>15140200</v>
      </c>
      <c r="F10" s="102">
        <f t="shared" si="1"/>
        <v>8478512</v>
      </c>
      <c r="G10" s="103" cm="1">
        <f t="array" ref="G10">IF(OR(B10=Assumptions!$D$45,B10=Assumptions!$D$45+Assumptions!$D$46-1),0,IF(AND(B10&gt;=Assumptions!$D$14,B10&lt;Assumptions!$D$44),TREND($O$18:$O$19,$N$18:$N$19,B10),IF(AND(B10&gt;=Assumptions!$D$46,B10&lt;=Assumptions!$D$15),TREND($Q$18:$Q$19,$N$18:$N$19,B10),0)))</f>
        <v>15140200</v>
      </c>
      <c r="H10" s="104">
        <f t="shared" si="2"/>
        <v>8478512</v>
      </c>
      <c r="I10" s="236">
        <f t="shared" si="5"/>
        <v>0</v>
      </c>
      <c r="J10" s="105">
        <f t="shared" si="3"/>
        <v>0</v>
      </c>
      <c r="K10" s="106">
        <f>J10*(1+Assumptions!$D$24)^-(B10-Assumptions!$D$10)</f>
        <v>0</v>
      </c>
      <c r="N10" s="22" t="s">
        <v>41</v>
      </c>
      <c r="O10" s="188">
        <f>Assumptions!$D$19</f>
        <v>0.95</v>
      </c>
    </row>
    <row r="11" spans="2:17" x14ac:dyDescent="0.25">
      <c r="B11" s="68">
        <f t="shared" si="4"/>
        <v>2034</v>
      </c>
      <c r="C11" s="103" cm="1">
        <f t="array" ref="C11">IF(OR(B11=Assumptions!$D$45,B11=Assumptions!$D$45+Assumptions!$D$46-1),0,IF(AND(B11&gt;=Assumptions!$D$45,B11&lt;Assumptions!$D$44),TREND($O$18:$O$19,$N$18:$N$19,B11),0))</f>
        <v>15246571.428571433</v>
      </c>
      <c r="D11" s="236" cm="1">
        <f t="array" ref="D11">IF(AND(B11&gt;=Assumptions!$D$44,B11&lt;=Assumptions!$D$15),TREND($P$18:$P$19,$N$18:$N$19,B11),0)</f>
        <v>0</v>
      </c>
      <c r="E11" s="236">
        <f t="shared" si="0"/>
        <v>15246571.428571433</v>
      </c>
      <c r="F11" s="102">
        <f t="shared" si="1"/>
        <v>8538080.0000000037</v>
      </c>
      <c r="G11" s="103" cm="1">
        <f t="array" ref="G11">IF(OR(B11=Assumptions!$D$45,B11=Assumptions!$D$45+Assumptions!$D$46-1),0,IF(AND(B11&gt;=Assumptions!$D$14,B11&lt;Assumptions!$D$44),TREND($O$18:$O$19,$N$18:$N$19,B11),IF(AND(B11&gt;=Assumptions!$D$46,B11&lt;=Assumptions!$D$15),TREND($Q$18:$Q$19,$N$18:$N$19,B11),0)))</f>
        <v>15246571.428571433</v>
      </c>
      <c r="H11" s="104">
        <f t="shared" si="2"/>
        <v>8538080.0000000037</v>
      </c>
      <c r="I11" s="236">
        <f t="shared" si="5"/>
        <v>0</v>
      </c>
      <c r="J11" s="105">
        <f t="shared" si="3"/>
        <v>0</v>
      </c>
      <c r="K11" s="106">
        <f>J11*(1+Assumptions!$D$24)^-(B11-Assumptions!$D$10)</f>
        <v>0</v>
      </c>
      <c r="N11" s="22" t="s">
        <v>38</v>
      </c>
      <c r="O11" s="188">
        <f>Assumptions!$D$18</f>
        <v>0.05</v>
      </c>
    </row>
    <row r="12" spans="2:17" x14ac:dyDescent="0.25">
      <c r="B12" s="68">
        <f t="shared" si="4"/>
        <v>2035</v>
      </c>
      <c r="C12" s="103" cm="1">
        <f t="array" ref="C12">IF(OR(B12=Assumptions!$D$45,B12=Assumptions!$D$45+Assumptions!$D$46-1),0,IF(AND(B12&gt;=Assumptions!$D$45,B12&lt;Assumptions!$D$44),TREND($O$18:$O$19,$N$18:$N$19,B12),0))</f>
        <v>15352942.857142866</v>
      </c>
      <c r="D12" s="236" cm="1">
        <f t="array" ref="D12">IF(AND(B12&gt;=Assumptions!$D$44,B12&lt;=Assumptions!$D$15),TREND($P$18:$P$19,$N$18:$N$19,B12),0)</f>
        <v>0</v>
      </c>
      <c r="E12" s="236">
        <f t="shared" si="0"/>
        <v>15352942.857142866</v>
      </c>
      <c r="F12" s="102">
        <f t="shared" si="1"/>
        <v>8597648.0000000056</v>
      </c>
      <c r="G12" s="103" cm="1">
        <f t="array" ref="G12">IF(OR(B12=Assumptions!$D$45,B12=Assumptions!$D$45+Assumptions!$D$46-1),0,IF(AND(B12&gt;=Assumptions!$D$14,B12&lt;Assumptions!$D$44),TREND($O$18:$O$19,$N$18:$N$19,B12),IF(AND(B12&gt;=Assumptions!$D$46,B12&lt;=Assumptions!$D$15),TREND($Q$18:$Q$19,$N$18:$N$19,B12),0)))</f>
        <v>15352942.857142866</v>
      </c>
      <c r="H12" s="104">
        <f t="shared" si="2"/>
        <v>8597648.0000000056</v>
      </c>
      <c r="I12" s="236">
        <f t="shared" si="5"/>
        <v>0</v>
      </c>
      <c r="J12" s="105">
        <f t="shared" si="3"/>
        <v>0</v>
      </c>
      <c r="K12" s="106">
        <f>J12*(1+Assumptions!$D$24)^-(B12-Assumptions!$D$10)</f>
        <v>0</v>
      </c>
      <c r="Q12" s="174"/>
    </row>
    <row r="13" spans="2:17" ht="15" customHeight="1" x14ac:dyDescent="0.25">
      <c r="B13" s="68">
        <f t="shared" si="4"/>
        <v>2036</v>
      </c>
      <c r="C13" s="103" cm="1">
        <f t="array" ref="C13">IF(OR(B13=Assumptions!$D$45,B13=Assumptions!$D$45+Assumptions!$D$46-1),0,IF(AND(B13&gt;=Assumptions!$D$45,B13&lt;Assumptions!$D$44),TREND($O$18:$O$19,$N$18:$N$19,B13),0))</f>
        <v>15459314.285714298</v>
      </c>
      <c r="D13" s="236" cm="1">
        <f t="array" ref="D13">IF(AND(B13&gt;=Assumptions!$D$44,B13&lt;=Assumptions!$D$15),TREND($P$18:$P$19,$N$18:$N$19,B13),0)</f>
        <v>0</v>
      </c>
      <c r="E13" s="236">
        <f t="shared" si="0"/>
        <v>15459314.285714298</v>
      </c>
      <c r="F13" s="102">
        <f t="shared" si="1"/>
        <v>8657216.0000000075</v>
      </c>
      <c r="G13" s="103" cm="1">
        <f t="array" ref="G13">IF(OR(B13=Assumptions!$D$45,B13=Assumptions!$D$45+Assumptions!$D$46-1),0,IF(AND(B13&gt;=Assumptions!$D$14,B13&lt;Assumptions!$D$44),TREND($O$18:$O$19,$N$18:$N$19,B13),IF(AND(B13&gt;=Assumptions!$D$46,B13&lt;=Assumptions!$D$15),TREND($Q$18:$Q$19,$N$18:$N$19,B13),0)))</f>
        <v>15459314.285714298</v>
      </c>
      <c r="H13" s="104">
        <f t="shared" si="2"/>
        <v>8657216.0000000075</v>
      </c>
      <c r="I13" s="236">
        <f t="shared" si="5"/>
        <v>0</v>
      </c>
      <c r="J13" s="105">
        <f t="shared" si="3"/>
        <v>0</v>
      </c>
      <c r="K13" s="106">
        <f>J13*(1+Assumptions!$D$24)^-(B13-Assumptions!$D$10)</f>
        <v>0</v>
      </c>
      <c r="N13" s="16" t="s">
        <v>189</v>
      </c>
      <c r="O13" s="173"/>
    </row>
    <row r="14" spans="2:17" x14ac:dyDescent="0.25">
      <c r="B14" s="68">
        <f t="shared" si="4"/>
        <v>2037</v>
      </c>
      <c r="C14" s="103" cm="1">
        <f t="array" ref="C14">IF(OR(B14=Assumptions!$D$45,B14=Assumptions!$D$45+Assumptions!$D$46-1),0,IF(AND(B14&gt;=Assumptions!$D$45,B14&lt;Assumptions!$D$44),TREND($O$18:$O$19,$N$18:$N$19,B14),0))</f>
        <v>15565685.714285731</v>
      </c>
      <c r="D14" s="236" cm="1">
        <f t="array" ref="D14">IF(AND(B14&gt;=Assumptions!$D$44,B14&lt;=Assumptions!$D$15),TREND($P$18:$P$19,$N$18:$N$19,B14),0)</f>
        <v>0</v>
      </c>
      <c r="E14" s="236">
        <f t="shared" si="0"/>
        <v>15565685.714285731</v>
      </c>
      <c r="F14" s="102">
        <f t="shared" si="1"/>
        <v>8716784.0000000112</v>
      </c>
      <c r="G14" s="103" cm="1">
        <f t="array" ref="G14">IF(OR(B14=Assumptions!$D$45,B14=Assumptions!$D$45+Assumptions!$D$46-1),0,IF(AND(B14&gt;=Assumptions!$D$14,B14&lt;Assumptions!$D$44),TREND($O$18:$O$19,$N$18:$N$19,B14),IF(AND(B14&gt;=Assumptions!$D$46,B14&lt;=Assumptions!$D$15),TREND($Q$18:$Q$19,$N$18:$N$19,B14),0)))</f>
        <v>15565685.714285731</v>
      </c>
      <c r="H14" s="104">
        <f t="shared" si="2"/>
        <v>8716784.0000000112</v>
      </c>
      <c r="I14" s="236">
        <f t="shared" si="5"/>
        <v>0</v>
      </c>
      <c r="J14" s="105">
        <f t="shared" si="3"/>
        <v>0</v>
      </c>
      <c r="K14" s="106">
        <f>J14*(1+Assumptions!$D$24)^-(B14-Assumptions!$D$10)</f>
        <v>0</v>
      </c>
      <c r="N14" s="22" t="s">
        <v>180</v>
      </c>
      <c r="O14" s="187">
        <f>O6*O10+O7*O11</f>
        <v>0.56000000000000005</v>
      </c>
    </row>
    <row r="15" spans="2:17" x14ac:dyDescent="0.25">
      <c r="B15" s="68">
        <f t="shared" si="4"/>
        <v>2038</v>
      </c>
      <c r="C15" s="103" cm="1">
        <f t="array" ref="C15">IF(OR(B15=Assumptions!$D$45,B15=Assumptions!$D$45+Assumptions!$D$46-1),0,IF(AND(B15&gt;=Assumptions!$D$45,B15&lt;Assumptions!$D$44),TREND($O$18:$O$19,$N$18:$N$19,B15),0))</f>
        <v>15672057.142857134</v>
      </c>
      <c r="D15" s="236" cm="1">
        <f t="array" ref="D15">IF(AND(B15&gt;=Assumptions!$D$44,B15&lt;=Assumptions!$D$15),TREND($P$18:$P$19,$N$18:$N$19,B15),0)</f>
        <v>0</v>
      </c>
      <c r="E15" s="236">
        <f t="shared" si="0"/>
        <v>15672057.142857134</v>
      </c>
      <c r="F15" s="102">
        <f t="shared" si="1"/>
        <v>8776351.9999999963</v>
      </c>
      <c r="G15" s="103" cm="1">
        <f t="array" ref="G15">IF(OR(B15=Assumptions!$D$45,B15=Assumptions!$D$45+Assumptions!$D$46-1),0,IF(AND(B15&gt;=Assumptions!$D$14,B15&lt;Assumptions!$D$44),TREND($O$18:$O$19,$N$18:$N$19,B15),IF(AND(B15&gt;=Assumptions!$D$46,B15&lt;=Assumptions!$D$15),TREND($Q$18:$Q$19,$N$18:$N$19,B15),0)))</f>
        <v>15672057.142857134</v>
      </c>
      <c r="H15" s="104">
        <f t="shared" si="2"/>
        <v>8776351.9999999963</v>
      </c>
      <c r="I15" s="236">
        <f t="shared" si="5"/>
        <v>0</v>
      </c>
      <c r="J15" s="105">
        <f t="shared" si="3"/>
        <v>0</v>
      </c>
      <c r="K15" s="106">
        <f>J15*(1+Assumptions!$D$24)^-(B15-Assumptions!$D$10)</f>
        <v>0</v>
      </c>
    </row>
    <row r="16" spans="2:17" x14ac:dyDescent="0.25">
      <c r="B16" s="68">
        <f t="shared" si="4"/>
        <v>2039</v>
      </c>
      <c r="C16" s="103" cm="1">
        <f t="array" ref="C16">IF(OR(B16=Assumptions!$D$45,B16=Assumptions!$D$45+Assumptions!$D$46-1),0,IF(AND(B16&gt;=Assumptions!$D$45,B16&lt;Assumptions!$D$44),TREND($O$18:$O$19,$N$18:$N$19,B16),0))</f>
        <v>15778428.571428567</v>
      </c>
      <c r="D16" s="236" cm="1">
        <f t="array" ref="D16">IF(AND(B16&gt;=Assumptions!$D$44,B16&lt;=Assumptions!$D$15),TREND($P$18:$P$19,$N$18:$N$19,B16),0)</f>
        <v>0</v>
      </c>
      <c r="E16" s="236">
        <f t="shared" si="0"/>
        <v>15778428.571428567</v>
      </c>
      <c r="F16" s="102">
        <f t="shared" si="1"/>
        <v>8835919.9999999981</v>
      </c>
      <c r="G16" s="103" cm="1">
        <f t="array" ref="G16">IF(OR(B16=Assumptions!$D$45,B16=Assumptions!$D$45+Assumptions!$D$46-1),0,IF(AND(B16&gt;=Assumptions!$D$14,B16&lt;Assumptions!$D$44),TREND($O$18:$O$19,$N$18:$N$19,B16),IF(AND(B16&gt;=Assumptions!$D$46,B16&lt;=Assumptions!$D$15),TREND($Q$18:$Q$19,$N$18:$N$19,B16),0)))</f>
        <v>15778428.571428567</v>
      </c>
      <c r="H16" s="104">
        <f t="shared" si="2"/>
        <v>8835919.9999999981</v>
      </c>
      <c r="I16" s="236">
        <f t="shared" si="5"/>
        <v>0</v>
      </c>
      <c r="J16" s="105">
        <f t="shared" si="3"/>
        <v>0</v>
      </c>
      <c r="K16" s="106">
        <f>J16*(1+Assumptions!$D$24)^-(B16-Assumptions!$D$10)</f>
        <v>0</v>
      </c>
      <c r="N16" s="1" t="s">
        <v>190</v>
      </c>
    </row>
    <row r="17" spans="1:19" x14ac:dyDescent="0.25">
      <c r="B17" s="68">
        <f t="shared" si="4"/>
        <v>2040</v>
      </c>
      <c r="C17" s="103" cm="1">
        <f t="array" ref="C17">IF(OR(B17=Assumptions!$D$45,B17=Assumptions!$D$45+Assumptions!$D$46-1),0,IF(AND(B17&gt;=Assumptions!$D$45,B17&lt;Assumptions!$D$44),TREND($O$18:$O$19,$N$18:$N$19,B17),0))</f>
        <v>0</v>
      </c>
      <c r="D17" s="236" cm="1">
        <f t="array" ref="D17">IF(AND(B17&gt;=Assumptions!$D$44,B17&lt;=Assumptions!$D$15),TREND($P$18:$P$19,$N$18:$N$19,B17),0)</f>
        <v>17753600</v>
      </c>
      <c r="E17" s="236">
        <f t="shared" si="0"/>
        <v>17753600</v>
      </c>
      <c r="F17" s="102">
        <f t="shared" si="1"/>
        <v>9942016.0000000019</v>
      </c>
      <c r="G17" s="103" cm="1">
        <f t="array" ref="G17">IF(OR(B17=Assumptions!$D$45,B17=Assumptions!$D$45+Assumptions!$D$46-1),0,IF(AND(B17&gt;=Assumptions!$D$14,B17&lt;Assumptions!$D$44),TREND($O$18:$O$19,$N$18:$N$19,B17),IF(AND(B17&gt;=Assumptions!$D$46,B17&lt;=Assumptions!$D$15),TREND($Q$18:$Q$19,$N$18:$N$19,B17),0)))</f>
        <v>15884800</v>
      </c>
      <c r="H17" s="104">
        <f t="shared" si="2"/>
        <v>8895488</v>
      </c>
      <c r="I17" s="236">
        <f t="shared" si="5"/>
        <v>1868800</v>
      </c>
      <c r="J17" s="105">
        <f t="shared" si="3"/>
        <v>1046528.0000000019</v>
      </c>
      <c r="K17" s="106">
        <f>J17*(1+Assumptions!$D$24)^-(B17-Assumptions!$D$10)</f>
        <v>604080.58430209127</v>
      </c>
      <c r="N17" s="21" t="s">
        <v>295</v>
      </c>
      <c r="O17" s="21" t="s">
        <v>178</v>
      </c>
      <c r="P17" s="21" t="s">
        <v>179</v>
      </c>
      <c r="Q17" s="21" t="s">
        <v>144</v>
      </c>
    </row>
    <row r="18" spans="1:19" x14ac:dyDescent="0.25">
      <c r="B18" s="68">
        <f t="shared" si="4"/>
        <v>2041</v>
      </c>
      <c r="C18" s="103" cm="1">
        <f t="array" ref="C18">IF(OR(B18=Assumptions!$D$45,B18=Assumptions!$D$45+Assumptions!$D$46-1),0,IF(AND(B18&gt;=Assumptions!$D$45,B18&lt;Assumptions!$D$44),TREND($O$18:$O$19,$N$18:$N$19,B18),0))</f>
        <v>0</v>
      </c>
      <c r="D18" s="236" cm="1">
        <f t="array" ref="D18">IF(AND(B18&gt;=Assumptions!$D$44,B18&lt;=Assumptions!$D$15),TREND($P$18:$P$19,$N$18:$N$19,B18),0)</f>
        <v>17872485.714285702</v>
      </c>
      <c r="E18" s="236">
        <f t="shared" si="0"/>
        <v>17872485.714285702</v>
      </c>
      <c r="F18" s="102">
        <f t="shared" si="1"/>
        <v>10008591.999999994</v>
      </c>
      <c r="G18" s="103" cm="1">
        <f t="array" ref="G18">IF(OR(B18=Assumptions!$D$45,B18=Assumptions!$D$45+Assumptions!$D$46-1),0,IF(AND(B18&gt;=Assumptions!$D$14,B18&lt;Assumptions!$D$44),TREND($O$18:$O$19,$N$18:$N$19,B18),IF(AND(B18&gt;=Assumptions!$D$46,B18&lt;=Assumptions!$D$15),TREND($Q$18:$Q$19,$N$18:$N$19,B18),0)))</f>
        <v>15991171.428571433</v>
      </c>
      <c r="H18" s="104">
        <f t="shared" si="2"/>
        <v>8955056.0000000037</v>
      </c>
      <c r="I18" s="236">
        <f t="shared" si="5"/>
        <v>1881314.2857142687</v>
      </c>
      <c r="J18" s="105">
        <f t="shared" si="3"/>
        <v>1053535.9999999907</v>
      </c>
      <c r="K18" s="106">
        <f>J18*(1+Assumptions!$D$24)^-(B18-Assumptions!$D$10)</f>
        <v>589840.70493331784</v>
      </c>
      <c r="N18" s="21">
        <f>'Traffic Volume and Route Data'!C11</f>
        <v>2019</v>
      </c>
      <c r="O18" s="233">
        <f>('Traffic Volume and Route Data'!$D$21*$O$10+'Traffic Volume and Route Data'!$D$22*$O$11)*'Traffic Volume and Route Data'!$D$11*Assumptions!$D$27</f>
        <v>13651000</v>
      </c>
      <c r="P18" s="233">
        <f>('Traffic Volume and Route Data'!$D$31*$O$10+'Traffic Volume and Route Data'!$D$32*$O$11)*'Traffic Volume and Route Data'!$D$11*Assumptions!$D$27</f>
        <v>15257000</v>
      </c>
      <c r="Q18" s="233">
        <f>('Traffic Volume and Route Data'!$D$36*$O$10+'Traffic Volume and Route Data'!$D$37*$O$11)*'Traffic Volume and Route Data'!$D$11*Assumptions!$D$27</f>
        <v>13651000</v>
      </c>
    </row>
    <row r="19" spans="1:19" x14ac:dyDescent="0.25">
      <c r="B19" s="68">
        <f t="shared" si="4"/>
        <v>2042</v>
      </c>
      <c r="C19" s="103" cm="1">
        <f t="array" ref="C19">IF(OR(B19=Assumptions!$D$45,B19=Assumptions!$D$45+Assumptions!$D$46-1),0,IF(AND(B19&gt;=Assumptions!$D$45,B19&lt;Assumptions!$D$44),TREND($O$18:$O$19,$N$18:$N$19,B19),0))</f>
        <v>0</v>
      </c>
      <c r="D19" s="236" cm="1">
        <f t="array" ref="D19">IF(AND(B19&gt;=Assumptions!$D$44,B19&lt;=Assumptions!$D$15),TREND($P$18:$P$19,$N$18:$N$19,B19),0)</f>
        <v>17991371.428571403</v>
      </c>
      <c r="E19" s="236">
        <f t="shared" si="0"/>
        <v>17991371.428571403</v>
      </c>
      <c r="F19" s="102">
        <f t="shared" si="1"/>
        <v>10075167.999999987</v>
      </c>
      <c r="G19" s="103" cm="1">
        <f t="array" ref="G19">IF(OR(B19=Assumptions!$D$45,B19=Assumptions!$D$45+Assumptions!$D$46-1),0,IF(AND(B19&gt;=Assumptions!$D$14,B19&lt;Assumptions!$D$44),TREND($O$18:$O$19,$N$18:$N$19,B19),IF(AND(B19&gt;=Assumptions!$D$46,B19&lt;=Assumptions!$D$15),TREND($Q$18:$Q$19,$N$18:$N$19,B19),0)))</f>
        <v>16097542.857142866</v>
      </c>
      <c r="H19" s="104">
        <f t="shared" si="2"/>
        <v>9014624.0000000056</v>
      </c>
      <c r="I19" s="236">
        <f t="shared" si="5"/>
        <v>1893828.5714285374</v>
      </c>
      <c r="J19" s="105">
        <f t="shared" si="3"/>
        <v>1060543.9999999814</v>
      </c>
      <c r="K19" s="106">
        <f>J19*(1+Assumptions!$D$24)^-(B19-Assumptions!$D$10)</f>
        <v>575911.01580435329</v>
      </c>
      <c r="N19" s="21">
        <f>'Traffic Volume and Route Data'!C12</f>
        <v>2040</v>
      </c>
      <c r="O19" s="233">
        <f>('Traffic Volume and Route Data'!$D$21*$O$10+'Traffic Volume and Route Data'!$D$22*$O$11)*'Traffic Volume and Route Data'!$D$12*Assumptions!$D$27</f>
        <v>15884800</v>
      </c>
      <c r="P19" s="233">
        <f>('Traffic Volume and Route Data'!$D$31*$O$10+'Traffic Volume and Route Data'!$D$32*$O$11)*'Traffic Volume and Route Data'!$D$12*Assumptions!$D$27</f>
        <v>17753600</v>
      </c>
      <c r="Q19" s="233">
        <f>('Traffic Volume and Route Data'!$D$36*$O$10+'Traffic Volume and Route Data'!$D$37*$O$11)*'Traffic Volume and Route Data'!$D$12*Assumptions!$D$27</f>
        <v>15884800</v>
      </c>
    </row>
    <row r="20" spans="1:19" ht="14.25" customHeight="1" x14ac:dyDescent="0.25">
      <c r="B20" s="68">
        <f t="shared" si="4"/>
        <v>2043</v>
      </c>
      <c r="C20" s="103" cm="1">
        <f t="array" ref="C20">IF(OR(B20=Assumptions!$D$45,B20=Assumptions!$D$45+Assumptions!$D$46-1),0,IF(AND(B20&gt;=Assumptions!$D$45,B20&lt;Assumptions!$D$44),TREND($O$18:$O$19,$N$18:$N$19,B20),0))</f>
        <v>0</v>
      </c>
      <c r="D20" s="236" cm="1">
        <f t="array" ref="D20">IF(AND(B20&gt;=Assumptions!$D$44,B20&lt;=Assumptions!$D$15),TREND($P$18:$P$19,$N$18:$N$19,B20),0)</f>
        <v>18110257.142857134</v>
      </c>
      <c r="E20" s="236">
        <f t="shared" si="0"/>
        <v>18110257.142857134</v>
      </c>
      <c r="F20" s="102">
        <f t="shared" si="1"/>
        <v>10141743.999999996</v>
      </c>
      <c r="G20" s="103" cm="1">
        <f t="array" ref="G20">IF(OR(B20=Assumptions!$D$45,B20=Assumptions!$D$45+Assumptions!$D$46-1),0,IF(AND(B20&gt;=Assumptions!$D$14,B20&lt;Assumptions!$D$44),TREND($O$18:$O$19,$N$18:$N$19,B20),IF(AND(B20&gt;=Assumptions!$D$46,B20&lt;=Assumptions!$D$15),TREND($Q$18:$Q$19,$N$18:$N$19,B20),0)))</f>
        <v>16203914.285714298</v>
      </c>
      <c r="H20" s="104">
        <f t="shared" si="2"/>
        <v>9074192.0000000075</v>
      </c>
      <c r="I20" s="236">
        <f t="shared" si="5"/>
        <v>1906342.8571428359</v>
      </c>
      <c r="J20" s="105">
        <f t="shared" si="3"/>
        <v>1067551.9999999888</v>
      </c>
      <c r="K20" s="106">
        <f>J20*(1+Assumptions!$D$24)^-(B20-Assumptions!$D$10)</f>
        <v>562285.73734621296</v>
      </c>
    </row>
    <row r="21" spans="1:19" ht="15" customHeight="1" x14ac:dyDescent="0.25">
      <c r="B21" s="68">
        <f t="shared" si="4"/>
        <v>2044</v>
      </c>
      <c r="C21" s="103" cm="1">
        <f t="array" ref="C21">IF(OR(B21=Assumptions!$D$45,B21=Assumptions!$D$45+Assumptions!$D$46-1),0,IF(AND(B21&gt;=Assumptions!$D$45,B21&lt;Assumptions!$D$44),TREND($O$18:$O$19,$N$18:$N$19,B21),0))</f>
        <v>0</v>
      </c>
      <c r="D21" s="236" cm="1">
        <f t="array" ref="D21">IF(AND(B21&gt;=Assumptions!$D$44,B21&lt;=Assumptions!$D$15),TREND($P$18:$P$19,$N$18:$N$19,B21),0)</f>
        <v>18229142.857142836</v>
      </c>
      <c r="E21" s="236">
        <f t="shared" si="0"/>
        <v>18229142.857142836</v>
      </c>
      <c r="F21" s="102">
        <f t="shared" si="1"/>
        <v>10208319.999999989</v>
      </c>
      <c r="G21" s="103" cm="1">
        <f t="array" ref="G21">IF(OR(B21=Assumptions!$D$45,B21=Assumptions!$D$45+Assumptions!$D$46-1),0,IF(AND(B21&gt;=Assumptions!$D$14,B21&lt;Assumptions!$D$44),TREND($O$18:$O$19,$N$18:$N$19,B21),IF(AND(B21&gt;=Assumptions!$D$46,B21&lt;=Assumptions!$D$15),TREND($Q$18:$Q$19,$N$18:$N$19,B21),0)))</f>
        <v>16310285.714285731</v>
      </c>
      <c r="H21" s="104">
        <f t="shared" si="2"/>
        <v>9133760.0000000112</v>
      </c>
      <c r="I21" s="236">
        <f t="shared" si="5"/>
        <v>1918857.1428571045</v>
      </c>
      <c r="J21" s="105">
        <f t="shared" si="3"/>
        <v>1074559.9999999776</v>
      </c>
      <c r="K21" s="106">
        <f>J21*(1+Assumptions!$D$24)^-(B21-Assumptions!$D$10)</f>
        <v>548959.15711256384</v>
      </c>
      <c r="S21" s="28"/>
    </row>
    <row r="22" spans="1:19" x14ac:dyDescent="0.25">
      <c r="B22" s="68">
        <f t="shared" si="4"/>
        <v>2045</v>
      </c>
      <c r="C22" s="103" cm="1">
        <f t="array" ref="C22">IF(OR(B22=Assumptions!$D$45,B22=Assumptions!$D$45+Assumptions!$D$46-1),0,IF(AND(B22&gt;=Assumptions!$D$45,B22&lt;Assumptions!$D$44),TREND($O$18:$O$19,$N$18:$N$19,B22),0))</f>
        <v>0</v>
      </c>
      <c r="D22" s="236" cm="1">
        <f t="array" ref="D22">IF(AND(B22&gt;=Assumptions!$D$44,B22&lt;=Assumptions!$D$15),TREND($P$18:$P$19,$N$18:$N$19,B22),0)</f>
        <v>18348028.571428567</v>
      </c>
      <c r="E22" s="236">
        <f t="shared" si="0"/>
        <v>18348028.571428567</v>
      </c>
      <c r="F22" s="102">
        <f t="shared" si="1"/>
        <v>10274895.999999998</v>
      </c>
      <c r="G22" s="103" cm="1">
        <f t="array" ref="G22">IF(OR(B22=Assumptions!$D$45,B22=Assumptions!$D$45+Assumptions!$D$46-1),0,IF(AND(B22&gt;=Assumptions!$D$14,B22&lt;Assumptions!$D$44),TREND($O$18:$O$19,$N$18:$N$19,B22),IF(AND(B22&gt;=Assumptions!$D$46,B22&lt;=Assumptions!$D$15),TREND($Q$18:$Q$19,$N$18:$N$19,B22),0)))</f>
        <v>16416657.142857134</v>
      </c>
      <c r="H22" s="104">
        <f t="shared" si="2"/>
        <v>9193327.9999999963</v>
      </c>
      <c r="I22" s="236">
        <f t="shared" si="5"/>
        <v>1931371.4285714328</v>
      </c>
      <c r="J22" s="105">
        <f t="shared" si="3"/>
        <v>1081568.0000000019</v>
      </c>
      <c r="K22" s="106">
        <f>J22*(1+Assumptions!$D$24)^-(B22-Assumptions!$D$10)</f>
        <v>535925.630968504</v>
      </c>
      <c r="S22" s="15"/>
    </row>
    <row r="23" spans="1:19" x14ac:dyDescent="0.25">
      <c r="B23" s="68">
        <f t="shared" si="4"/>
        <v>2046</v>
      </c>
      <c r="C23" s="103" cm="1">
        <f t="array" ref="C23">IF(OR(B23=Assumptions!$D$45,B23=Assumptions!$D$45+Assumptions!$D$46-1),0,IF(AND(B23&gt;=Assumptions!$D$45,B23&lt;Assumptions!$D$44),TREND($O$18:$O$19,$N$18:$N$19,B23),0))</f>
        <v>0</v>
      </c>
      <c r="D23" s="236" cm="1">
        <f t="array" ref="D23">IF(AND(B23&gt;=Assumptions!$D$44,B23&lt;=Assumptions!$D$15),TREND($P$18:$P$19,$N$18:$N$19,B23),0)</f>
        <v>18466914.285714269</v>
      </c>
      <c r="E23" s="236">
        <f t="shared" si="0"/>
        <v>18466914.285714269</v>
      </c>
      <c r="F23" s="102">
        <f t="shared" si="1"/>
        <v>10341471.999999991</v>
      </c>
      <c r="G23" s="103" cm="1">
        <f t="array" ref="G23">IF(OR(B23=Assumptions!$D$45,B23=Assumptions!$D$45+Assumptions!$D$46-1),0,IF(AND(B23&gt;=Assumptions!$D$14,B23&lt;Assumptions!$D$44),TREND($O$18:$O$19,$N$18:$N$19,B23),IF(AND(B23&gt;=Assumptions!$D$46,B23&lt;=Assumptions!$D$15),TREND($Q$18:$Q$19,$N$18:$N$19,B23),0)))</f>
        <v>16523028.571428567</v>
      </c>
      <c r="H23" s="104">
        <f t="shared" si="2"/>
        <v>9252895.9999999981</v>
      </c>
      <c r="I23" s="236">
        <f t="shared" si="5"/>
        <v>1943885.7142857015</v>
      </c>
      <c r="J23" s="105">
        <f t="shared" si="3"/>
        <v>1088575.9999999925</v>
      </c>
      <c r="K23" s="106">
        <f>J23*(1+Assumptions!$D$24)^-(B23-Assumptions!$D$10)</f>
        <v>523179.58414699562</v>
      </c>
    </row>
    <row r="24" spans="1:19" x14ac:dyDescent="0.25">
      <c r="B24" s="68">
        <f t="shared" si="4"/>
        <v>2047</v>
      </c>
      <c r="C24" s="103" cm="1">
        <f t="array" ref="C24">IF(OR(B24=Assumptions!$D$45,B24=Assumptions!$D$45+Assumptions!$D$46-1),0,IF(AND(B24&gt;=Assumptions!$D$45,B24&lt;Assumptions!$D$44),TREND($O$18:$O$19,$N$18:$N$19,B24),0))</f>
        <v>0</v>
      </c>
      <c r="D24" s="240" cm="1">
        <f t="array" ref="D24">IF(AND(B24&gt;=Assumptions!$D$44,B24&lt;=Assumptions!$D$15),TREND($P$18:$P$19,$N$18:$N$19,B24),0)</f>
        <v>18585800</v>
      </c>
      <c r="E24" s="240">
        <f t="shared" si="0"/>
        <v>18585800</v>
      </c>
      <c r="F24" s="104">
        <f t="shared" si="1"/>
        <v>10408048.000000002</v>
      </c>
      <c r="G24" s="103" cm="1">
        <f t="array" ref="G24">IF(OR(B24=Assumptions!$D$45,B24=Assumptions!$D$45+Assumptions!$D$46-1),0,IF(AND(B24&gt;=Assumptions!$D$14,B24&lt;Assumptions!$D$44),TREND($O$18:$O$19,$N$18:$N$19,B24),IF(AND(B24&gt;=Assumptions!$D$46,B24&lt;=Assumptions!$D$15),TREND($Q$18:$Q$19,$N$18:$N$19,B24),0)))</f>
        <v>16629400</v>
      </c>
      <c r="H24" s="104">
        <f t="shared" si="2"/>
        <v>9312464</v>
      </c>
      <c r="I24" s="240">
        <f t="shared" si="5"/>
        <v>1956400</v>
      </c>
      <c r="J24" s="105">
        <f t="shared" si="3"/>
        <v>1095584.0000000019</v>
      </c>
      <c r="K24" s="106">
        <f>J24*(1+Assumptions!$D$24)^-(B24-Assumptions!$D$10)</f>
        <v>510715.51218023052</v>
      </c>
    </row>
    <row r="25" spans="1:19" ht="15" customHeight="1" thickBot="1" x14ac:dyDescent="0.3">
      <c r="B25" s="64">
        <f t="shared" si="4"/>
        <v>2048</v>
      </c>
      <c r="C25" s="107" cm="1">
        <f t="array" ref="C25">IF(OR(B25=Assumptions!$D$45,B25=Assumptions!$D$45+Assumptions!$D$46-1),0,IF(AND(B25&gt;=Assumptions!$D$45,B25&lt;Assumptions!$D$44),TREND($O$18:$O$19,$N$18:$N$19,B25),0))</f>
        <v>0</v>
      </c>
      <c r="D25" s="239" cm="1">
        <f t="array" ref="D25">IF(AND(B25&gt;=Assumptions!$D$44,B25&lt;=Assumptions!$D$15),TREND($P$18:$P$19,$N$18:$N$19,B25),0)</f>
        <v>18704685.714285702</v>
      </c>
      <c r="E25" s="239">
        <f t="shared" si="0"/>
        <v>18704685.714285702</v>
      </c>
      <c r="F25" s="108">
        <f t="shared" si="1"/>
        <v>10474623.999999994</v>
      </c>
      <c r="G25" s="107" cm="1">
        <f t="array" ref="G25">IF(OR(B25=Assumptions!$D$45,B25=Assumptions!$D$45+Assumptions!$D$46-1),0,IF(AND(B25&gt;=Assumptions!$D$14,B25&lt;Assumptions!$D$44),TREND($O$18:$O$19,$N$18:$N$19,B25),IF(AND(B25&gt;=Assumptions!$D$46,B25&lt;=Assumptions!$D$15),TREND($Q$18:$Q$19,$N$18:$N$19,B25),0)))</f>
        <v>16735771.428571433</v>
      </c>
      <c r="H25" s="109">
        <f t="shared" si="2"/>
        <v>9372032.0000000037</v>
      </c>
      <c r="I25" s="239">
        <f t="shared" si="5"/>
        <v>1968914.2857142687</v>
      </c>
      <c r="J25" s="110">
        <f t="shared" si="3"/>
        <v>1102591.9999999907</v>
      </c>
      <c r="K25" s="111">
        <f>J25*(1+Assumptions!$D$24)^-(B25-Assumptions!$D$10)</f>
        <v>498527.9817120572</v>
      </c>
    </row>
    <row r="26" spans="1:19" ht="15" customHeight="1" thickBot="1" x14ac:dyDescent="0.3">
      <c r="J26" s="67" t="s">
        <v>1</v>
      </c>
      <c r="K26" s="112">
        <f>SUM(K6:K25)</f>
        <v>4949425.9085063264</v>
      </c>
    </row>
    <row r="27" spans="1:19" ht="15" customHeight="1" x14ac:dyDescent="0.25">
      <c r="B27" s="38"/>
      <c r="C27" s="39"/>
      <c r="D27" s="39"/>
      <c r="E27" s="39"/>
      <c r="F27" s="36"/>
      <c r="G27" s="36"/>
      <c r="H27" s="36"/>
      <c r="I27" s="36"/>
      <c r="J27" s="36"/>
      <c r="K27" s="36"/>
      <c r="L27" s="3"/>
    </row>
    <row r="28" spans="1:19" ht="15" customHeight="1" x14ac:dyDescent="0.25">
      <c r="A28" s="2"/>
      <c r="B28" s="1" t="s">
        <v>2</v>
      </c>
      <c r="C28" s="1"/>
      <c r="D28" s="1"/>
      <c r="E28" s="1"/>
      <c r="L28" s="25"/>
    </row>
    <row r="29" spans="1:19" ht="15" customHeight="1" x14ac:dyDescent="0.25">
      <c r="A29" s="2" t="s">
        <v>14</v>
      </c>
      <c r="B29" s="441" t="s">
        <v>191</v>
      </c>
      <c r="C29" s="441"/>
      <c r="D29" s="441"/>
      <c r="E29" s="441"/>
      <c r="F29" s="441"/>
      <c r="G29" s="441"/>
      <c r="H29" s="441"/>
      <c r="I29" s="441"/>
      <c r="J29" s="441"/>
      <c r="K29" s="403"/>
      <c r="L29" s="26"/>
    </row>
    <row r="30" spans="1:19" x14ac:dyDescent="0.25">
      <c r="A30" s="2"/>
      <c r="B30" s="441"/>
      <c r="C30" s="441"/>
      <c r="D30" s="441"/>
      <c r="E30" s="441"/>
      <c r="F30" s="441"/>
      <c r="G30" s="441"/>
      <c r="H30" s="441"/>
      <c r="I30" s="441"/>
      <c r="J30" s="441"/>
      <c r="K30" s="403"/>
    </row>
    <row r="31" spans="1:19" ht="15" customHeight="1" x14ac:dyDescent="0.25">
      <c r="C31" s="7"/>
      <c r="D31" s="7"/>
      <c r="E31" s="7"/>
      <c r="F31" s="7"/>
      <c r="G31" s="7"/>
      <c r="H31" s="7"/>
      <c r="I31" s="7"/>
      <c r="J31" s="7"/>
      <c r="K31" s="171"/>
    </row>
    <row r="32" spans="1:19" ht="15" customHeight="1" x14ac:dyDescent="0.25">
      <c r="A32" s="2" t="s">
        <v>15</v>
      </c>
      <c r="B32" s="441" t="s">
        <v>888</v>
      </c>
      <c r="C32" s="441"/>
      <c r="D32" s="441"/>
      <c r="E32" s="441"/>
      <c r="F32" s="441"/>
      <c r="G32" s="441"/>
      <c r="H32" s="441"/>
      <c r="I32" s="441"/>
      <c r="J32" s="441"/>
      <c r="K32" s="171"/>
    </row>
    <row r="33" spans="1:11" ht="15" customHeight="1" x14ac:dyDescent="0.25">
      <c r="A33" s="2"/>
      <c r="B33" s="7"/>
      <c r="C33" s="7"/>
      <c r="D33" s="7"/>
      <c r="E33" s="7"/>
      <c r="F33" s="7"/>
      <c r="G33" s="7"/>
      <c r="H33" s="7"/>
      <c r="I33" s="7"/>
      <c r="J33" s="7"/>
      <c r="K33" s="171"/>
    </row>
    <row r="34" spans="1:11" ht="15" customHeight="1" x14ac:dyDescent="0.25">
      <c r="A34" s="2" t="s">
        <v>16</v>
      </c>
      <c r="B34" s="441" t="s">
        <v>887</v>
      </c>
      <c r="C34" s="441"/>
      <c r="D34" s="441"/>
      <c r="E34" s="441"/>
      <c r="F34" s="441"/>
      <c r="G34" s="441"/>
      <c r="H34" s="441"/>
      <c r="I34" s="441"/>
      <c r="J34" s="441"/>
      <c r="K34" s="171"/>
    </row>
    <row r="35" spans="1:11" ht="15" customHeight="1" x14ac:dyDescent="0.25">
      <c r="A35" s="172"/>
      <c r="B35" s="7"/>
      <c r="C35" s="7"/>
      <c r="D35" s="7"/>
      <c r="E35" s="7"/>
      <c r="F35" s="7"/>
      <c r="G35" s="7"/>
      <c r="H35" s="7"/>
      <c r="I35" s="7"/>
      <c r="J35" s="7"/>
      <c r="K35" s="171"/>
    </row>
    <row r="36" spans="1:11" ht="15" customHeight="1" x14ac:dyDescent="0.25">
      <c r="A36" s="2" t="s">
        <v>98</v>
      </c>
      <c r="B36" s="441" t="s">
        <v>153</v>
      </c>
      <c r="C36" s="441"/>
      <c r="D36" s="441"/>
      <c r="E36" s="441"/>
      <c r="F36" s="441"/>
      <c r="G36" s="441"/>
      <c r="H36" s="441"/>
      <c r="I36" s="441"/>
      <c r="J36" s="441"/>
      <c r="K36" s="171"/>
    </row>
    <row r="37" spans="1:11" ht="15" customHeight="1" x14ac:dyDescent="0.25">
      <c r="A37" s="2"/>
      <c r="B37" s="7"/>
      <c r="C37" s="7"/>
      <c r="D37" s="7"/>
      <c r="E37" s="7"/>
      <c r="F37" s="7"/>
      <c r="G37" s="7"/>
      <c r="H37" s="7"/>
      <c r="I37" s="7"/>
      <c r="J37" s="7"/>
    </row>
    <row r="38" spans="1:11" ht="15" customHeight="1" x14ac:dyDescent="0.25">
      <c r="A38" s="2" t="s">
        <v>17</v>
      </c>
      <c r="B38" s="441" t="s">
        <v>888</v>
      </c>
      <c r="C38" s="441"/>
      <c r="D38" s="441"/>
      <c r="E38" s="441"/>
      <c r="F38" s="441"/>
      <c r="G38" s="441"/>
      <c r="H38" s="441"/>
      <c r="I38" s="441"/>
      <c r="J38" s="441"/>
    </row>
    <row r="39" spans="1:11" ht="15" customHeight="1" x14ac:dyDescent="0.25"/>
    <row r="40" spans="1:11" ht="15" customHeight="1" x14ac:dyDescent="0.25">
      <c r="A40" s="2" t="s">
        <v>138</v>
      </c>
      <c r="B40" s="441" t="s">
        <v>889</v>
      </c>
      <c r="C40" s="441"/>
      <c r="D40" s="441"/>
      <c r="E40" s="441"/>
      <c r="F40" s="441"/>
      <c r="G40" s="441"/>
      <c r="H40" s="441"/>
      <c r="I40" s="441"/>
      <c r="J40" s="441"/>
    </row>
    <row r="41" spans="1:11" ht="15" customHeight="1" x14ac:dyDescent="0.25">
      <c r="B41" s="441"/>
      <c r="C41" s="441"/>
      <c r="D41" s="441"/>
      <c r="E41" s="441"/>
      <c r="F41" s="441"/>
      <c r="G41" s="441"/>
      <c r="H41" s="441"/>
      <c r="I41" s="441"/>
      <c r="J41" s="441"/>
    </row>
    <row r="42" spans="1:11" ht="15" customHeight="1" x14ac:dyDescent="0.25">
      <c r="A42" s="2"/>
      <c r="B42" s="7"/>
    </row>
    <row r="43" spans="1:11" ht="15" customHeight="1" x14ac:dyDescent="0.25">
      <c r="A43" s="10" t="s">
        <v>155</v>
      </c>
      <c r="B43" s="406" t="s">
        <v>890</v>
      </c>
      <c r="C43" s="406"/>
      <c r="D43" s="406"/>
      <c r="E43" s="406"/>
      <c r="F43" s="406"/>
      <c r="G43" s="406"/>
      <c r="H43" s="406"/>
      <c r="I43" s="406"/>
      <c r="J43" s="406"/>
    </row>
    <row r="44" spans="1:11" x14ac:dyDescent="0.25">
      <c r="A44" s="10"/>
      <c r="B44" s="406"/>
      <c r="C44" s="406"/>
      <c r="D44" s="406"/>
      <c r="E44" s="406"/>
      <c r="F44" s="406"/>
      <c r="G44" s="406"/>
      <c r="H44" s="406"/>
      <c r="I44" s="406"/>
      <c r="J44" s="406"/>
    </row>
    <row r="45" spans="1:11" ht="15" customHeight="1" x14ac:dyDescent="0.25">
      <c r="A45" s="10"/>
      <c r="B45" s="35"/>
      <c r="C45" s="35"/>
      <c r="D45" s="35"/>
      <c r="E45" s="35"/>
      <c r="F45" s="35"/>
      <c r="G45" s="35"/>
      <c r="H45" s="35"/>
      <c r="I45" s="35"/>
      <c r="J45" s="35"/>
    </row>
    <row r="46" spans="1:11" ht="15" customHeight="1" x14ac:dyDescent="0.25"/>
    <row r="49" spans="1:10" ht="15" customHeight="1" x14ac:dyDescent="0.25"/>
    <row r="50" spans="1:10" ht="15" customHeight="1" x14ac:dyDescent="0.25"/>
    <row r="52" spans="1:10" ht="15" customHeight="1" x14ac:dyDescent="0.25"/>
    <row r="53" spans="1:10" x14ac:dyDescent="0.25">
      <c r="A53" s="2"/>
      <c r="B53" s="7"/>
      <c r="C53" s="7"/>
      <c r="D53" s="7"/>
      <c r="E53" s="7"/>
      <c r="F53" s="7"/>
      <c r="G53" s="7"/>
      <c r="H53" s="7"/>
      <c r="J53" s="7"/>
    </row>
    <row r="54" spans="1:10" x14ac:dyDescent="0.25">
      <c r="A54" s="2"/>
      <c r="B54" s="7"/>
      <c r="C54" s="7"/>
      <c r="D54" s="7"/>
      <c r="E54" s="7"/>
      <c r="F54" s="7"/>
      <c r="G54" s="7"/>
      <c r="H54" s="7"/>
    </row>
    <row r="55" spans="1:10" ht="15" customHeight="1" x14ac:dyDescent="0.25">
      <c r="A55" s="2"/>
    </row>
    <row r="57" spans="1:10" ht="15" customHeight="1" x14ac:dyDescent="0.25"/>
    <row r="58" spans="1:10" ht="21" customHeight="1" x14ac:dyDescent="0.25"/>
  </sheetData>
  <mergeCells count="18">
    <mergeCell ref="B29:J30"/>
    <mergeCell ref="B34:J34"/>
    <mergeCell ref="K4:K5"/>
    <mergeCell ref="N5:O5"/>
    <mergeCell ref="J4:J5"/>
    <mergeCell ref="B4:B5"/>
    <mergeCell ref="C4:C5"/>
    <mergeCell ref="F4:F5"/>
    <mergeCell ref="G4:G5"/>
    <mergeCell ref="H4:H5"/>
    <mergeCell ref="D4:D5"/>
    <mergeCell ref="E4:E5"/>
    <mergeCell ref="I4:I5"/>
    <mergeCell ref="B43:J44"/>
    <mergeCell ref="B36:J36"/>
    <mergeCell ref="B38:J38"/>
    <mergeCell ref="B32:J32"/>
    <mergeCell ref="B40:J41"/>
  </mergeCells>
  <pageMargins left="0.25" right="0.25" top="0.75" bottom="0.75" header="0.3" footer="0.3"/>
  <pageSetup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606F-9522-470F-A4A0-A303D0C621EB}">
  <sheetPr>
    <tabColor theme="3" tint="0.79998168889431442"/>
    <pageSetUpPr fitToPage="1"/>
  </sheetPr>
  <dimension ref="A1:R74"/>
  <sheetViews>
    <sheetView view="pageBreakPreview" zoomScale="85" zoomScaleNormal="85" zoomScaleSheetLayoutView="85" zoomScalePageLayoutView="55" workbookViewId="0"/>
  </sheetViews>
  <sheetFormatPr defaultRowHeight="15" x14ac:dyDescent="0.25"/>
  <cols>
    <col min="1" max="1" width="3.7109375" customWidth="1"/>
    <col min="2" max="11" width="20.7109375" customWidth="1"/>
    <col min="12" max="12" width="5.7109375" customWidth="1"/>
    <col min="13" max="13" width="3" customWidth="1"/>
    <col min="14" max="14" width="39.140625" customWidth="1"/>
    <col min="15" max="15" width="24.85546875" bestFit="1" customWidth="1"/>
    <col min="16" max="16" width="23.7109375" bestFit="1" customWidth="1"/>
    <col min="17" max="17" width="13.42578125" bestFit="1" customWidth="1"/>
    <col min="18" max="18" width="11.85546875" bestFit="1" customWidth="1"/>
  </cols>
  <sheetData>
    <row r="1" spans="1:17" ht="14.25" customHeight="1" x14ac:dyDescent="0.25">
      <c r="B1" s="41"/>
      <c r="C1" s="41"/>
      <c r="D1" s="41"/>
      <c r="E1" s="41"/>
      <c r="F1" s="41"/>
      <c r="G1" s="41"/>
      <c r="H1" s="41"/>
      <c r="I1" s="41"/>
      <c r="J1" s="41"/>
      <c r="K1" s="41"/>
    </row>
    <row r="2" spans="1:17" x14ac:dyDescent="0.25">
      <c r="B2" s="1" t="s">
        <v>154</v>
      </c>
      <c r="C2" s="1"/>
    </row>
    <row r="3" spans="1:17" ht="15.75" thickBot="1" x14ac:dyDescent="0.3">
      <c r="N3" s="12"/>
    </row>
    <row r="4" spans="1:17" ht="35.1" customHeight="1" x14ac:dyDescent="0.25">
      <c r="B4" s="445" t="s">
        <v>0</v>
      </c>
      <c r="C4" s="451" t="s">
        <v>56</v>
      </c>
      <c r="D4" s="449" t="s">
        <v>58</v>
      </c>
      <c r="E4" s="451" t="s">
        <v>204</v>
      </c>
      <c r="F4" s="447" t="s">
        <v>206</v>
      </c>
      <c r="G4" s="447" t="s">
        <v>205</v>
      </c>
      <c r="H4" s="449" t="s">
        <v>59</v>
      </c>
      <c r="I4" s="451" t="s">
        <v>207</v>
      </c>
      <c r="J4" s="449" t="s">
        <v>60</v>
      </c>
      <c r="K4" s="442" t="s">
        <v>186</v>
      </c>
      <c r="N4" s="46"/>
    </row>
    <row r="5" spans="1:17" ht="43.5" customHeight="1" x14ac:dyDescent="0.25">
      <c r="B5" s="463"/>
      <c r="C5" s="464"/>
      <c r="D5" s="472"/>
      <c r="E5" s="464"/>
      <c r="F5" s="473"/>
      <c r="G5" s="473"/>
      <c r="H5" s="472"/>
      <c r="I5" s="464"/>
      <c r="J5" s="472"/>
      <c r="K5" s="460"/>
      <c r="N5" s="444" t="s">
        <v>188</v>
      </c>
      <c r="O5" s="444"/>
      <c r="P5" s="25"/>
    </row>
    <row r="6" spans="1:17" ht="15" customHeight="1" x14ac:dyDescent="0.25">
      <c r="B6" s="68">
        <f>Assumptions!$D$45</f>
        <v>2027</v>
      </c>
      <c r="C6" s="103" cm="1">
        <f t="array" ref="C6">IF(B6&lt;=$N$24,TREND($O$18:$O$19,$N$18:$N$19,B6),0)</f>
        <v>14501971.428571433</v>
      </c>
      <c r="D6" s="104">
        <f>C6*$O$14</f>
        <v>8121104.0000000028</v>
      </c>
      <c r="E6" s="103" cm="1">
        <f t="array" ref="E6">IF(B6=$N$23,($O$23/12)*($O$27*TREND($Q$18:$Q$19,$N$18:$N$19,B6)+$O$28*TREND($O$18:$O$19,$N$18:$N$19,B6)),IF(B6=$N$24,($O$24/12)*($O$27*TREND($Q$18:$Q$19,$N$18:$N$19,B6)+$O$28*TREND($O$18:$O$19,$N$18:$N$19,B6))))</f>
        <v>5345824.7619047584</v>
      </c>
      <c r="F6" s="240" cm="1">
        <f t="array" ref="F6">IF(B6=$N$23,((12-$O$23)/12)*TREND($O$18:$O$19,$N$18:$N$19,B6),IF(B6=$N$24,((12-$O$24)/12)*TREND($O$18:$O$19,$N$18:$N$19,B6),0))</f>
        <v>9667980.9523809552</v>
      </c>
      <c r="G6" s="240">
        <f>F6+E6</f>
        <v>15013805.714285713</v>
      </c>
      <c r="H6" s="104">
        <f>G6*$O$14</f>
        <v>8407731.1999999993</v>
      </c>
      <c r="I6" s="240">
        <f>C6-G6</f>
        <v>-511834.28571427986</v>
      </c>
      <c r="J6" s="104">
        <f>D6-H6</f>
        <v>-286627.19999999646</v>
      </c>
      <c r="K6" s="106">
        <f>J6*(1+Assumptions!$D$24)^-(B6-Assumptions!$D$10)</f>
        <v>-246050.39963393065</v>
      </c>
      <c r="N6" s="22" t="s">
        <v>96</v>
      </c>
      <c r="O6" s="187">
        <f>Assumptions!D32</f>
        <v>0.52</v>
      </c>
    </row>
    <row r="7" spans="1:17" ht="15.75" thickBot="1" x14ac:dyDescent="0.3">
      <c r="B7" s="64">
        <f>B6+1</f>
        <v>2028</v>
      </c>
      <c r="C7" s="107" cm="1">
        <f t="array" ref="C7">IF(B7&lt;=$N$24,TREND($O$18:$O$19,$N$18:$N$19,B7),0)</f>
        <v>14608342.857142866</v>
      </c>
      <c r="D7" s="108">
        <f t="shared" ref="D7" si="0">C7*$O$14</f>
        <v>8180672.0000000056</v>
      </c>
      <c r="E7" s="107" cm="1">
        <f t="array" ref="E7">IF(B7=$N$23,($O$23/12)*($O$27*TREND($Q$18:$Q$19,$N$18:$N$19,B7)+$O$28*TREND($O$18:$O$19,$N$18:$N$19,B7)),IF(B7=$N$24,($O$24/12)*($O$27*TREND($Q$18:$Q$19,$N$18:$N$19,B7)+$O$28*TREND($O$18:$O$19,$N$18:$N$19,B7))))</f>
        <v>10770072.380952366</v>
      </c>
      <c r="F7" s="237" cm="1">
        <f t="array" ref="F7">IF(B7=$N$23,((12-$O$23)/12)*TREND($O$18:$O$19,$N$18:$N$19,B7),IF(B7=$N$24,((12-$O$24)/12)*TREND($O$18:$O$19,$N$18:$N$19,B7),0))</f>
        <v>4869447.6190476213</v>
      </c>
      <c r="G7" s="237">
        <f t="shared" ref="G7" si="1">F7+E7</f>
        <v>15639519.999999987</v>
      </c>
      <c r="H7" s="109">
        <f t="shared" ref="H7" si="2">G7*$O$14</f>
        <v>8758131.1999999937</v>
      </c>
      <c r="I7" s="237">
        <f>C7-G7</f>
        <v>-1031177.1428571213</v>
      </c>
      <c r="J7" s="109">
        <f t="shared" ref="J7" si="3">D7-H7</f>
        <v>-577459.19999998808</v>
      </c>
      <c r="K7" s="111">
        <f>J7*(1+Assumptions!$D$24)^-(B7-Assumptions!$D$10)</f>
        <v>-480805.37398911768</v>
      </c>
      <c r="N7" s="22" t="s">
        <v>97</v>
      </c>
      <c r="O7" s="187">
        <f>Assumptions!D33</f>
        <v>1.32</v>
      </c>
    </row>
    <row r="8" spans="1:17" ht="15.75" thickBot="1" x14ac:dyDescent="0.3">
      <c r="J8" s="67" t="s">
        <v>1</v>
      </c>
      <c r="K8" s="112">
        <f>SUM(K6:K7)</f>
        <v>-726855.77362304833</v>
      </c>
      <c r="M8" s="13"/>
    </row>
    <row r="9" spans="1:17" ht="15" customHeight="1" x14ac:dyDescent="0.25">
      <c r="N9" s="16" t="s">
        <v>43</v>
      </c>
      <c r="O9" s="16"/>
    </row>
    <row r="10" spans="1:17" x14ac:dyDescent="0.25">
      <c r="K10" s="7"/>
      <c r="N10" s="22" t="s">
        <v>41</v>
      </c>
      <c r="O10" s="188">
        <f>Assumptions!$D$19</f>
        <v>0.95</v>
      </c>
    </row>
    <row r="11" spans="1:17" x14ac:dyDescent="0.25">
      <c r="B11" s="1" t="s">
        <v>2</v>
      </c>
      <c r="C11" s="1"/>
      <c r="K11" s="7"/>
      <c r="N11" s="22" t="s">
        <v>38</v>
      </c>
      <c r="O11" s="188">
        <f>Assumptions!$D$18</f>
        <v>0.05</v>
      </c>
    </row>
    <row r="12" spans="1:17" x14ac:dyDescent="0.25">
      <c r="A12" s="2" t="s">
        <v>14</v>
      </c>
      <c r="B12" s="441" t="s">
        <v>191</v>
      </c>
      <c r="C12" s="441"/>
      <c r="D12" s="441"/>
      <c r="E12" s="441"/>
      <c r="F12" s="441"/>
      <c r="G12" s="441"/>
      <c r="H12" s="441"/>
      <c r="I12" s="441"/>
      <c r="J12" s="441"/>
      <c r="K12" s="171"/>
      <c r="Q12" s="174"/>
    </row>
    <row r="13" spans="1:17" ht="15" customHeight="1" x14ac:dyDescent="0.25">
      <c r="A13" s="2"/>
      <c r="B13" s="441"/>
      <c r="C13" s="441"/>
      <c r="D13" s="441"/>
      <c r="E13" s="441"/>
      <c r="F13" s="441"/>
      <c r="G13" s="441"/>
      <c r="H13" s="441"/>
      <c r="I13" s="441"/>
      <c r="J13" s="441"/>
      <c r="K13" s="171"/>
      <c r="N13" s="16" t="s">
        <v>189</v>
      </c>
      <c r="O13" s="234"/>
    </row>
    <row r="14" spans="1:17" x14ac:dyDescent="0.25">
      <c r="C14" s="7"/>
      <c r="D14" s="7"/>
      <c r="E14" s="7"/>
      <c r="F14" s="7"/>
      <c r="G14" s="7"/>
      <c r="H14" s="7"/>
      <c r="I14" s="7"/>
      <c r="J14" s="7"/>
      <c r="K14" s="171"/>
      <c r="N14" s="22" t="s">
        <v>180</v>
      </c>
      <c r="O14" s="187">
        <f>O6*O10+O7*O11</f>
        <v>0.56000000000000005</v>
      </c>
    </row>
    <row r="15" spans="1:17" ht="15" customHeight="1" x14ac:dyDescent="0.25">
      <c r="A15" s="2" t="s">
        <v>15</v>
      </c>
      <c r="B15" s="441" t="s">
        <v>888</v>
      </c>
      <c r="C15" s="441"/>
      <c r="D15" s="441"/>
      <c r="E15" s="441"/>
      <c r="F15" s="441"/>
      <c r="G15" s="441"/>
      <c r="H15" s="441"/>
      <c r="I15" s="441"/>
      <c r="J15" s="441"/>
      <c r="K15" s="171"/>
    </row>
    <row r="16" spans="1:17" x14ac:dyDescent="0.25">
      <c r="B16" s="7"/>
      <c r="C16" s="7"/>
      <c r="D16" s="7"/>
      <c r="E16" s="7"/>
      <c r="F16" s="7"/>
      <c r="G16" s="7"/>
      <c r="H16" s="7"/>
      <c r="I16" s="7"/>
      <c r="J16" s="7"/>
      <c r="K16" s="171"/>
      <c r="N16" s="1" t="s">
        <v>190</v>
      </c>
    </row>
    <row r="17" spans="1:18" ht="15" customHeight="1" x14ac:dyDescent="0.25">
      <c r="A17" s="2" t="s">
        <v>16</v>
      </c>
      <c r="B17" s="441" t="s">
        <v>887</v>
      </c>
      <c r="C17" s="441"/>
      <c r="D17" s="441"/>
      <c r="E17" s="441"/>
      <c r="F17" s="441"/>
      <c r="G17" s="441"/>
      <c r="H17" s="441"/>
      <c r="I17" s="441"/>
      <c r="J17" s="441"/>
      <c r="K17" s="171"/>
      <c r="N17" s="21" t="s">
        <v>295</v>
      </c>
      <c r="O17" s="21" t="s">
        <v>746</v>
      </c>
      <c r="P17" s="21" t="s">
        <v>747</v>
      </c>
      <c r="Q17" s="21" t="s">
        <v>179</v>
      </c>
      <c r="R17" s="21" t="s">
        <v>144</v>
      </c>
    </row>
    <row r="18" spans="1:18" x14ac:dyDescent="0.25">
      <c r="K18" s="171"/>
      <c r="N18" s="21">
        <f>'Traffic Volume and Route Data'!C11</f>
        <v>2019</v>
      </c>
      <c r="O18" s="233">
        <f>('Traffic Volume and Route Data'!$D$21*$O$10+'Traffic Volume and Route Data'!$D$22*$O$11)*'Traffic Volume and Route Data'!$D$11*Assumptions!$D$27</f>
        <v>13651000</v>
      </c>
      <c r="P18" s="233">
        <f>('Traffic Volume and Route Data'!$D$26*$O$10+'Traffic Volume and Route Data'!$D$27*$O$11)*Assumptions!$D$27*'Traffic Volume and Route Data'!$D$11</f>
        <v>13651000</v>
      </c>
      <c r="Q18" s="233">
        <f>('Traffic Volume and Route Data'!$D$31*$O$10+'Traffic Volume and Route Data'!$D$32*$O$11)*'Traffic Volume and Route Data'!$D$11*Assumptions!$D$27</f>
        <v>15257000</v>
      </c>
      <c r="R18" s="233">
        <f>('Traffic Volume and Route Data'!$D$36*$O$10+'Traffic Volume and Route Data'!$D$37*$O$11)*'Traffic Volume and Route Data'!$D$11*Assumptions!$D$27</f>
        <v>13651000</v>
      </c>
    </row>
    <row r="19" spans="1:18" ht="15" customHeight="1" x14ac:dyDescent="0.25">
      <c r="A19" s="2" t="s">
        <v>98</v>
      </c>
      <c r="B19" s="441" t="s">
        <v>153</v>
      </c>
      <c r="C19" s="441"/>
      <c r="D19" s="441"/>
      <c r="E19" s="441"/>
      <c r="F19" s="441"/>
      <c r="G19" s="441"/>
      <c r="H19" s="441"/>
      <c r="I19" s="441"/>
      <c r="J19" s="441"/>
      <c r="N19" s="21">
        <f>'Traffic Volume and Route Data'!C12</f>
        <v>2040</v>
      </c>
      <c r="O19" s="233">
        <f>('Traffic Volume and Route Data'!$D$21*$O$10+'Traffic Volume and Route Data'!$D$22*$O$11)*'Traffic Volume and Route Data'!$D$12*Assumptions!$D$27</f>
        <v>15884800</v>
      </c>
      <c r="P19" s="233">
        <f>('Traffic Volume and Route Data'!$D$26*$O$10+'Traffic Volume and Route Data'!$D$27*$O$11)*Assumptions!$D$27*'Traffic Volume and Route Data'!$D$12</f>
        <v>15884800</v>
      </c>
      <c r="Q19" s="233">
        <f>('Traffic Volume and Route Data'!$D$31*$O$10+'Traffic Volume and Route Data'!$D$32*$O$11)*'Traffic Volume and Route Data'!$D$12*Assumptions!$D$27</f>
        <v>17753600</v>
      </c>
      <c r="R19" s="233">
        <f>('Traffic Volume and Route Data'!$D$36*$O$10+'Traffic Volume and Route Data'!$D$37*$O$11)*'Traffic Volume and Route Data'!$D$12*Assumptions!$D$27</f>
        <v>15884800</v>
      </c>
    </row>
    <row r="20" spans="1:18" ht="14.25" customHeight="1" x14ac:dyDescent="0.25">
      <c r="A20" s="2"/>
      <c r="B20" s="7"/>
      <c r="C20" s="7"/>
      <c r="D20" s="7"/>
      <c r="E20" s="7"/>
      <c r="F20" s="7"/>
      <c r="G20" s="7"/>
      <c r="H20" s="7"/>
      <c r="I20" s="7"/>
      <c r="J20" s="7"/>
    </row>
    <row r="21" spans="1:18" ht="15" customHeight="1" x14ac:dyDescent="0.25">
      <c r="A21" s="2" t="s">
        <v>17</v>
      </c>
      <c r="B21" s="441" t="s">
        <v>891</v>
      </c>
      <c r="C21" s="441"/>
      <c r="D21" s="441"/>
      <c r="E21" s="441"/>
      <c r="F21" s="441"/>
      <c r="G21" s="441"/>
      <c r="H21" s="441"/>
      <c r="I21" s="441"/>
      <c r="J21" s="441"/>
      <c r="N21" s="1" t="s">
        <v>198</v>
      </c>
    </row>
    <row r="22" spans="1:18" x14ac:dyDescent="0.25">
      <c r="A22" s="2"/>
      <c r="B22" s="441"/>
      <c r="C22" s="441"/>
      <c r="D22" s="441"/>
      <c r="E22" s="441"/>
      <c r="F22" s="441"/>
      <c r="G22" s="441"/>
      <c r="H22" s="441"/>
      <c r="I22" s="441"/>
      <c r="J22" s="441"/>
      <c r="N22" s="21" t="s">
        <v>22</v>
      </c>
      <c r="O22" s="21" t="s">
        <v>100</v>
      </c>
    </row>
    <row r="23" spans="1:18" x14ac:dyDescent="0.25">
      <c r="B23" s="441"/>
      <c r="C23" s="441"/>
      <c r="D23" s="441"/>
      <c r="E23" s="441"/>
      <c r="F23" s="441"/>
      <c r="G23" s="441"/>
      <c r="H23" s="441"/>
      <c r="I23" s="441"/>
      <c r="J23" s="441"/>
      <c r="N23" s="21">
        <f>Assumptions!$D$45</f>
        <v>2027</v>
      </c>
      <c r="O23" s="214">
        <f>Assumptions!$D$47</f>
        <v>4</v>
      </c>
    </row>
    <row r="24" spans="1:18" ht="15" customHeight="1" x14ac:dyDescent="0.25">
      <c r="B24" s="7"/>
      <c r="C24" s="7"/>
      <c r="D24" s="7"/>
      <c r="E24" s="7"/>
      <c r="F24" s="7"/>
      <c r="G24" s="7"/>
      <c r="H24" s="7"/>
      <c r="I24" s="7"/>
      <c r="J24" s="7"/>
      <c r="N24" s="21">
        <f>N23+1</f>
        <v>2028</v>
      </c>
      <c r="O24" s="214">
        <f>Assumptions!$D$48</f>
        <v>8</v>
      </c>
    </row>
    <row r="25" spans="1:18" ht="15" customHeight="1" x14ac:dyDescent="0.25">
      <c r="A25" s="10" t="s">
        <v>138</v>
      </c>
      <c r="B25" s="455" t="s">
        <v>912</v>
      </c>
      <c r="C25" s="455"/>
      <c r="D25" s="455"/>
      <c r="E25" s="455"/>
      <c r="F25" s="455"/>
      <c r="G25" s="455"/>
      <c r="H25" s="455"/>
      <c r="I25" s="455"/>
      <c r="J25" s="455"/>
    </row>
    <row r="26" spans="1:18" ht="15" customHeight="1" x14ac:dyDescent="0.25">
      <c r="A26" s="10"/>
      <c r="B26" s="455"/>
      <c r="C26" s="455"/>
      <c r="D26" s="455"/>
      <c r="E26" s="455"/>
      <c r="F26" s="455"/>
      <c r="G26" s="455"/>
      <c r="H26" s="455"/>
      <c r="I26" s="455"/>
      <c r="J26" s="455"/>
      <c r="N26" s="1" t="s">
        <v>927</v>
      </c>
    </row>
    <row r="27" spans="1:18" ht="15" customHeight="1" x14ac:dyDescent="0.25">
      <c r="L27" s="3"/>
      <c r="N27" s="21" t="s">
        <v>750</v>
      </c>
      <c r="O27" s="290">
        <f>'Travel Time_Construction'!O32</f>
        <v>0.9</v>
      </c>
    </row>
    <row r="28" spans="1:18" ht="15" customHeight="1" x14ac:dyDescent="0.25">
      <c r="N28" s="21" t="s">
        <v>751</v>
      </c>
      <c r="O28" s="290">
        <f>'Travel Time_Construction'!O33</f>
        <v>9.9999999999999978E-2</v>
      </c>
    </row>
    <row r="29" spans="1:18" ht="15" customHeight="1" x14ac:dyDescent="0.25"/>
    <row r="30" spans="1:18" ht="15" customHeight="1" x14ac:dyDescent="0.25"/>
    <row r="31" spans="1:18" ht="15" customHeight="1" x14ac:dyDescent="0.25"/>
    <row r="32" spans="1:18" ht="15" customHeight="1" x14ac:dyDescent="0.25"/>
    <row r="33" spans="1:12" ht="15" customHeight="1" x14ac:dyDescent="0.25"/>
    <row r="34" spans="1:12" ht="15" customHeight="1" x14ac:dyDescent="0.25"/>
    <row r="35" spans="1:12" ht="15" customHeight="1" x14ac:dyDescent="0.25">
      <c r="B35" s="7"/>
      <c r="C35" s="7"/>
      <c r="D35" s="7"/>
      <c r="E35" s="7"/>
      <c r="F35" s="7"/>
      <c r="G35" s="7"/>
      <c r="H35" s="7"/>
      <c r="I35" s="7"/>
      <c r="J35" s="7"/>
    </row>
    <row r="36" spans="1:12" ht="15" customHeight="1" x14ac:dyDescent="0.25">
      <c r="B36" s="7"/>
      <c r="C36" s="7"/>
      <c r="D36" s="7"/>
      <c r="E36" s="7"/>
      <c r="F36" s="7"/>
      <c r="G36" s="7"/>
      <c r="H36" s="7"/>
      <c r="I36" s="7"/>
    </row>
    <row r="37" spans="1:12" ht="15" customHeight="1" x14ac:dyDescent="0.25">
      <c r="A37" s="2"/>
    </row>
    <row r="38" spans="1:12" ht="15" customHeight="1" x14ac:dyDescent="0.25">
      <c r="A38" s="2"/>
    </row>
    <row r="39" spans="1:12" ht="15" customHeight="1" x14ac:dyDescent="0.25">
      <c r="A39" s="2"/>
    </row>
    <row r="40" spans="1:12" ht="15" customHeight="1" x14ac:dyDescent="0.25"/>
    <row r="41" spans="1:12" ht="15" customHeight="1" x14ac:dyDescent="0.25">
      <c r="A41" s="2"/>
      <c r="L41" s="25"/>
    </row>
    <row r="42" spans="1:12" ht="15" customHeight="1" x14ac:dyDescent="0.25">
      <c r="L42" s="26"/>
    </row>
    <row r="43" spans="1:12" x14ac:dyDescent="0.25">
      <c r="A43" s="2"/>
    </row>
    <row r="44" spans="1:12" x14ac:dyDescent="0.25">
      <c r="A44" s="2"/>
    </row>
    <row r="45" spans="1:12" ht="15" customHeight="1" x14ac:dyDescent="0.25">
      <c r="A45" s="172"/>
    </row>
    <row r="46" spans="1:12" ht="15" customHeight="1" x14ac:dyDescent="0.25">
      <c r="A46" s="2"/>
    </row>
    <row r="47" spans="1:12" ht="15" customHeight="1" x14ac:dyDescent="0.25">
      <c r="A47" s="2"/>
    </row>
    <row r="48" spans="1:12" ht="15" customHeight="1" x14ac:dyDescent="0.25">
      <c r="A48" s="2"/>
    </row>
    <row r="49" spans="1:1" ht="15" customHeight="1" x14ac:dyDescent="0.25">
      <c r="A49" s="2"/>
    </row>
    <row r="50" spans="1:1" ht="15" customHeight="1" x14ac:dyDescent="0.25">
      <c r="A50" s="2"/>
    </row>
    <row r="51" spans="1:1" ht="15" customHeight="1" x14ac:dyDescent="0.25"/>
    <row r="52" spans="1:1" ht="15" customHeight="1" x14ac:dyDescent="0.25"/>
    <row r="54" spans="1:1" ht="15" customHeight="1" x14ac:dyDescent="0.25"/>
    <row r="55" spans="1:1" ht="15" customHeight="1" x14ac:dyDescent="0.25"/>
    <row r="56" spans="1:1" ht="15" customHeight="1" x14ac:dyDescent="0.25"/>
    <row r="57" spans="1:1" ht="15" customHeight="1" x14ac:dyDescent="0.25"/>
    <row r="58" spans="1:1" ht="15" customHeight="1" x14ac:dyDescent="0.25"/>
    <row r="59" spans="1:1" ht="15" customHeight="1" x14ac:dyDescent="0.25"/>
    <row r="60" spans="1:1" ht="15" customHeight="1" x14ac:dyDescent="0.25"/>
    <row r="61" spans="1:1" ht="15" customHeight="1" x14ac:dyDescent="0.25"/>
    <row r="62" spans="1:1" ht="15" customHeight="1" x14ac:dyDescent="0.25"/>
    <row r="63" spans="1:1" x14ac:dyDescent="0.25">
      <c r="A63" s="2"/>
    </row>
    <row r="64" spans="1:1" x14ac:dyDescent="0.25">
      <c r="A64" s="2"/>
    </row>
    <row r="65" spans="1:1" ht="15" customHeight="1" x14ac:dyDescent="0.25">
      <c r="A65" s="2"/>
    </row>
    <row r="66" spans="1:1" ht="15" customHeight="1" x14ac:dyDescent="0.25"/>
    <row r="68" spans="1:1" ht="15" customHeight="1" x14ac:dyDescent="0.25"/>
    <row r="71" spans="1:1" ht="15" customHeight="1" x14ac:dyDescent="0.25"/>
    <row r="73" spans="1:1" ht="15" customHeight="1" x14ac:dyDescent="0.25"/>
    <row r="74" spans="1:1" ht="21" customHeight="1" x14ac:dyDescent="0.25"/>
  </sheetData>
  <mergeCells count="17">
    <mergeCell ref="B12:J13"/>
    <mergeCell ref="B4:B5"/>
    <mergeCell ref="C4:C5"/>
    <mergeCell ref="D4:D5"/>
    <mergeCell ref="E4:E5"/>
    <mergeCell ref="H4:H5"/>
    <mergeCell ref="N5:O5"/>
    <mergeCell ref="I4:I5"/>
    <mergeCell ref="J4:J5"/>
    <mergeCell ref="K4:K5"/>
    <mergeCell ref="F4:F5"/>
    <mergeCell ref="G4:G5"/>
    <mergeCell ref="B25:J26"/>
    <mergeCell ref="B15:J15"/>
    <mergeCell ref="B17:J17"/>
    <mergeCell ref="B19:J19"/>
    <mergeCell ref="B21:J23"/>
  </mergeCells>
  <pageMargins left="0.25" right="0.25" top="0.75" bottom="0.75" header="0.3" footer="0.3"/>
  <pageSetup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6E6E-78C5-4739-9510-112FC149CD1F}">
  <sheetPr codeName="Sheet8">
    <tabColor theme="3" tint="0.79998168889431442"/>
    <pageSetUpPr fitToPage="1"/>
  </sheetPr>
  <dimension ref="A1:AG58"/>
  <sheetViews>
    <sheetView view="pageBreakPreview" zoomScale="70" zoomScaleNormal="55" zoomScaleSheetLayoutView="70" workbookViewId="0"/>
  </sheetViews>
  <sheetFormatPr defaultRowHeight="15" x14ac:dyDescent="0.25"/>
  <cols>
    <col min="2" max="15" width="20.7109375" customWidth="1"/>
    <col min="16" max="16" width="15.7109375" customWidth="1"/>
    <col min="17" max="17" width="20.140625" customWidth="1"/>
    <col min="18" max="19" width="29.42578125" customWidth="1"/>
    <col min="20" max="20" width="15.7109375" customWidth="1"/>
    <col min="21" max="25" width="15.42578125" customWidth="1"/>
    <col min="26" max="26" width="21.85546875" customWidth="1"/>
    <col min="27" max="27" width="27.28515625" customWidth="1"/>
    <col min="28" max="28" width="19.5703125" bestFit="1" customWidth="1"/>
    <col min="29" max="29" width="12.28515625" bestFit="1" customWidth="1"/>
    <col min="30" max="30" width="9.7109375" bestFit="1" customWidth="1"/>
    <col min="31" max="31" width="11.28515625" bestFit="1" customWidth="1"/>
    <col min="32" max="32" width="8.7109375" bestFit="1" customWidth="1"/>
    <col min="33" max="33" width="12.140625" bestFit="1" customWidth="1"/>
    <col min="34" max="34" width="13.140625" customWidth="1"/>
  </cols>
  <sheetData>
    <row r="1" spans="2:33" x14ac:dyDescent="0.25">
      <c r="B1" s="41"/>
      <c r="C1" s="41"/>
      <c r="D1" s="41"/>
      <c r="E1" s="41"/>
      <c r="F1" s="41"/>
      <c r="G1" s="41"/>
      <c r="H1" s="41"/>
      <c r="I1" s="41"/>
      <c r="J1" s="41"/>
      <c r="K1" s="41"/>
      <c r="L1" s="41"/>
      <c r="M1" s="41"/>
      <c r="N1" s="41"/>
      <c r="O1" s="41"/>
    </row>
    <row r="2" spans="2:33" ht="15.75" thickBot="1" x14ac:dyDescent="0.3">
      <c r="B2" s="1" t="s">
        <v>210</v>
      </c>
      <c r="C2" s="1"/>
      <c r="D2" s="1"/>
      <c r="E2" s="1"/>
    </row>
    <row r="3" spans="2:33" ht="18.75" thickBot="1" x14ac:dyDescent="0.3">
      <c r="C3" s="474" t="s">
        <v>61</v>
      </c>
      <c r="D3" s="475"/>
      <c r="E3" s="476"/>
      <c r="F3" s="435" t="s">
        <v>775</v>
      </c>
      <c r="G3" s="479"/>
      <c r="H3" s="479"/>
      <c r="I3" s="479"/>
      <c r="J3" s="479"/>
      <c r="K3" s="436"/>
      <c r="L3" s="479" t="s">
        <v>62</v>
      </c>
      <c r="M3" s="479"/>
      <c r="N3" s="479"/>
      <c r="O3" s="436"/>
      <c r="Q3" s="28" t="s">
        <v>84</v>
      </c>
      <c r="U3" s="16" t="s">
        <v>85</v>
      </c>
      <c r="V3" s="16"/>
      <c r="W3" s="16"/>
      <c r="X3" s="16"/>
      <c r="Y3" s="16"/>
      <c r="AA3" s="1" t="s">
        <v>87</v>
      </c>
    </row>
    <row r="4" spans="2:33" ht="35.1" customHeight="1" thickBot="1" x14ac:dyDescent="0.3">
      <c r="B4" s="477" t="s">
        <v>0</v>
      </c>
      <c r="C4" s="489" t="s">
        <v>114</v>
      </c>
      <c r="D4" s="490" t="s">
        <v>107</v>
      </c>
      <c r="E4" s="491" t="s">
        <v>208</v>
      </c>
      <c r="F4" s="451" t="s">
        <v>115</v>
      </c>
      <c r="G4" s="447" t="s">
        <v>116</v>
      </c>
      <c r="H4" s="449" t="s">
        <v>117</v>
      </c>
      <c r="I4" s="451" t="s">
        <v>118</v>
      </c>
      <c r="J4" s="447" t="s">
        <v>119</v>
      </c>
      <c r="K4" s="449" t="s">
        <v>120</v>
      </c>
      <c r="L4" s="445" t="s">
        <v>108</v>
      </c>
      <c r="M4" s="481" t="s">
        <v>186</v>
      </c>
      <c r="N4" s="485" t="s">
        <v>63</v>
      </c>
      <c r="O4" s="487" t="s">
        <v>209</v>
      </c>
      <c r="R4" s="483" t="s">
        <v>81</v>
      </c>
      <c r="S4" s="484"/>
      <c r="U4" s="20" t="s">
        <v>64</v>
      </c>
      <c r="V4" s="27" t="s">
        <v>131</v>
      </c>
      <c r="W4" s="27" t="s">
        <v>132</v>
      </c>
      <c r="X4" s="27" t="s">
        <v>133</v>
      </c>
      <c r="Y4" s="27" t="s">
        <v>134</v>
      </c>
      <c r="AA4" s="27" t="s">
        <v>69</v>
      </c>
      <c r="AB4" s="27" t="s">
        <v>70</v>
      </c>
      <c r="AC4" s="27" t="s">
        <v>71</v>
      </c>
      <c r="AD4" s="27" t="s">
        <v>131</v>
      </c>
      <c r="AE4" s="27" t="s">
        <v>132</v>
      </c>
      <c r="AF4" s="27" t="s">
        <v>133</v>
      </c>
      <c r="AG4" s="27" t="s">
        <v>134</v>
      </c>
    </row>
    <row r="5" spans="2:33" ht="35.1" customHeight="1" thickBot="1" x14ac:dyDescent="0.3">
      <c r="B5" s="478"/>
      <c r="C5" s="452"/>
      <c r="D5" s="448"/>
      <c r="E5" s="492"/>
      <c r="F5" s="464"/>
      <c r="G5" s="473"/>
      <c r="H5" s="472"/>
      <c r="I5" s="464"/>
      <c r="J5" s="473"/>
      <c r="K5" s="472"/>
      <c r="L5" s="463"/>
      <c r="M5" s="482"/>
      <c r="N5" s="486"/>
      <c r="O5" s="488"/>
      <c r="Q5" s="150" t="s">
        <v>22</v>
      </c>
      <c r="R5" s="151" t="s">
        <v>79</v>
      </c>
      <c r="S5" s="115" t="s">
        <v>80</v>
      </c>
      <c r="U5" s="20" t="s">
        <v>72</v>
      </c>
      <c r="V5" s="194">
        <f t="shared" ref="V5:Y6" si="0">AB21</f>
        <v>0.22790983982547491</v>
      </c>
      <c r="W5" s="194">
        <f>AC21</f>
        <v>2.0699004398994176E-3</v>
      </c>
      <c r="X5" s="194">
        <f t="shared" si="0"/>
        <v>5.8180715878192544E-3</v>
      </c>
      <c r="Y5" s="194">
        <f t="shared" si="0"/>
        <v>317.22468262036</v>
      </c>
      <c r="AA5" s="27">
        <v>11</v>
      </c>
      <c r="AB5" s="27" t="s">
        <v>27</v>
      </c>
      <c r="AC5" s="27" t="s">
        <v>73</v>
      </c>
      <c r="AD5" s="194">
        <v>0.73690802096518104</v>
      </c>
      <c r="AE5" s="194">
        <v>2.4081927794970298E-3</v>
      </c>
      <c r="AF5" s="194">
        <v>1.78605259703664E-2</v>
      </c>
      <c r="AG5" s="194">
        <v>362.51238716242</v>
      </c>
    </row>
    <row r="6" spans="2:33" ht="17.25" customHeight="1" x14ac:dyDescent="0.25">
      <c r="B6" s="152">
        <f>Assumptions!D45</f>
        <v>2027</v>
      </c>
      <c r="C6" s="101">
        <f>IF(B6&lt;=Assumptions!$D$15,($R6*$Y$5+$S6*$Y$6)/(1*10^6),0)</f>
        <v>-185.94941051252903</v>
      </c>
      <c r="D6" s="170">
        <f>C6*_xlfn.XLOOKUP($B6,$U$11:$U$50,$Y$11:$Y$50)</f>
        <v>-45557.605575569614</v>
      </c>
      <c r="E6" s="271">
        <f>D6*(1+Assumptions!$D$25)^-($B6-Assumptions!$D$10)</f>
        <v>-41262.926991872562</v>
      </c>
      <c r="F6" s="348">
        <f>IF(B6&lt;=Assumptions!$D$15,($R6*$V$5+$S6*$V$6)/(1*10^6),0)</f>
        <v>-0.16454886908512484</v>
      </c>
      <c r="G6" s="349">
        <f>IF(B6&lt;=Assumptions!$D$15,($R6*$W$5+$S6*$W$6)/(1*10^6),0)</f>
        <v>-1.128950612157645E-3</v>
      </c>
      <c r="H6" s="350">
        <f>IF(B6&lt;=Assumptions!$D$15,($R6*$X$5+$S6*$X$6)/(1*10^6),0)</f>
        <v>-3.660860109106222E-3</v>
      </c>
      <c r="I6" s="92">
        <f>F6*_xlfn.XLOOKUP($B6,$U$11:$U$50,$V$11:$V$50)</f>
        <v>-3455.5262507876214</v>
      </c>
      <c r="J6" s="117">
        <f>G6*_xlfn.XLOOKUP($B6,$U$11:$U$50,$W$11:$W$50)</f>
        <v>-64.801765137848818</v>
      </c>
      <c r="K6" s="93">
        <f>H6*_xlfn.XLOOKUP($B6,$U$11:$U$50,$X$11:$X$50)</f>
        <v>-3704.424344404586</v>
      </c>
      <c r="L6" s="119">
        <f>SUM(I6:K6)</f>
        <v>-7224.752360330056</v>
      </c>
      <c r="M6" s="153">
        <f>L6*(1+Assumptions!$D$24)^-(B6-Assumptions!$D$10)</f>
        <v>-6201.969685764002</v>
      </c>
      <c r="N6" s="94">
        <f>L6+D6</f>
        <v>-52782.357935899672</v>
      </c>
      <c r="O6" s="93">
        <f>M6+E6</f>
        <v>-47464.896677636563</v>
      </c>
      <c r="Q6" s="55">
        <f>B6</f>
        <v>2027</v>
      </c>
      <c r="R6" s="264">
        <f>(_xlfn.XLOOKUP($Q6,'VOC Savings'!$B$6:$B$25,'VOC Savings'!$I$6:$I$25,0,0,1)+_xlfn.XLOOKUP($Q6,VOC_Construction!$B$6:$B$7,VOC_Construction!$I$6:$I$7,0,0,1))*Assumptions!$D$19</f>
        <v>-486242.57142856583</v>
      </c>
      <c r="S6" s="265">
        <f>(_xlfn.XLOOKUP($Q6,'VOC Savings'!$B$6:$B$25,'VOC Savings'!$I$6:$I$25,0,0,1)+_xlfn.XLOOKUP($Q6,VOC_Construction!$B$6:$B$7,VOC_Construction!$I$6:$I$7,0,0,1))*Assumptions!$D$18</f>
        <v>-25591.714285713995</v>
      </c>
      <c r="U6" s="20" t="s">
        <v>54</v>
      </c>
      <c r="V6" s="194">
        <f t="shared" si="0"/>
        <v>2.099484306313415</v>
      </c>
      <c r="W6" s="194">
        <f>AC22</f>
        <v>4.7858028693373951E-3</v>
      </c>
      <c r="X6" s="194">
        <f t="shared" si="0"/>
        <v>3.2505287070740692E-2</v>
      </c>
      <c r="Y6" s="194">
        <f t="shared" si="0"/>
        <v>1238.7315972924489</v>
      </c>
      <c r="AA6" s="27">
        <v>21</v>
      </c>
      <c r="AB6" s="27" t="s">
        <v>74</v>
      </c>
      <c r="AC6" s="27" t="s">
        <v>73</v>
      </c>
      <c r="AD6" s="194">
        <v>3.7528759722247264E-2</v>
      </c>
      <c r="AE6" s="194">
        <v>1.6122938930079201E-3</v>
      </c>
      <c r="AF6" s="194">
        <v>1.1798384221972261E-3</v>
      </c>
      <c r="AG6" s="194">
        <v>243.79125643460799</v>
      </c>
    </row>
    <row r="7" spans="2:33" ht="17.25" customHeight="1" x14ac:dyDescent="0.25">
      <c r="B7" s="61">
        <f>B6+1</f>
        <v>2028</v>
      </c>
      <c r="C7" s="103">
        <f>IF(B7&lt;=Assumptions!$D$15,($R7*$Y$5+$S7*$Y$6)/(1*10^6),0)</f>
        <v>-374.62668523795224</v>
      </c>
      <c r="D7" s="170">
        <f t="shared" ref="D7:D27" si="1">C7*_xlfn.XLOOKUP($B7,$U$11:$U$50,$Y$11:$Y$50)</f>
        <v>-93656.671309488054</v>
      </c>
      <c r="E7" s="271">
        <f>D7*(1+Assumptions!$D$25)^-($B7-Assumptions!$D$10)</f>
        <v>-83164.443873643977</v>
      </c>
      <c r="F7" s="345">
        <f>IF(B7&lt;=Assumptions!$D$15,($R7*$V$5+$S7*$V$6)/(1*10^6),0)</f>
        <v>-0.33151165801012616</v>
      </c>
      <c r="G7" s="347">
        <f>IF(B7&lt;=Assumptions!$D$15,($R7*$W$5+$S7*$W$6)/(1*10^6),0)</f>
        <v>-2.2744628469875084E-3</v>
      </c>
      <c r="H7" s="351">
        <f>IF(B7&lt;=Assumptions!$D$15,($R7*$X$5+$S7*$X$6)/(1*10^6),0)</f>
        <v>-7.3754247674902166E-3</v>
      </c>
      <c r="I7" s="82">
        <f t="shared" ref="I7:I27" si="2">F7*_xlfn.XLOOKUP($B7,$U$11:$U$50,$V$11:$V$50)</f>
        <v>-7061.1983156156875</v>
      </c>
      <c r="J7" s="122">
        <f t="shared" ref="J7:J27" si="3">G7*_xlfn.XLOOKUP($B7,$U$11:$U$50,$W$11:$W$50)</f>
        <v>-133.51096911816674</v>
      </c>
      <c r="K7" s="83">
        <f t="shared" ref="K7:K27" si="4">H7*_xlfn.XLOOKUP($B7,$U$11:$U$50,$X$11:$X$50)</f>
        <v>-7601.1127653754174</v>
      </c>
      <c r="L7" s="124">
        <f t="shared" ref="L7" si="5">SUM(I7:K7)</f>
        <v>-14795.822050109273</v>
      </c>
      <c r="M7" s="159">
        <f>L7*(1+Assumptions!$D$24)^-(B7-Assumptions!$D$10)</f>
        <v>-12319.330533272947</v>
      </c>
      <c r="N7" s="84">
        <f t="shared" ref="N7:N27" si="6">L7+D7</f>
        <v>-108452.49335959733</v>
      </c>
      <c r="O7" s="83">
        <f t="shared" ref="O7:O27" si="7">M7+E7</f>
        <v>-95483.774406916928</v>
      </c>
      <c r="Q7" s="53">
        <f t="shared" ref="Q7:Q27" si="8">B7</f>
        <v>2028</v>
      </c>
      <c r="R7" s="266">
        <f>(_xlfn.XLOOKUP($Q7,'VOC Savings'!$B$6:$B$25,'VOC Savings'!$I$6:$I$25,0,0,1)+_xlfn.XLOOKUP($Q7,VOC_Construction!$B$6:$B$7,VOC_Construction!$I$6:$I$7,0,0,1))*Assumptions!$D$19</f>
        <v>-979618.28571426519</v>
      </c>
      <c r="S7" s="267">
        <f>(_xlfn.XLOOKUP($Q7,'VOC Savings'!$B$6:$B$25,'VOC Savings'!$I$6:$I$25,0,0,1)+_xlfn.XLOOKUP($Q7,VOC_Construction!$B$6:$B$7,VOC_Construction!$I$6:$I$7,0,0,1))*Assumptions!$D$18</f>
        <v>-51558.857142856068</v>
      </c>
      <c r="U7" s="1"/>
      <c r="V7" s="49"/>
      <c r="W7" s="50"/>
      <c r="X7" s="49"/>
      <c r="Y7" s="51"/>
      <c r="AA7" s="27">
        <v>31</v>
      </c>
      <c r="AB7" s="27" t="s">
        <v>74</v>
      </c>
      <c r="AC7" s="27" t="s">
        <v>73</v>
      </c>
      <c r="AD7" s="194">
        <v>5.602001301010253E-2</v>
      </c>
      <c r="AE7" s="194">
        <v>2.0534055761767299E-3</v>
      </c>
      <c r="AF7" s="194">
        <v>1.6834690354423085E-3</v>
      </c>
      <c r="AG7" s="194">
        <v>318.590574637288</v>
      </c>
    </row>
    <row r="8" spans="2:33" ht="17.25" customHeight="1" x14ac:dyDescent="0.25">
      <c r="B8" s="61">
        <f t="shared" ref="B8:B27" si="9">B7+1</f>
        <v>2029</v>
      </c>
      <c r="C8" s="103">
        <f>IF(B8&lt;=Assumptions!$D$15,($R8*$Y$5+$S8*$Y$6)/(1*10^6),0)</f>
        <v>0</v>
      </c>
      <c r="D8" s="170">
        <f t="shared" si="1"/>
        <v>0</v>
      </c>
      <c r="E8" s="271">
        <f>D8*(1+Assumptions!$D$25)^-($B8-Assumptions!$D$10)</f>
        <v>0</v>
      </c>
      <c r="F8" s="156">
        <f>IF(B8&lt;=Assumptions!$D$15,($R8*$V$5+$S8*$V$6)/(1*10^6),0)</f>
        <v>0</v>
      </c>
      <c r="G8" s="157">
        <f>IF(B8&lt;=Assumptions!$D$15,($R8*$W$5+$S8*$W$6)/(1*10^6),0)</f>
        <v>0</v>
      </c>
      <c r="H8" s="158">
        <f>IF(B8&lt;=Assumptions!$D$15,($R8*$X$5+$S8*$X$6)/(1*10^6),0)</f>
        <v>0</v>
      </c>
      <c r="I8" s="82">
        <f t="shared" si="2"/>
        <v>0</v>
      </c>
      <c r="J8" s="122">
        <f t="shared" si="3"/>
        <v>0</v>
      </c>
      <c r="K8" s="83">
        <f t="shared" si="4"/>
        <v>0</v>
      </c>
      <c r="L8" s="124">
        <f t="shared" ref="L8:L27" si="10">SUM(I8:K8)</f>
        <v>0</v>
      </c>
      <c r="M8" s="159">
        <f>L8*(1+Assumptions!$D$24)^-(B8-Assumptions!$D$10)</f>
        <v>0</v>
      </c>
      <c r="N8" s="84">
        <f t="shared" si="6"/>
        <v>0</v>
      </c>
      <c r="O8" s="83">
        <f t="shared" si="7"/>
        <v>0</v>
      </c>
      <c r="Q8" s="53">
        <f t="shared" si="8"/>
        <v>2029</v>
      </c>
      <c r="R8" s="266">
        <f>(_xlfn.XLOOKUP($Q8,'VOC Savings'!$B$6:$B$25,'VOC Savings'!$I$6:$I$25,0,0,1)+_xlfn.XLOOKUP($Q8,VOC_Construction!$B$6:$B$7,VOC_Construction!$I$6:$I$7,0,0,1))*Assumptions!$D$19</f>
        <v>0</v>
      </c>
      <c r="S8" s="267">
        <f>(_xlfn.XLOOKUP($Q8,'VOC Savings'!$B$6:$B$25,'VOC Savings'!$I$6:$I$25,0,0,1)+_xlfn.XLOOKUP($Q8,VOC_Construction!$B$6:$B$7,VOC_Construction!$I$6:$I$7,0,0,1))*Assumptions!$D$18</f>
        <v>0</v>
      </c>
      <c r="W8" s="3"/>
      <c r="X8" s="3"/>
      <c r="Y8" s="3"/>
      <c r="Z8" s="3"/>
      <c r="AA8" s="27">
        <v>32</v>
      </c>
      <c r="AB8" s="27" t="s">
        <v>74</v>
      </c>
      <c r="AC8" s="27" t="s">
        <v>73</v>
      </c>
      <c r="AD8" s="194">
        <v>8.1182565604368817E-2</v>
      </c>
      <c r="AE8" s="194">
        <v>2.2057095109159902E-3</v>
      </c>
      <c r="AF8" s="194">
        <v>2.5484529232710825E-3</v>
      </c>
      <c r="AG8" s="194">
        <v>344.00451224712401</v>
      </c>
    </row>
    <row r="9" spans="2:33" ht="17.25" customHeight="1" x14ac:dyDescent="0.25">
      <c r="B9" s="61">
        <f t="shared" si="9"/>
        <v>2030</v>
      </c>
      <c r="C9" s="103">
        <f>IF(B9&lt;=Assumptions!$D$15,($R9*$Y$5+$S9*$Y$6)/(1*10^6),0)</f>
        <v>0</v>
      </c>
      <c r="D9" s="170">
        <f t="shared" si="1"/>
        <v>0</v>
      </c>
      <c r="E9" s="271">
        <f>D9*(1+Assumptions!$D$25)^-($B9-Assumptions!$D$10)</f>
        <v>0</v>
      </c>
      <c r="F9" s="156">
        <f>IF(B9&lt;=Assumptions!$D$15,($R9*$V$5+$S9*$V$6)/(1*10^6),0)</f>
        <v>0</v>
      </c>
      <c r="G9" s="157">
        <f>IF(B9&lt;=Assumptions!$D$15,($R9*$W$5+$S9*$W$6)/(1*10^6),0)</f>
        <v>0</v>
      </c>
      <c r="H9" s="158">
        <f>IF(B9&lt;=Assumptions!$D$15,($R9*$X$5+$S9*$X$6)/(1*10^6),0)</f>
        <v>0</v>
      </c>
      <c r="I9" s="82">
        <f t="shared" si="2"/>
        <v>0</v>
      </c>
      <c r="J9" s="122">
        <f t="shared" si="3"/>
        <v>0</v>
      </c>
      <c r="K9" s="83">
        <f t="shared" si="4"/>
        <v>0</v>
      </c>
      <c r="L9" s="124">
        <f t="shared" si="10"/>
        <v>0</v>
      </c>
      <c r="M9" s="159">
        <f>L9*(1+Assumptions!$D$24)^-(B9-Assumptions!$D$10)</f>
        <v>0</v>
      </c>
      <c r="N9" s="84">
        <f t="shared" si="6"/>
        <v>0</v>
      </c>
      <c r="O9" s="83">
        <f t="shared" si="7"/>
        <v>0</v>
      </c>
      <c r="Q9" s="53">
        <f t="shared" si="8"/>
        <v>2030</v>
      </c>
      <c r="R9" s="266">
        <f>(_xlfn.XLOOKUP($Q9,'VOC Savings'!$B$6:$B$25,'VOC Savings'!$I$6:$I$25,0,0,1)+_xlfn.XLOOKUP($Q9,VOC_Construction!$B$6:$B$7,VOC_Construction!$I$6:$I$7,0,0,1))*Assumptions!$D$19</f>
        <v>0</v>
      </c>
      <c r="S9" s="267">
        <f>(_xlfn.XLOOKUP($Q9,'VOC Savings'!$B$6:$B$25,'VOC Savings'!$I$6:$I$25,0,0,1)+_xlfn.XLOOKUP($Q9,VOC_Construction!$B$6:$B$7,VOC_Construction!$I$6:$I$7,0,0,1))*Assumptions!$D$18</f>
        <v>0</v>
      </c>
      <c r="U9" s="1" t="s">
        <v>86</v>
      </c>
      <c r="AA9" s="27">
        <v>41</v>
      </c>
      <c r="AB9" s="27" t="s">
        <v>75</v>
      </c>
      <c r="AC9" s="27" t="s">
        <v>76</v>
      </c>
      <c r="AD9" s="194">
        <v>2.237602310868759</v>
      </c>
      <c r="AE9" s="194">
        <v>5.5717265564873301E-3</v>
      </c>
      <c r="AF9" s="194">
        <v>1.658066855283262E-2</v>
      </c>
      <c r="AG9" s="194">
        <v>1406.7823013201701</v>
      </c>
    </row>
    <row r="10" spans="2:33" ht="17.25" customHeight="1" x14ac:dyDescent="0.25">
      <c r="B10" s="61">
        <f t="shared" si="9"/>
        <v>2031</v>
      </c>
      <c r="C10" s="103">
        <f>IF(B10&lt;=Assumptions!$D$15,($R10*$Y$5+$S10*$Y$6)/(1*10^6),0)</f>
        <v>0</v>
      </c>
      <c r="D10" s="170">
        <f t="shared" si="1"/>
        <v>0</v>
      </c>
      <c r="E10" s="271">
        <f>D10*(1+Assumptions!$D$25)^-($B10-Assumptions!$D$10)</f>
        <v>0</v>
      </c>
      <c r="F10" s="156">
        <f>IF(B10&lt;=Assumptions!$D$15,($R10*$V$5+$S10*$V$6)/(1*10^6),0)</f>
        <v>0</v>
      </c>
      <c r="G10" s="157">
        <f>IF(B10&lt;=Assumptions!$D$15,($R10*$W$5+$S10*$W$6)/(1*10^6),0)</f>
        <v>0</v>
      </c>
      <c r="H10" s="158">
        <f>IF(B10&lt;=Assumptions!$D$15,($R10*$X$5+$S10*$X$6)/(1*10^6),0)</f>
        <v>0</v>
      </c>
      <c r="I10" s="82">
        <f t="shared" si="2"/>
        <v>0</v>
      </c>
      <c r="J10" s="122">
        <f t="shared" si="3"/>
        <v>0</v>
      </c>
      <c r="K10" s="83">
        <f t="shared" si="4"/>
        <v>0</v>
      </c>
      <c r="L10" s="124">
        <f t="shared" si="10"/>
        <v>0</v>
      </c>
      <c r="M10" s="159">
        <f>L10*(1+Assumptions!$D$24)^-(B10-Assumptions!$D$10)</f>
        <v>0</v>
      </c>
      <c r="N10" s="84">
        <f t="shared" si="6"/>
        <v>0</v>
      </c>
      <c r="O10" s="83">
        <f t="shared" si="7"/>
        <v>0</v>
      </c>
      <c r="Q10" s="53">
        <f t="shared" si="8"/>
        <v>2031</v>
      </c>
      <c r="R10" s="266">
        <f>(_xlfn.XLOOKUP($Q10,'VOC Savings'!$B$6:$B$25,'VOC Savings'!$I$6:$I$25,0,0,1)+_xlfn.XLOOKUP($Q10,VOC_Construction!$B$6:$B$7,VOC_Construction!$I$6:$I$7,0,0,1))*Assumptions!$D$19</f>
        <v>0</v>
      </c>
      <c r="S10" s="267">
        <f>(_xlfn.XLOOKUP($Q10,'VOC Savings'!$B$6:$B$25,'VOC Savings'!$I$6:$I$25,0,0,1)+_xlfn.XLOOKUP($Q10,VOC_Construction!$B$6:$B$7,VOC_Construction!$I$6:$I$7,0,0,1))*Assumptions!$D$18</f>
        <v>0</v>
      </c>
      <c r="U10" s="29" t="s">
        <v>22</v>
      </c>
      <c r="V10" s="48" t="s">
        <v>65</v>
      </c>
      <c r="W10" s="48" t="s">
        <v>66</v>
      </c>
      <c r="X10" s="48" t="s">
        <v>67</v>
      </c>
      <c r="Y10" s="48" t="s">
        <v>68</v>
      </c>
      <c r="AA10" s="27">
        <v>42</v>
      </c>
      <c r="AB10" s="27" t="s">
        <v>75</v>
      </c>
      <c r="AC10" s="27" t="s">
        <v>76</v>
      </c>
      <c r="AD10" s="194">
        <v>1.9658170115512426</v>
      </c>
      <c r="AE10" s="194">
        <v>5.4889920561794897E-3</v>
      </c>
      <c r="AF10" s="194">
        <v>1.2308421676718551E-2</v>
      </c>
      <c r="AG10" s="194">
        <v>1391.9649569298599</v>
      </c>
    </row>
    <row r="11" spans="2:33" ht="17.25" customHeight="1" x14ac:dyDescent="0.25">
      <c r="B11" s="61">
        <f t="shared" si="9"/>
        <v>2032</v>
      </c>
      <c r="C11" s="103">
        <f>IF(B11&lt;=Assumptions!$D$15,($R11*$Y$5+$S11*$Y$6)/(1*10^6),0)</f>
        <v>0</v>
      </c>
      <c r="D11" s="170">
        <f t="shared" si="1"/>
        <v>0</v>
      </c>
      <c r="E11" s="271">
        <f>D11*(1+Assumptions!$D$25)^-($B11-Assumptions!$D$10)</f>
        <v>0</v>
      </c>
      <c r="F11" s="156">
        <f>IF(B11&lt;=Assumptions!$D$15,($R11*$V$5+$S11*$V$6)/(1*10^6),0)</f>
        <v>0</v>
      </c>
      <c r="G11" s="157">
        <f>IF(B11&lt;=Assumptions!$D$15,($R11*$W$5+$S11*$W$6)/(1*10^6),0)</f>
        <v>0</v>
      </c>
      <c r="H11" s="158">
        <f>IF(B11&lt;=Assumptions!$D$15,($R11*$X$5+$S11*$X$6)/(1*10^6),0)</f>
        <v>0</v>
      </c>
      <c r="I11" s="82">
        <f t="shared" si="2"/>
        <v>0</v>
      </c>
      <c r="J11" s="122">
        <f t="shared" si="3"/>
        <v>0</v>
      </c>
      <c r="K11" s="83">
        <f t="shared" si="4"/>
        <v>0</v>
      </c>
      <c r="L11" s="124">
        <f t="shared" si="10"/>
        <v>0</v>
      </c>
      <c r="M11" s="159">
        <f>L11*(1+Assumptions!$D$24)^-(B11-Assumptions!$D$10)</f>
        <v>0</v>
      </c>
      <c r="N11" s="84">
        <f t="shared" si="6"/>
        <v>0</v>
      </c>
      <c r="O11" s="83">
        <f t="shared" si="7"/>
        <v>0</v>
      </c>
      <c r="Q11" s="53">
        <f t="shared" si="8"/>
        <v>2032</v>
      </c>
      <c r="R11" s="266">
        <f>(_xlfn.XLOOKUP($Q11,'VOC Savings'!$B$6:$B$25,'VOC Savings'!$I$6:$I$25,0,0,1)+_xlfn.XLOOKUP($Q11,VOC_Construction!$B$6:$B$7,VOC_Construction!$I$6:$I$7,0,0,1))*Assumptions!$D$19</f>
        <v>0</v>
      </c>
      <c r="S11" s="267">
        <f>(_xlfn.XLOOKUP($Q11,'VOC Savings'!$B$6:$B$25,'VOC Savings'!$I$6:$I$25,0,0,1)+_xlfn.XLOOKUP($Q11,VOC_Construction!$B$6:$B$7,VOC_Construction!$I$6:$I$7,0,0,1))*Assumptions!$D$18</f>
        <v>0</v>
      </c>
      <c r="U11" s="192">
        <v>2023</v>
      </c>
      <c r="V11" s="193">
        <v>19800</v>
      </c>
      <c r="W11" s="193">
        <v>52900</v>
      </c>
      <c r="X11" s="193">
        <v>951000</v>
      </c>
      <c r="Y11" s="193">
        <v>228</v>
      </c>
      <c r="AA11" s="27">
        <v>43</v>
      </c>
      <c r="AB11" s="27" t="s">
        <v>75</v>
      </c>
      <c r="AC11" s="27" t="s">
        <v>76</v>
      </c>
      <c r="AD11" s="194">
        <v>1.9469017025302577</v>
      </c>
      <c r="AE11" s="194">
        <v>3.66910948950592E-3</v>
      </c>
      <c r="AF11" s="194">
        <v>5.5096995199883071E-2</v>
      </c>
      <c r="AG11" s="194">
        <v>1071.1129065416801</v>
      </c>
    </row>
    <row r="12" spans="2:33" ht="17.25" customHeight="1" x14ac:dyDescent="0.25">
      <c r="B12" s="61">
        <f t="shared" si="9"/>
        <v>2033</v>
      </c>
      <c r="C12" s="103">
        <f>IF(B12&lt;=Assumptions!$D$15,($R12*$Y$5+$S12*$Y$6)/(1*10^6),0)</f>
        <v>0</v>
      </c>
      <c r="D12" s="170">
        <f t="shared" si="1"/>
        <v>0</v>
      </c>
      <c r="E12" s="271">
        <f>D12*(1+Assumptions!$D$25)^-($B12-Assumptions!$D$10)</f>
        <v>0</v>
      </c>
      <c r="F12" s="156">
        <f>IF(B12&lt;=Assumptions!$D$15,($R12*$V$5+$S12*$V$6)/(1*10^6),0)</f>
        <v>0</v>
      </c>
      <c r="G12" s="157">
        <f>IF(B12&lt;=Assumptions!$D$15,($R12*$W$5+$S12*$W$6)/(1*10^6),0)</f>
        <v>0</v>
      </c>
      <c r="H12" s="158">
        <f>IF(B12&lt;=Assumptions!$D$15,($R12*$X$5+$S12*$X$6)/(1*10^6),0)</f>
        <v>0</v>
      </c>
      <c r="I12" s="82">
        <f t="shared" si="2"/>
        <v>0</v>
      </c>
      <c r="J12" s="122">
        <f t="shared" si="3"/>
        <v>0</v>
      </c>
      <c r="K12" s="83">
        <f t="shared" si="4"/>
        <v>0</v>
      </c>
      <c r="L12" s="124">
        <f t="shared" si="10"/>
        <v>0</v>
      </c>
      <c r="M12" s="159">
        <f>L12*(1+Assumptions!$D$24)^-(B12-Assumptions!$D$10)</f>
        <v>0</v>
      </c>
      <c r="N12" s="84">
        <f t="shared" si="6"/>
        <v>0</v>
      </c>
      <c r="O12" s="83">
        <f t="shared" si="7"/>
        <v>0</v>
      </c>
      <c r="Q12" s="53">
        <f t="shared" si="8"/>
        <v>2033</v>
      </c>
      <c r="R12" s="266">
        <f>(_xlfn.XLOOKUP($Q12,'VOC Savings'!$B$6:$B$25,'VOC Savings'!$I$6:$I$25,0,0,1)+_xlfn.XLOOKUP($Q12,VOC_Construction!$B$6:$B$7,VOC_Construction!$I$6:$I$7,0,0,1))*Assumptions!$D$19</f>
        <v>0</v>
      </c>
      <c r="S12" s="267">
        <f>(_xlfn.XLOOKUP($Q12,'VOC Savings'!$B$6:$B$25,'VOC Savings'!$I$6:$I$25,0,0,1)+_xlfn.XLOOKUP($Q12,VOC_Construction!$B$6:$B$7,VOC_Construction!$I$6:$I$7,0,0,1))*Assumptions!$D$18</f>
        <v>0</v>
      </c>
      <c r="U12" s="192">
        <f>U11+1</f>
        <v>2024</v>
      </c>
      <c r="V12" s="193">
        <v>20100</v>
      </c>
      <c r="W12" s="193">
        <v>53800</v>
      </c>
      <c r="X12" s="193">
        <v>963200</v>
      </c>
      <c r="Y12" s="193">
        <v>233</v>
      </c>
      <c r="AA12" s="27">
        <v>51</v>
      </c>
      <c r="AB12" s="27" t="s">
        <v>77</v>
      </c>
      <c r="AC12" s="27" t="s">
        <v>76</v>
      </c>
      <c r="AD12" s="194">
        <v>2.48942987946789</v>
      </c>
      <c r="AE12" s="194">
        <v>5.2833773025508703E-3</v>
      </c>
      <c r="AF12" s="194">
        <v>3.4321389281753531E-2</v>
      </c>
      <c r="AG12" s="194">
        <v>1427.83446247497</v>
      </c>
    </row>
    <row r="13" spans="2:33" ht="17.25" customHeight="1" x14ac:dyDescent="0.25">
      <c r="B13" s="61">
        <f t="shared" si="9"/>
        <v>2034</v>
      </c>
      <c r="C13" s="103">
        <f>IF(B13&lt;=Assumptions!$D$15,($R13*$Y$5+$S13*$Y$6)/(1*10^6),0)</f>
        <v>0</v>
      </c>
      <c r="D13" s="170">
        <f t="shared" si="1"/>
        <v>0</v>
      </c>
      <c r="E13" s="271">
        <f>D13*(1+Assumptions!$D$25)^-($B13-Assumptions!$D$10)</f>
        <v>0</v>
      </c>
      <c r="F13" s="156">
        <f>IF(B13&lt;=Assumptions!$D$15,($R13*$V$5+$S13*$V$6)/(1*10^6),0)</f>
        <v>0</v>
      </c>
      <c r="G13" s="157">
        <f>IF(B13&lt;=Assumptions!$D$15,($R13*$W$5+$S13*$W$6)/(1*10^6),0)</f>
        <v>0</v>
      </c>
      <c r="H13" s="158">
        <f>IF(B13&lt;=Assumptions!$D$15,($R13*$X$5+$S13*$X$6)/(1*10^6),0)</f>
        <v>0</v>
      </c>
      <c r="I13" s="82">
        <f t="shared" si="2"/>
        <v>0</v>
      </c>
      <c r="J13" s="122">
        <f t="shared" si="3"/>
        <v>0</v>
      </c>
      <c r="K13" s="83">
        <f t="shared" si="4"/>
        <v>0</v>
      </c>
      <c r="L13" s="124">
        <f t="shared" si="10"/>
        <v>0</v>
      </c>
      <c r="M13" s="159">
        <f>L13*(1+Assumptions!$D$24)^-(B13-Assumptions!$D$10)</f>
        <v>0</v>
      </c>
      <c r="N13" s="84">
        <f t="shared" si="6"/>
        <v>0</v>
      </c>
      <c r="O13" s="83">
        <f t="shared" si="7"/>
        <v>0</v>
      </c>
      <c r="Q13" s="53">
        <f t="shared" si="8"/>
        <v>2034</v>
      </c>
      <c r="R13" s="266">
        <f>(_xlfn.XLOOKUP($Q13,'VOC Savings'!$B$6:$B$25,'VOC Savings'!$I$6:$I$25,0,0,1)+_xlfn.XLOOKUP($Q13,VOC_Construction!$B$6:$B$7,VOC_Construction!$I$6:$I$7,0,0,1))*Assumptions!$D$19</f>
        <v>0</v>
      </c>
      <c r="S13" s="267">
        <f>(_xlfn.XLOOKUP($Q13,'VOC Savings'!$B$6:$B$25,'VOC Savings'!$I$6:$I$25,0,0,1)+_xlfn.XLOOKUP($Q13,VOC_Construction!$B$6:$B$7,VOC_Construction!$I$6:$I$7,0,0,1))*Assumptions!$D$18</f>
        <v>0</v>
      </c>
      <c r="U13" s="192">
        <f t="shared" ref="U13:U50" si="11">U12+1</f>
        <v>2025</v>
      </c>
      <c r="V13" s="193">
        <v>20300</v>
      </c>
      <c r="W13" s="193">
        <v>54800</v>
      </c>
      <c r="X13" s="193">
        <v>975500</v>
      </c>
      <c r="Y13" s="193">
        <v>237</v>
      </c>
      <c r="Z13" s="28"/>
      <c r="AA13" s="27">
        <v>52</v>
      </c>
      <c r="AB13" s="27" t="s">
        <v>77</v>
      </c>
      <c r="AC13" s="27" t="s">
        <v>76</v>
      </c>
      <c r="AD13" s="194">
        <v>0.95074648895471525</v>
      </c>
      <c r="AE13" s="194">
        <v>3.5321878667988801E-3</v>
      </c>
      <c r="AF13" s="194">
        <v>1.5158170819293781E-2</v>
      </c>
      <c r="AG13" s="194">
        <v>862.616489254057</v>
      </c>
    </row>
    <row r="14" spans="2:33" ht="17.25" customHeight="1" x14ac:dyDescent="0.25">
      <c r="B14" s="61">
        <f t="shared" si="9"/>
        <v>2035</v>
      </c>
      <c r="C14" s="103">
        <f>IF(B14&lt;=Assumptions!$D$15,($R14*$Y$5+$S14*$Y$6)/(1*10^6),0)</f>
        <v>0</v>
      </c>
      <c r="D14" s="170">
        <f t="shared" si="1"/>
        <v>0</v>
      </c>
      <c r="E14" s="271">
        <f>D14*(1+Assumptions!$D$25)^-($B14-Assumptions!$D$10)</f>
        <v>0</v>
      </c>
      <c r="F14" s="156">
        <f>IF(B14&lt;=Assumptions!$D$15,($R14*$V$5+$S14*$V$6)/(1*10^6),0)</f>
        <v>0</v>
      </c>
      <c r="G14" s="157">
        <f>IF(B14&lt;=Assumptions!$D$15,($R14*$W$5+$S14*$W$6)/(1*10^6),0)</f>
        <v>0</v>
      </c>
      <c r="H14" s="158">
        <f>IF(B14&lt;=Assumptions!$D$15,($R14*$X$5+$S14*$X$6)/(1*10^6),0)</f>
        <v>0</v>
      </c>
      <c r="I14" s="82">
        <f t="shared" si="2"/>
        <v>0</v>
      </c>
      <c r="J14" s="122">
        <f t="shared" si="3"/>
        <v>0</v>
      </c>
      <c r="K14" s="83">
        <f t="shared" si="4"/>
        <v>0</v>
      </c>
      <c r="L14" s="124">
        <f t="shared" si="10"/>
        <v>0</v>
      </c>
      <c r="M14" s="159">
        <f>L14*(1+Assumptions!$D$24)^-(B14-Assumptions!$D$10)</f>
        <v>0</v>
      </c>
      <c r="N14" s="84">
        <f t="shared" si="6"/>
        <v>0</v>
      </c>
      <c r="O14" s="83">
        <f t="shared" si="7"/>
        <v>0</v>
      </c>
      <c r="Q14" s="53">
        <f t="shared" si="8"/>
        <v>2035</v>
      </c>
      <c r="R14" s="266">
        <f>(_xlfn.XLOOKUP($Q14,'VOC Savings'!$B$6:$B$25,'VOC Savings'!$I$6:$I$25,0,0,1)+_xlfn.XLOOKUP($Q14,VOC_Construction!$B$6:$B$7,VOC_Construction!$I$6:$I$7,0,0,1))*Assumptions!$D$19</f>
        <v>0</v>
      </c>
      <c r="S14" s="267">
        <f>(_xlfn.XLOOKUP($Q14,'VOC Savings'!$B$6:$B$25,'VOC Savings'!$I$6:$I$25,0,0,1)+_xlfn.XLOOKUP($Q14,VOC_Construction!$B$6:$B$7,VOC_Construction!$I$6:$I$7,0,0,1))*Assumptions!$D$18</f>
        <v>0</v>
      </c>
      <c r="U14" s="192">
        <f t="shared" si="11"/>
        <v>2026</v>
      </c>
      <c r="V14" s="193">
        <v>20600</v>
      </c>
      <c r="W14" s="193">
        <v>56100</v>
      </c>
      <c r="X14" s="193">
        <v>993500</v>
      </c>
      <c r="Y14" s="193">
        <v>241</v>
      </c>
      <c r="AA14" s="27">
        <v>53</v>
      </c>
      <c r="AB14" s="27" t="s">
        <v>77</v>
      </c>
      <c r="AC14" s="27" t="s">
        <v>76</v>
      </c>
      <c r="AD14" s="194">
        <v>0.89067775827536644</v>
      </c>
      <c r="AE14" s="194">
        <v>3.4020765235606102E-3</v>
      </c>
      <c r="AF14" s="194">
        <v>1.349939126139434E-2</v>
      </c>
      <c r="AG14" s="194">
        <v>829.46088804247995</v>
      </c>
    </row>
    <row r="15" spans="2:33" ht="17.25" customHeight="1" x14ac:dyDescent="0.25">
      <c r="B15" s="61">
        <f t="shared" si="9"/>
        <v>2036</v>
      </c>
      <c r="C15" s="103">
        <f>IF(B15&lt;=Assumptions!$D$15,($R15*$Y$5+$S15*$Y$6)/(1*10^6),0)</f>
        <v>0</v>
      </c>
      <c r="D15" s="170">
        <f t="shared" si="1"/>
        <v>0</v>
      </c>
      <c r="E15" s="271">
        <f>D15*(1+Assumptions!$D$25)^-($B15-Assumptions!$D$10)</f>
        <v>0</v>
      </c>
      <c r="F15" s="156">
        <f>IF(B15&lt;=Assumptions!$D$15,($R15*$V$5+$S15*$V$6)/(1*10^6),0)</f>
        <v>0</v>
      </c>
      <c r="G15" s="157">
        <f>IF(B15&lt;=Assumptions!$D$15,($R15*$W$5+$S15*$W$6)/(1*10^6),0)</f>
        <v>0</v>
      </c>
      <c r="H15" s="158">
        <f>IF(B15&lt;=Assumptions!$D$15,($R15*$X$5+$S15*$X$6)/(1*10^6),0)</f>
        <v>0</v>
      </c>
      <c r="I15" s="82">
        <f t="shared" si="2"/>
        <v>0</v>
      </c>
      <c r="J15" s="122">
        <f t="shared" si="3"/>
        <v>0</v>
      </c>
      <c r="K15" s="83">
        <f t="shared" si="4"/>
        <v>0</v>
      </c>
      <c r="L15" s="124">
        <f t="shared" si="10"/>
        <v>0</v>
      </c>
      <c r="M15" s="159">
        <f>L15*(1+Assumptions!$D$24)^-(B15-Assumptions!$D$10)</f>
        <v>0</v>
      </c>
      <c r="N15" s="84">
        <f t="shared" si="6"/>
        <v>0</v>
      </c>
      <c r="O15" s="83">
        <f t="shared" si="7"/>
        <v>0</v>
      </c>
      <c r="Q15" s="53">
        <f t="shared" si="8"/>
        <v>2036</v>
      </c>
      <c r="R15" s="266">
        <f>(_xlfn.XLOOKUP($Q15,'VOC Savings'!$B$6:$B$25,'VOC Savings'!$I$6:$I$25,0,0,1)+_xlfn.XLOOKUP($Q15,VOC_Construction!$B$6:$B$7,VOC_Construction!$I$6:$I$7,0,0,1))*Assumptions!$D$19</f>
        <v>0</v>
      </c>
      <c r="S15" s="267">
        <f>(_xlfn.XLOOKUP($Q15,'VOC Savings'!$B$6:$B$25,'VOC Savings'!$I$6:$I$25,0,0,1)+_xlfn.XLOOKUP($Q15,VOC_Construction!$B$6:$B$7,VOC_Construction!$I$6:$I$7,0,0,1))*Assumptions!$D$18</f>
        <v>0</v>
      </c>
      <c r="U15" s="192">
        <f t="shared" si="11"/>
        <v>2027</v>
      </c>
      <c r="V15" s="193">
        <v>21000</v>
      </c>
      <c r="W15" s="193">
        <v>57400</v>
      </c>
      <c r="X15" s="193">
        <v>1011900</v>
      </c>
      <c r="Y15" s="193">
        <v>245</v>
      </c>
      <c r="AA15" s="27">
        <v>54</v>
      </c>
      <c r="AB15" s="27" t="s">
        <v>77</v>
      </c>
      <c r="AC15" s="27" t="s">
        <v>76</v>
      </c>
      <c r="AD15" s="194">
        <v>1.6481032166429217</v>
      </c>
      <c r="AE15" s="194">
        <v>6.0326542026046303E-3</v>
      </c>
      <c r="AF15" s="194">
        <v>4.2864875162321965E-2</v>
      </c>
      <c r="AG15" s="194">
        <v>1166.1048437433201</v>
      </c>
    </row>
    <row r="16" spans="2:33" ht="17.25" customHeight="1" x14ac:dyDescent="0.25">
      <c r="B16" s="61">
        <f t="shared" si="9"/>
        <v>2037</v>
      </c>
      <c r="C16" s="103">
        <f>IF(B16&lt;=Assumptions!$D$15,($R16*$Y$5+$S16*$Y$6)/(1*10^6),0)</f>
        <v>0</v>
      </c>
      <c r="D16" s="170">
        <f t="shared" si="1"/>
        <v>0</v>
      </c>
      <c r="E16" s="271">
        <f>D16*(1+Assumptions!$D$25)^-($B16-Assumptions!$D$10)</f>
        <v>0</v>
      </c>
      <c r="F16" s="156">
        <f>IF(B16&lt;=Assumptions!$D$15,($R16*$V$5+$S16*$V$6)/(1*10^6),0)</f>
        <v>0</v>
      </c>
      <c r="G16" s="157">
        <f>IF(B16&lt;=Assumptions!$D$15,($R16*$W$5+$S16*$W$6)/(1*10^6),0)</f>
        <v>0</v>
      </c>
      <c r="H16" s="158">
        <f>IF(B16&lt;=Assumptions!$D$15,($R16*$X$5+$S16*$X$6)/(1*10^6),0)</f>
        <v>0</v>
      </c>
      <c r="I16" s="82">
        <f t="shared" si="2"/>
        <v>0</v>
      </c>
      <c r="J16" s="122">
        <f t="shared" si="3"/>
        <v>0</v>
      </c>
      <c r="K16" s="83">
        <f t="shared" si="4"/>
        <v>0</v>
      </c>
      <c r="L16" s="124">
        <f t="shared" si="10"/>
        <v>0</v>
      </c>
      <c r="M16" s="159">
        <f>L16*(1+Assumptions!$D$24)^-(B16-Assumptions!$D$10)</f>
        <v>0</v>
      </c>
      <c r="N16" s="84">
        <f t="shared" si="6"/>
        <v>0</v>
      </c>
      <c r="O16" s="83">
        <f>M16+E16</f>
        <v>0</v>
      </c>
      <c r="Q16" s="53">
        <f t="shared" si="8"/>
        <v>2037</v>
      </c>
      <c r="R16" s="266">
        <f>(_xlfn.XLOOKUP($Q16,'VOC Savings'!$B$6:$B$25,'VOC Savings'!$I$6:$I$25,0,0,1)+_xlfn.XLOOKUP($Q16,VOC_Construction!$B$6:$B$7,VOC_Construction!$I$6:$I$7,0,0,1))*Assumptions!$D$19</f>
        <v>0</v>
      </c>
      <c r="S16" s="267">
        <f>(_xlfn.XLOOKUP($Q16,'VOC Savings'!$B$6:$B$25,'VOC Savings'!$I$6:$I$25,0,0,1)+_xlfn.XLOOKUP($Q16,VOC_Construction!$B$6:$B$7,VOC_Construction!$I$6:$I$7,0,0,1))*Assumptions!$D$18</f>
        <v>0</v>
      </c>
      <c r="U16" s="192">
        <f t="shared" si="11"/>
        <v>2028</v>
      </c>
      <c r="V16" s="193">
        <v>21300</v>
      </c>
      <c r="W16" s="193">
        <v>58700</v>
      </c>
      <c r="X16" s="193">
        <v>1030600</v>
      </c>
      <c r="Y16" s="193">
        <v>250</v>
      </c>
      <c r="AA16" s="27">
        <v>61</v>
      </c>
      <c r="AB16" s="27" t="s">
        <v>78</v>
      </c>
      <c r="AC16" s="27" t="s">
        <v>76</v>
      </c>
      <c r="AD16" s="194">
        <v>3.0234078113615883</v>
      </c>
      <c r="AE16" s="194">
        <v>4.9760807160904204E-3</v>
      </c>
      <c r="AF16" s="194">
        <v>4.3407648080982714E-2</v>
      </c>
      <c r="AG16" s="194">
        <v>1463.90880302132</v>
      </c>
    </row>
    <row r="17" spans="1:33" ht="17.25" customHeight="1" x14ac:dyDescent="0.25">
      <c r="B17" s="61">
        <f t="shared" si="9"/>
        <v>2038</v>
      </c>
      <c r="C17" s="103">
        <f>IF(B17&lt;=Assumptions!$D$15,($R17*$Y$5+$S17*$Y$6)/(1*10^6),0)</f>
        <v>0</v>
      </c>
      <c r="D17" s="170">
        <f t="shared" si="1"/>
        <v>0</v>
      </c>
      <c r="E17" s="271">
        <f>D17*(1+Assumptions!$D$25)^-($B17-Assumptions!$D$10)</f>
        <v>0</v>
      </c>
      <c r="F17" s="156">
        <f>IF(B17&lt;=Assumptions!$D$15,($R17*$V$5+$S17*$V$6)/(1*10^6),0)</f>
        <v>0</v>
      </c>
      <c r="G17" s="157">
        <f>IF(B17&lt;=Assumptions!$D$15,($R17*$W$5+$S17*$W$6)/(1*10^6),0)</f>
        <v>0</v>
      </c>
      <c r="H17" s="158">
        <f>IF(B17&lt;=Assumptions!$D$15,($R17*$X$5+$S17*$X$6)/(1*10^6),0)</f>
        <v>0</v>
      </c>
      <c r="I17" s="82">
        <f t="shared" si="2"/>
        <v>0</v>
      </c>
      <c r="J17" s="122">
        <f t="shared" si="3"/>
        <v>0</v>
      </c>
      <c r="K17" s="83">
        <f t="shared" si="4"/>
        <v>0</v>
      </c>
      <c r="L17" s="124">
        <f t="shared" si="10"/>
        <v>0</v>
      </c>
      <c r="M17" s="159">
        <f>L17*(1+Assumptions!$D$24)^-(B17-Assumptions!$D$10)</f>
        <v>0</v>
      </c>
      <c r="N17" s="84">
        <f t="shared" si="6"/>
        <v>0</v>
      </c>
      <c r="O17" s="83">
        <f t="shared" si="7"/>
        <v>0</v>
      </c>
      <c r="Q17" s="53">
        <f t="shared" si="8"/>
        <v>2038</v>
      </c>
      <c r="R17" s="266">
        <f>(_xlfn.XLOOKUP($Q17,'VOC Savings'!$B$6:$B$25,'VOC Savings'!$I$6:$I$25,0,0,1)+_xlfn.XLOOKUP($Q17,VOC_Construction!$B$6:$B$7,VOC_Construction!$I$6:$I$7,0,0,1))*Assumptions!$D$19</f>
        <v>0</v>
      </c>
      <c r="S17" s="267">
        <f>(_xlfn.XLOOKUP($Q17,'VOC Savings'!$B$6:$B$25,'VOC Savings'!$I$6:$I$25,0,0,1)+_xlfn.XLOOKUP($Q17,VOC_Construction!$B$6:$B$7,VOC_Construction!$I$6:$I$7,0,0,1))*Assumptions!$D$18</f>
        <v>0</v>
      </c>
      <c r="U17" s="192">
        <f t="shared" si="11"/>
        <v>2029</v>
      </c>
      <c r="V17" s="193">
        <v>21700</v>
      </c>
      <c r="W17" s="193">
        <v>60100</v>
      </c>
      <c r="X17" s="193">
        <v>1049600</v>
      </c>
      <c r="Y17" s="193">
        <v>253</v>
      </c>
      <c r="AA17" s="27">
        <v>62</v>
      </c>
      <c r="AB17" s="27" t="s">
        <v>78</v>
      </c>
      <c r="AC17" s="27" t="s">
        <v>76</v>
      </c>
      <c r="AD17" s="194">
        <v>3.7426725771679936</v>
      </c>
      <c r="AE17" s="194">
        <v>5.1160211102583997E-3</v>
      </c>
      <c r="AF17" s="194">
        <v>5.9310023601485649E-2</v>
      </c>
      <c r="AG17" s="194">
        <v>1528.79872430418</v>
      </c>
    </row>
    <row r="18" spans="1:33" ht="17.25" customHeight="1" x14ac:dyDescent="0.25">
      <c r="B18" s="61">
        <f t="shared" si="9"/>
        <v>2039</v>
      </c>
      <c r="C18" s="103">
        <f>IF(B18&lt;=Assumptions!$D$15,($R18*$Y$5+$S18*$Y$6)/(1*10^6),0)</f>
        <v>0</v>
      </c>
      <c r="D18" s="170">
        <f t="shared" si="1"/>
        <v>0</v>
      </c>
      <c r="E18" s="271">
        <f>D18*(1+Assumptions!$D$25)^-($B18-Assumptions!$D$10)</f>
        <v>0</v>
      </c>
      <c r="F18" s="156">
        <f>IF(B18&lt;=Assumptions!$D$15,($R18*$V$5+$S18*$V$6)/(1*10^6),0)</f>
        <v>0</v>
      </c>
      <c r="G18" s="157">
        <f>IF(B18&lt;=Assumptions!$D$15,($R18*$W$5+$S18*$W$6)/(1*10^6),0)</f>
        <v>0</v>
      </c>
      <c r="H18" s="158">
        <f>IF(B18&lt;=Assumptions!$D$15,($R18*$X$5+$S18*$X$6)/(1*10^6),0)</f>
        <v>0</v>
      </c>
      <c r="I18" s="82">
        <f t="shared" si="2"/>
        <v>0</v>
      </c>
      <c r="J18" s="122">
        <f t="shared" si="3"/>
        <v>0</v>
      </c>
      <c r="K18" s="83">
        <f t="shared" si="4"/>
        <v>0</v>
      </c>
      <c r="L18" s="124">
        <f t="shared" si="10"/>
        <v>0</v>
      </c>
      <c r="M18" s="159">
        <f>L18*(1+Assumptions!$D$24)^-(B18-Assumptions!$D$10)</f>
        <v>0</v>
      </c>
      <c r="N18" s="84">
        <f t="shared" si="6"/>
        <v>0</v>
      </c>
      <c r="O18" s="83">
        <f t="shared" si="7"/>
        <v>0</v>
      </c>
      <c r="Q18" s="53">
        <f t="shared" si="8"/>
        <v>2039</v>
      </c>
      <c r="R18" s="266">
        <f>(_xlfn.XLOOKUP($Q18,'VOC Savings'!$B$6:$B$25,'VOC Savings'!$I$6:$I$25,0,0,1)+_xlfn.XLOOKUP($Q18,VOC_Construction!$B$6:$B$7,VOC_Construction!$I$6:$I$7,0,0,1))*Assumptions!$D$19</f>
        <v>0</v>
      </c>
      <c r="S18" s="267">
        <f>(_xlfn.XLOOKUP($Q18,'VOC Savings'!$B$6:$B$25,'VOC Savings'!$I$6:$I$25,0,0,1)+_xlfn.XLOOKUP($Q18,VOC_Construction!$B$6:$B$7,VOC_Construction!$I$6:$I$7,0,0,1))*Assumptions!$D$18</f>
        <v>0</v>
      </c>
      <c r="U18" s="192">
        <f t="shared" si="11"/>
        <v>2030</v>
      </c>
      <c r="V18" s="193">
        <v>22000</v>
      </c>
      <c r="W18" s="193">
        <v>61500</v>
      </c>
      <c r="X18" s="193">
        <v>1069000</v>
      </c>
      <c r="Y18" s="193">
        <v>257</v>
      </c>
    </row>
    <row r="19" spans="1:33" ht="17.25" customHeight="1" x14ac:dyDescent="0.25">
      <c r="B19" s="61">
        <f t="shared" si="9"/>
        <v>2040</v>
      </c>
      <c r="C19" s="103">
        <f>IF(B19&lt;=Assumptions!$D$15,($R19*$Y$5+$S19*$Y$6)/(1*10^6),0)</f>
        <v>678.93509298788865</v>
      </c>
      <c r="D19" s="170">
        <f t="shared" si="1"/>
        <v>203001.59280337871</v>
      </c>
      <c r="E19" s="271">
        <f>D19*(1+Assumptions!$D$25)^-($B19-Assumptions!$D$10)</f>
        <v>142133.46833423962</v>
      </c>
      <c r="F19" s="156">
        <f>IF(B19&lt;=Assumptions!$D$15,($R19*$V$5+$S19*$V$6)/(1*10^6),0)</f>
        <v>0.60079782681448057</v>
      </c>
      <c r="G19" s="157">
        <f>IF(B19&lt;=Assumptions!$D$15,($R19*$W$5+$S19*$W$6)/(1*10^6),0)</f>
        <v>4.122003865090716E-3</v>
      </c>
      <c r="H19" s="158">
        <f>IF(B19&lt;=Assumptions!$D$15,($R19*$X$5+$S19*$X$6)/(1*10^6),0)</f>
        <v>1.3366465598040802E-2</v>
      </c>
      <c r="I19" s="82">
        <f t="shared" si="2"/>
        <v>13217.552189918573</v>
      </c>
      <c r="J19" s="122">
        <f t="shared" si="3"/>
        <v>253.50323770307904</v>
      </c>
      <c r="K19" s="83">
        <f t="shared" si="4"/>
        <v>14288.751724305617</v>
      </c>
      <c r="L19" s="124">
        <f t="shared" si="10"/>
        <v>27759.807151927271</v>
      </c>
      <c r="M19" s="159">
        <f>L19*(1+Assumptions!$D$24)^-(B19-Assumptions!$D$10)</f>
        <v>16023.613820604483</v>
      </c>
      <c r="N19" s="84">
        <f t="shared" si="6"/>
        <v>230761.39995530597</v>
      </c>
      <c r="O19" s="83">
        <f t="shared" si="7"/>
        <v>158157.0821548441</v>
      </c>
      <c r="Q19" s="53">
        <f t="shared" si="8"/>
        <v>2040</v>
      </c>
      <c r="R19" s="266">
        <f>(_xlfn.XLOOKUP($Q19,'VOC Savings'!$B$6:$B$25,'VOC Savings'!$I$6:$I$25,0,0,1)+_xlfn.XLOOKUP($Q19,VOC_Construction!$B$6:$B$7,VOC_Construction!$I$6:$I$7,0,0,1))*Assumptions!$D$19</f>
        <v>1775360</v>
      </c>
      <c r="S19" s="267">
        <f>(_xlfn.XLOOKUP($Q19,'VOC Savings'!$B$6:$B$25,'VOC Savings'!$I$6:$I$25,0,0,1)+_xlfn.XLOOKUP($Q19,VOC_Construction!$B$6:$B$7,VOC_Construction!$I$6:$I$7,0,0,1))*Assumptions!$D$18</f>
        <v>93440</v>
      </c>
      <c r="U19" s="192">
        <f t="shared" si="11"/>
        <v>2031</v>
      </c>
      <c r="V19" s="193">
        <v>22000</v>
      </c>
      <c r="W19" s="193">
        <v>61500</v>
      </c>
      <c r="X19" s="193">
        <v>1069000</v>
      </c>
      <c r="Y19" s="193">
        <v>262</v>
      </c>
      <c r="AA19" s="1" t="s">
        <v>88</v>
      </c>
    </row>
    <row r="20" spans="1:33" ht="17.25" customHeight="1" x14ac:dyDescent="0.25">
      <c r="B20" s="61">
        <f t="shared" si="9"/>
        <v>2041</v>
      </c>
      <c r="C20" s="103">
        <f>IF(B20&lt;=Assumptions!$D$15,($R20*$Y$5+$S20*$Y$6)/(1*10^6),0)</f>
        <v>683.48153334271217</v>
      </c>
      <c r="D20" s="170">
        <f t="shared" si="1"/>
        <v>207094.90460284179</v>
      </c>
      <c r="E20" s="271">
        <f>D20*(1+Assumptions!$D$25)^-($B20-Assumptions!$D$10)</f>
        <v>142156.31271106971</v>
      </c>
      <c r="F20" s="156">
        <f>IF(B20&lt;=Assumptions!$D$15,($R20*$V$5+$S20*$V$6)/(1*10^6),0)</f>
        <v>0.60482102654760783</v>
      </c>
      <c r="G20" s="157">
        <f>IF(B20&lt;=Assumptions!$D$15,($R20*$W$5+$S20*$W$6)/(1*10^6),0)</f>
        <v>4.1496065695444109E-3</v>
      </c>
      <c r="H20" s="158">
        <f>IF(B20&lt;=Assumptions!$D$15,($R20*$X$5+$S20*$X$6)/(1*10^6),0)</f>
        <v>1.3455973180170416E-2</v>
      </c>
      <c r="I20" s="82">
        <f t="shared" si="2"/>
        <v>13306.062584047373</v>
      </c>
      <c r="J20" s="122">
        <f t="shared" si="3"/>
        <v>255.20080402698127</v>
      </c>
      <c r="K20" s="83">
        <f t="shared" si="4"/>
        <v>14384.435329602175</v>
      </c>
      <c r="L20" s="124">
        <f t="shared" si="10"/>
        <v>27945.698717676529</v>
      </c>
      <c r="M20" s="159">
        <f>L20*(1+Assumptions!$D$24)^-(B20-Assumptions!$D$10)</f>
        <v>15645.89214937941</v>
      </c>
      <c r="N20" s="84">
        <f t="shared" si="6"/>
        <v>235040.60332051833</v>
      </c>
      <c r="O20" s="83">
        <f t="shared" si="7"/>
        <v>157802.20486044913</v>
      </c>
      <c r="Q20" s="53">
        <f t="shared" si="8"/>
        <v>2041</v>
      </c>
      <c r="R20" s="266">
        <f>(_xlfn.XLOOKUP($Q20,'VOC Savings'!$B$6:$B$25,'VOC Savings'!$I$6:$I$25,0,0,1)+_xlfn.XLOOKUP($Q20,VOC_Construction!$B$6:$B$7,VOC_Construction!$I$6:$I$7,0,0,1))*Assumptions!$D$19</f>
        <v>1787248.5714285551</v>
      </c>
      <c r="S20" s="267">
        <f>(_xlfn.XLOOKUP($Q20,'VOC Savings'!$B$6:$B$25,'VOC Savings'!$I$6:$I$25,0,0,1)+_xlfn.XLOOKUP($Q20,VOC_Construction!$B$6:$B$7,VOC_Construction!$I$6:$I$7,0,0,1))*Assumptions!$D$18</f>
        <v>94065.714285713446</v>
      </c>
      <c r="U20" s="192">
        <f t="shared" si="11"/>
        <v>2032</v>
      </c>
      <c r="V20" s="193">
        <v>22000</v>
      </c>
      <c r="W20" s="193">
        <v>61500</v>
      </c>
      <c r="X20" s="193">
        <v>1069000</v>
      </c>
      <c r="Y20" s="193">
        <v>265</v>
      </c>
      <c r="AA20" s="47" t="s">
        <v>64</v>
      </c>
      <c r="AB20" s="48" t="s">
        <v>65</v>
      </c>
      <c r="AC20" s="48" t="s">
        <v>66</v>
      </c>
      <c r="AD20" s="48" t="s">
        <v>67</v>
      </c>
      <c r="AE20" s="48" t="s">
        <v>68</v>
      </c>
    </row>
    <row r="21" spans="1:33" ht="17.25" customHeight="1" x14ac:dyDescent="0.25">
      <c r="B21" s="61">
        <f t="shared" si="9"/>
        <v>2042</v>
      </c>
      <c r="C21" s="103">
        <f>IF(B21&lt;=Assumptions!$D$15,($R21*$Y$5+$S21*$Y$6)/(1*10^6),0)</f>
        <v>688.02797369753546</v>
      </c>
      <c r="D21" s="170">
        <f t="shared" si="1"/>
        <v>211912.61589884092</v>
      </c>
      <c r="E21" s="271">
        <f>D21*(1+Assumptions!$D$25)^-($B21-Assumptions!$D$10)</f>
        <v>142611.11562385879</v>
      </c>
      <c r="F21" s="156">
        <f>IF(B21&lt;=Assumptions!$D$15,($R21*$V$5+$S21*$V$6)/(1*10^6),0)</f>
        <v>0.60884422628073509</v>
      </c>
      <c r="G21" s="157">
        <f>IF(B21&lt;=Assumptions!$D$15,($R21*$W$5+$S21*$W$6)/(1*10^6),0)</f>
        <v>4.1772092739981066E-3</v>
      </c>
      <c r="H21" s="158">
        <f>IF(B21&lt;=Assumptions!$D$15,($R21*$X$5+$S21*$X$6)/(1*10^6),0)</f>
        <v>1.3545480762300034E-2</v>
      </c>
      <c r="I21" s="82">
        <f t="shared" si="2"/>
        <v>13394.572978176171</v>
      </c>
      <c r="J21" s="122">
        <f t="shared" si="3"/>
        <v>256.89837035088357</v>
      </c>
      <c r="K21" s="83">
        <f t="shared" si="4"/>
        <v>14480.118934898737</v>
      </c>
      <c r="L21" s="124">
        <f t="shared" si="10"/>
        <v>28131.590283425794</v>
      </c>
      <c r="M21" s="159">
        <f>L21*(1+Assumptions!$D$24)^-(B21-Assumptions!$D$10)</f>
        <v>15276.398467503383</v>
      </c>
      <c r="N21" s="84">
        <f t="shared" si="6"/>
        <v>240044.2061822667</v>
      </c>
      <c r="O21" s="83">
        <f t="shared" si="7"/>
        <v>157887.51409136216</v>
      </c>
      <c r="Q21" s="53">
        <f t="shared" si="8"/>
        <v>2042</v>
      </c>
      <c r="R21" s="266">
        <f>(_xlfn.XLOOKUP($Q21,'VOC Savings'!$B$6:$B$25,'VOC Savings'!$I$6:$I$25,0,0,1)+_xlfn.XLOOKUP($Q21,VOC_Construction!$B$6:$B$7,VOC_Construction!$I$6:$I$7,0,0,1))*Assumptions!$D$19</f>
        <v>1799137.1428571104</v>
      </c>
      <c r="S21" s="267">
        <f>(_xlfn.XLOOKUP($Q21,'VOC Savings'!$B$6:$B$25,'VOC Savings'!$I$6:$I$25,0,0,1)+_xlfn.XLOOKUP($Q21,VOC_Construction!$B$6:$B$7,VOC_Construction!$I$6:$I$7,0,0,1))*Assumptions!$D$18</f>
        <v>94691.428571426877</v>
      </c>
      <c r="U21" s="192">
        <f t="shared" si="11"/>
        <v>2033</v>
      </c>
      <c r="V21" s="193">
        <v>22000</v>
      </c>
      <c r="W21" s="193">
        <v>61500</v>
      </c>
      <c r="X21" s="193">
        <v>1069000</v>
      </c>
      <c r="Y21" s="193">
        <v>270</v>
      </c>
      <c r="AA21" s="20" t="s">
        <v>72</v>
      </c>
      <c r="AB21" s="215">
        <f>AVERAGE(AD5:AD8)</f>
        <v>0.22790983982547491</v>
      </c>
      <c r="AC21" s="215">
        <f>AVERAGE(AE5:AE8)</f>
        <v>2.0699004398994176E-3</v>
      </c>
      <c r="AD21" s="215">
        <f>AVERAGE(AF5:AF8)</f>
        <v>5.8180715878192544E-3</v>
      </c>
      <c r="AE21" s="215">
        <f>AVERAGE(AG5:AG8)</f>
        <v>317.22468262036</v>
      </c>
    </row>
    <row r="22" spans="1:33" ht="17.25" customHeight="1" x14ac:dyDescent="0.25">
      <c r="B22" s="61">
        <f t="shared" si="9"/>
        <v>2043</v>
      </c>
      <c r="C22" s="103">
        <f>IF(B22&lt;=Assumptions!$D$15,($R22*$Y$5+$S22*$Y$6)/(1*10^6),0)</f>
        <v>692.57441405236989</v>
      </c>
      <c r="D22" s="170">
        <f t="shared" si="1"/>
        <v>216083.21718433942</v>
      </c>
      <c r="E22" s="271">
        <f>D22*(1+Assumptions!$D$25)^-($B22-Assumptions!$D$10)</f>
        <v>142566.48110864987</v>
      </c>
      <c r="F22" s="156">
        <f>IF(B22&lt;=Assumptions!$D$15,($R22*$V$5+$S22*$V$6)/(1*10^6),0)</f>
        <v>0.61286742601387179</v>
      </c>
      <c r="G22" s="157">
        <f>IF(B22&lt;=Assumptions!$D$15,($R22*$W$5+$S22*$W$6)/(1*10^6),0)</f>
        <v>4.2048119784518665E-3</v>
      </c>
      <c r="H22" s="158">
        <f>IF(B22&lt;=Assumptions!$D$15,($R22*$X$5+$S22*$X$6)/(1*10^6),0)</f>
        <v>1.3634988344429864E-2</v>
      </c>
      <c r="I22" s="82">
        <f t="shared" si="2"/>
        <v>13483.08337230518</v>
      </c>
      <c r="J22" s="122">
        <f t="shared" si="3"/>
        <v>258.59593667478981</v>
      </c>
      <c r="K22" s="83">
        <f t="shared" si="4"/>
        <v>14575.802540195524</v>
      </c>
      <c r="L22" s="124">
        <f t="shared" si="10"/>
        <v>28317.481849175492</v>
      </c>
      <c r="M22" s="159">
        <f>L22*(1+Assumptions!$D$24)^-(B22-Assumptions!$D$10)</f>
        <v>14914.979468308626</v>
      </c>
      <c r="N22" s="84">
        <f t="shared" si="6"/>
        <v>244400.69903351492</v>
      </c>
      <c r="O22" s="83">
        <f t="shared" si="7"/>
        <v>157481.46057695849</v>
      </c>
      <c r="Q22" s="53">
        <f t="shared" si="8"/>
        <v>2043</v>
      </c>
      <c r="R22" s="266">
        <f>(_xlfn.XLOOKUP($Q22,'VOC Savings'!$B$6:$B$25,'VOC Savings'!$I$6:$I$25,0,0,1)+_xlfn.XLOOKUP($Q22,VOC_Construction!$B$6:$B$7,VOC_Construction!$I$6:$I$7,0,0,1))*Assumptions!$D$19</f>
        <v>1811025.7142856941</v>
      </c>
      <c r="S22" s="267">
        <f>(_xlfn.XLOOKUP($Q22,'VOC Savings'!$B$6:$B$25,'VOC Savings'!$I$6:$I$25,0,0,1)+_xlfn.XLOOKUP($Q22,VOC_Construction!$B$6:$B$7,VOC_Construction!$I$6:$I$7,0,0,1))*Assumptions!$D$18</f>
        <v>95317.142857141793</v>
      </c>
      <c r="U22" s="192">
        <f t="shared" si="11"/>
        <v>2034</v>
      </c>
      <c r="V22" s="193">
        <v>22000</v>
      </c>
      <c r="W22" s="193">
        <v>61500</v>
      </c>
      <c r="X22" s="193">
        <v>1069000</v>
      </c>
      <c r="Y22" s="193">
        <v>274</v>
      </c>
      <c r="AA22" s="20" t="s">
        <v>54</v>
      </c>
      <c r="AB22" s="215">
        <f>AVERAGE(AD9:AD17)</f>
        <v>2.099484306313415</v>
      </c>
      <c r="AC22" s="215">
        <f>AVERAGE(AE9:AE17)</f>
        <v>4.7858028693373951E-3</v>
      </c>
      <c r="AD22" s="215">
        <f>AVERAGE(AF9:AF17)</f>
        <v>3.2505287070740692E-2</v>
      </c>
      <c r="AE22" s="215">
        <f>AVERAGE(AG9:AG17)</f>
        <v>1238.7315972924489</v>
      </c>
    </row>
    <row r="23" spans="1:33" ht="17.25" customHeight="1" x14ac:dyDescent="0.25">
      <c r="B23" s="61">
        <f t="shared" si="9"/>
        <v>2044</v>
      </c>
      <c r="C23" s="103">
        <f>IF(B23&lt;=Assumptions!$D$15,($R23*$Y$5+$S23*$Y$6)/(1*10^6),0)</f>
        <v>697.12085440719318</v>
      </c>
      <c r="D23" s="170">
        <f t="shared" si="1"/>
        <v>220987.31084708023</v>
      </c>
      <c r="E23" s="271">
        <f>D23*(1+Assumptions!$D$25)^-($B23-Assumptions!$D$10)</f>
        <v>142943.21912795494</v>
      </c>
      <c r="F23" s="156">
        <f>IF(B23&lt;=Assumptions!$D$15,($R23*$V$5+$S23*$V$6)/(1*10^6),0)</f>
        <v>0.61689062574699893</v>
      </c>
      <c r="G23" s="157">
        <f>IF(B23&lt;=Assumptions!$D$15,($R23*$W$5+$S23*$W$6)/(1*10^6),0)</f>
        <v>4.2324146829055614E-3</v>
      </c>
      <c r="H23" s="158">
        <f>IF(B23&lt;=Assumptions!$D$15,($R23*$X$5+$S23*$X$6)/(1*10^6),0)</f>
        <v>1.3724495926559476E-2</v>
      </c>
      <c r="I23" s="82">
        <f t="shared" si="2"/>
        <v>13571.593766433976</v>
      </c>
      <c r="J23" s="122">
        <f t="shared" si="3"/>
        <v>260.29350299869202</v>
      </c>
      <c r="K23" s="83">
        <f t="shared" si="4"/>
        <v>14671.486145492081</v>
      </c>
      <c r="L23" s="124">
        <f t="shared" si="10"/>
        <v>28503.373414924747</v>
      </c>
      <c r="M23" s="159">
        <f>L23*(1+Assumptions!$D$24)^-(B23-Assumptions!$D$10)</f>
        <v>14561.483625597522</v>
      </c>
      <c r="N23" s="84">
        <f t="shared" si="6"/>
        <v>249490.68426200497</v>
      </c>
      <c r="O23" s="83">
        <f t="shared" si="7"/>
        <v>157504.70275355247</v>
      </c>
      <c r="Q23" s="53">
        <f t="shared" si="8"/>
        <v>2044</v>
      </c>
      <c r="R23" s="266">
        <f>(_xlfn.XLOOKUP($Q23,'VOC Savings'!$B$6:$B$25,'VOC Savings'!$I$6:$I$25,0,0,1)+_xlfn.XLOOKUP($Q23,VOC_Construction!$B$6:$B$7,VOC_Construction!$I$6:$I$7,0,0,1))*Assumptions!$D$19</f>
        <v>1822914.2857142491</v>
      </c>
      <c r="S23" s="267">
        <f>(_xlfn.XLOOKUP($Q23,'VOC Savings'!$B$6:$B$25,'VOC Savings'!$I$6:$I$25,0,0,1)+_xlfn.XLOOKUP($Q23,VOC_Construction!$B$6:$B$7,VOC_Construction!$I$6:$I$7,0,0,1))*Assumptions!$D$18</f>
        <v>95942.857142855239</v>
      </c>
      <c r="U23" s="192">
        <f t="shared" si="11"/>
        <v>2035</v>
      </c>
      <c r="V23" s="193">
        <v>22000</v>
      </c>
      <c r="W23" s="193">
        <v>61500</v>
      </c>
      <c r="X23" s="193">
        <v>1069000</v>
      </c>
      <c r="Y23" s="193">
        <v>278</v>
      </c>
    </row>
    <row r="24" spans="1:33" ht="17.25" customHeight="1" x14ac:dyDescent="0.25">
      <c r="B24" s="61">
        <f t="shared" si="9"/>
        <v>2045</v>
      </c>
      <c r="C24" s="103">
        <f>IF(B24&lt;=Assumptions!$D$15,($R24*$Y$5+$S24*$Y$6)/(1*10^6),0)</f>
        <v>701.66729476203818</v>
      </c>
      <c r="D24" s="170">
        <f t="shared" si="1"/>
        <v>225235.20161861426</v>
      </c>
      <c r="E24" s="271">
        <f>D24*(1+Assumptions!$D$25)^-($B24-Assumptions!$D$10)</f>
        <v>142834.2359802612</v>
      </c>
      <c r="F24" s="156">
        <f>IF(B24&lt;=Assumptions!$D$15,($R24*$V$5+$S24*$V$6)/(1*10^6),0)</f>
        <v>0.6209138254801454</v>
      </c>
      <c r="G24" s="157">
        <f>IF(B24&lt;=Assumptions!$D$15,($R24*$W$5+$S24*$W$6)/(1*10^6),0)</f>
        <v>4.2600173873593872E-3</v>
      </c>
      <c r="H24" s="158">
        <f>IF(B24&lt;=Assumptions!$D$15,($R24*$X$5+$S24*$X$6)/(1*10^6),0)</f>
        <v>1.3814003508689519E-2</v>
      </c>
      <c r="I24" s="82">
        <f t="shared" si="2"/>
        <v>13660.104160563198</v>
      </c>
      <c r="J24" s="122">
        <f t="shared" si="3"/>
        <v>261.9910693226023</v>
      </c>
      <c r="K24" s="83">
        <f t="shared" si="4"/>
        <v>14767.169750789097</v>
      </c>
      <c r="L24" s="124">
        <f t="shared" si="10"/>
        <v>28689.264980674896</v>
      </c>
      <c r="M24" s="159">
        <f>L24*(1+Assumptions!$D$24)^-(B24-Assumptions!$D$10)</f>
        <v>14215.761225175647</v>
      </c>
      <c r="N24" s="84">
        <f t="shared" si="6"/>
        <v>253924.46659928915</v>
      </c>
      <c r="O24" s="83">
        <f t="shared" si="7"/>
        <v>157049.99720543684</v>
      </c>
      <c r="Q24" s="53">
        <f t="shared" si="8"/>
        <v>2045</v>
      </c>
      <c r="R24" s="266">
        <f>(_xlfn.XLOOKUP($Q24,'VOC Savings'!$B$6:$B$25,'VOC Savings'!$I$6:$I$25,0,0,1)+_xlfn.XLOOKUP($Q24,VOC_Construction!$B$6:$B$7,VOC_Construction!$I$6:$I$7,0,0,1))*Assumptions!$D$19</f>
        <v>1834802.857142861</v>
      </c>
      <c r="S24" s="267">
        <f>(_xlfn.XLOOKUP($Q24,'VOC Savings'!$B$6:$B$25,'VOC Savings'!$I$6:$I$25,0,0,1)+_xlfn.XLOOKUP($Q24,VOC_Construction!$B$6:$B$7,VOC_Construction!$I$6:$I$7,0,0,1))*Assumptions!$D$18</f>
        <v>96568.571428571653</v>
      </c>
      <c r="U24" s="192">
        <f t="shared" si="11"/>
        <v>2036</v>
      </c>
      <c r="V24" s="193">
        <v>22000</v>
      </c>
      <c r="W24" s="193">
        <v>61500</v>
      </c>
      <c r="X24" s="193">
        <v>1069000</v>
      </c>
      <c r="Y24" s="193">
        <v>282</v>
      </c>
    </row>
    <row r="25" spans="1:33" ht="17.25" customHeight="1" x14ac:dyDescent="0.25">
      <c r="B25" s="61">
        <f t="shared" si="9"/>
        <v>2046</v>
      </c>
      <c r="C25" s="103">
        <f>IF(B25&lt;=Assumptions!$D$15,($R25*$Y$5+$S25*$Y$6)/(1*10^6),0)</f>
        <v>706.2137351168617</v>
      </c>
      <c r="D25" s="122">
        <f t="shared" si="1"/>
        <v>230225.67764809693</v>
      </c>
      <c r="E25" s="123">
        <f>D25*(1+Assumptions!$D$25)^-($B25-Assumptions!$D$10)</f>
        <v>143136.25086910368</v>
      </c>
      <c r="F25" s="156">
        <f>IF(B25&lt;=Assumptions!$D$15,($R25*$V$5+$S25*$V$6)/(1*10^6),0)</f>
        <v>0.62493702521327255</v>
      </c>
      <c r="G25" s="157">
        <f>IF(B25&lt;=Assumptions!$D$15,($R25*$W$5+$S25*$W$6)/(1*10^6),0)</f>
        <v>4.287620091813083E-3</v>
      </c>
      <c r="H25" s="158">
        <f>IF(B25&lt;=Assumptions!$D$15,($R25*$X$5+$S25*$X$6)/(1*10^6),0)</f>
        <v>1.3903511090819134E-2</v>
      </c>
      <c r="I25" s="82">
        <f t="shared" si="2"/>
        <v>13748.614554691996</v>
      </c>
      <c r="J25" s="122">
        <f t="shared" si="3"/>
        <v>263.68863564650462</v>
      </c>
      <c r="K25" s="83">
        <f t="shared" si="4"/>
        <v>14862.853356085654</v>
      </c>
      <c r="L25" s="124">
        <f t="shared" si="10"/>
        <v>28875.156546424154</v>
      </c>
      <c r="M25" s="159">
        <f>L25*(1+Assumptions!$D$24)^-(B25-Assumptions!$D$10)</f>
        <v>13877.664392874443</v>
      </c>
      <c r="N25" s="84">
        <f t="shared" si="6"/>
        <v>259100.83419452107</v>
      </c>
      <c r="O25" s="83">
        <f t="shared" si="7"/>
        <v>157013.91526197811</v>
      </c>
      <c r="Q25" s="53">
        <f t="shared" si="8"/>
        <v>2046</v>
      </c>
      <c r="R25" s="266">
        <f>(_xlfn.XLOOKUP($Q25,'VOC Savings'!$B$6:$B$25,'VOC Savings'!$I$6:$I$25,0,0,1)+_xlfn.XLOOKUP($Q25,VOC_Construction!$B$6:$B$7,VOC_Construction!$I$6:$I$7,0,0,1))*Assumptions!$D$19</f>
        <v>1846691.4285714163</v>
      </c>
      <c r="S25" s="267">
        <f>(_xlfn.XLOOKUP($Q25,'VOC Savings'!$B$6:$B$25,'VOC Savings'!$I$6:$I$25,0,0,1)+_xlfn.XLOOKUP($Q25,VOC_Construction!$B$6:$B$7,VOC_Construction!$I$6:$I$7,0,0,1))*Assumptions!$D$18</f>
        <v>97194.285714285084</v>
      </c>
      <c r="U25" s="192">
        <f t="shared" si="11"/>
        <v>2037</v>
      </c>
      <c r="V25" s="193">
        <v>22000</v>
      </c>
      <c r="W25" s="193">
        <v>61500</v>
      </c>
      <c r="X25" s="193">
        <v>1069000</v>
      </c>
      <c r="Y25" s="193">
        <v>287</v>
      </c>
    </row>
    <row r="26" spans="1:33" ht="17.25" customHeight="1" x14ac:dyDescent="0.25">
      <c r="B26" s="61">
        <f t="shared" si="9"/>
        <v>2047</v>
      </c>
      <c r="C26" s="103">
        <f>IF(B26&lt;=Assumptions!$D$15,($R26*$Y$5+$S26*$Y$6)/(1*10^6),0)</f>
        <v>710.76017547169602</v>
      </c>
      <c r="D26" s="170">
        <f t="shared" si="1"/>
        <v>235261.61808113137</v>
      </c>
      <c r="E26" s="271">
        <f>D26*(1+Assumptions!$D$25)^-($B26-Assumptions!$D$10)</f>
        <v>143399.2188708836</v>
      </c>
      <c r="F26" s="156">
        <f>IF(B26&lt;=Assumptions!$D$15,($R26*$V$5+$S26*$V$6)/(1*10^6),0)</f>
        <v>0.62896022494640946</v>
      </c>
      <c r="G26" s="157">
        <f>IF(B26&lt;=Assumptions!$D$15,($R26*$W$5+$S26*$W$6)/(1*10^6),0)</f>
        <v>4.3152227962668438E-3</v>
      </c>
      <c r="H26" s="158">
        <f>IF(B26&lt;=Assumptions!$D$15,($R26*$X$5+$S26*$X$6)/(1*10^6),0)</f>
        <v>1.3993018672948963E-2</v>
      </c>
      <c r="I26" s="82">
        <f t="shared" si="2"/>
        <v>13837.124948821009</v>
      </c>
      <c r="J26" s="122">
        <f t="shared" si="3"/>
        <v>265.38620197041087</v>
      </c>
      <c r="K26" s="83">
        <f t="shared" si="4"/>
        <v>14958.536961382442</v>
      </c>
      <c r="L26" s="124">
        <f t="shared" si="10"/>
        <v>29061.048112173863</v>
      </c>
      <c r="M26" s="159">
        <f>L26*(1+Assumptions!$D$24)^-(B26-Assumptions!$D$10)</f>
        <v>13547.047119256187</v>
      </c>
      <c r="N26" s="84">
        <f t="shared" si="6"/>
        <v>264322.66619330522</v>
      </c>
      <c r="O26" s="83">
        <f t="shared" si="7"/>
        <v>156946.2659901398</v>
      </c>
      <c r="Q26" s="53">
        <f t="shared" si="8"/>
        <v>2047</v>
      </c>
      <c r="R26" s="266">
        <f>(_xlfn.XLOOKUP($Q26,'VOC Savings'!$B$6:$B$25,'VOC Savings'!$I$6:$I$25,0,0,1)+_xlfn.XLOOKUP($Q26,VOC_Construction!$B$6:$B$7,VOC_Construction!$I$6:$I$7,0,0,1))*Assumptions!$D$19</f>
        <v>1858580</v>
      </c>
      <c r="S26" s="267">
        <f>(_xlfn.XLOOKUP($Q26,'VOC Savings'!$B$6:$B$25,'VOC Savings'!$I$6:$I$25,0,0,1)+_xlfn.XLOOKUP($Q26,VOC_Construction!$B$6:$B$7,VOC_Construction!$I$6:$I$7,0,0,1))*Assumptions!$D$18</f>
        <v>97820</v>
      </c>
      <c r="U26" s="192">
        <f t="shared" si="11"/>
        <v>2038</v>
      </c>
      <c r="V26" s="193">
        <v>22000</v>
      </c>
      <c r="W26" s="193">
        <v>61500</v>
      </c>
      <c r="X26" s="193">
        <v>1069000</v>
      </c>
      <c r="Y26" s="193">
        <v>290</v>
      </c>
    </row>
    <row r="27" spans="1:33" ht="17.25" customHeight="1" thickBot="1" x14ac:dyDescent="0.3">
      <c r="A27" s="2"/>
      <c r="B27" s="62">
        <f t="shared" si="9"/>
        <v>2048</v>
      </c>
      <c r="C27" s="107">
        <f>IF(B27&lt;=Assumptions!$D$15,($R27*$Y$5+$S27*$Y$6)/(1*10^6),0)</f>
        <v>715.30661582651953</v>
      </c>
      <c r="D27" s="241">
        <f t="shared" si="1"/>
        <v>240343.02291771056</v>
      </c>
      <c r="E27" s="346">
        <f>D27*(1+Assumptions!$D$25)^-($B27-Assumptions!$D$10)</f>
        <v>143624.01174944147</v>
      </c>
      <c r="F27" s="162">
        <f>IF(B27&lt;=Assumptions!$D$15,($R27*$V$5+$S27*$V$6)/(1*10^6),0)</f>
        <v>0.63298342467953661</v>
      </c>
      <c r="G27" s="163">
        <f>IF(B27&lt;=Assumptions!$D$15,($R27*$W$5+$S27*$W$6)/(1*10^6),0)</f>
        <v>4.3428255007205378E-3</v>
      </c>
      <c r="H27" s="164">
        <f>IF(B27&lt;=Assumptions!$D$15,($R27*$X$5+$S27*$X$6)/(1*10^6),0)</f>
        <v>1.408252625507858E-2</v>
      </c>
      <c r="I27" s="85">
        <f t="shared" si="2"/>
        <v>13925.635342949805</v>
      </c>
      <c r="J27" s="126">
        <f t="shared" si="3"/>
        <v>267.08376829431307</v>
      </c>
      <c r="K27" s="86">
        <f t="shared" si="4"/>
        <v>15054.220566679001</v>
      </c>
      <c r="L27" s="128">
        <f t="shared" si="10"/>
        <v>29246.939677923117</v>
      </c>
      <c r="M27" s="165">
        <f>L27*(1+Assumptions!$D$24)^-(B27-Assumptions!$D$10)</f>
        <v>13223.765281164218</v>
      </c>
      <c r="N27" s="87">
        <f t="shared" si="6"/>
        <v>269589.9625956337</v>
      </c>
      <c r="O27" s="86">
        <f t="shared" si="7"/>
        <v>156847.77703060571</v>
      </c>
      <c r="Q27" s="54">
        <f t="shared" si="8"/>
        <v>2048</v>
      </c>
      <c r="R27" s="268">
        <f>(_xlfn.XLOOKUP($Q27,'VOC Savings'!$B$6:$B$25,'VOC Savings'!$I$6:$I$25,0,0,1)+_xlfn.XLOOKUP($Q27,VOC_Construction!$B$6:$B$7,VOC_Construction!$I$6:$I$7,0,0,1))*Assumptions!$D$19</f>
        <v>1870468.5714285551</v>
      </c>
      <c r="S27" s="269">
        <f>(_xlfn.XLOOKUP($Q27,'VOC Savings'!$B$6:$B$25,'VOC Savings'!$I$6:$I$25,0,0,1)+_xlfn.XLOOKUP($Q27,VOC_Construction!$B$6:$B$7,VOC_Construction!$I$6:$I$7,0,0,1))*Assumptions!$D$18</f>
        <v>98445.714285713446</v>
      </c>
      <c r="U27" s="192">
        <f t="shared" si="11"/>
        <v>2039</v>
      </c>
      <c r="V27" s="193">
        <v>22000</v>
      </c>
      <c r="W27" s="193">
        <v>61500</v>
      </c>
      <c r="X27" s="193">
        <v>1069000</v>
      </c>
      <c r="Y27" s="193">
        <v>294</v>
      </c>
    </row>
    <row r="28" spans="1:33" ht="17.25" customHeight="1" thickBot="1" x14ac:dyDescent="0.3">
      <c r="B28" s="14"/>
      <c r="C28" s="225"/>
      <c r="D28" s="227"/>
      <c r="E28" s="227"/>
      <c r="F28" s="225"/>
      <c r="G28" s="225"/>
      <c r="H28" s="225"/>
      <c r="I28" s="226"/>
      <c r="J28" s="226"/>
      <c r="K28" s="226"/>
      <c r="L28" s="202" t="s">
        <v>139</v>
      </c>
      <c r="M28" s="88">
        <f>SUM(M6:M27)</f>
        <v>112765.30533082697</v>
      </c>
      <c r="N28" s="202" t="s">
        <v>139</v>
      </c>
      <c r="O28" s="278">
        <f>SUM(O6:O27)</f>
        <v>1273742.2488407735</v>
      </c>
      <c r="U28" s="192">
        <f t="shared" si="11"/>
        <v>2040</v>
      </c>
      <c r="V28" s="193">
        <v>22000</v>
      </c>
      <c r="W28" s="193">
        <v>61500</v>
      </c>
      <c r="X28" s="193">
        <v>1069000</v>
      </c>
      <c r="Y28" s="193">
        <v>299</v>
      </c>
    </row>
    <row r="29" spans="1:33" ht="17.25" customHeight="1" x14ac:dyDescent="0.25">
      <c r="L29" s="67"/>
      <c r="M29" s="166"/>
      <c r="N29" s="67"/>
      <c r="O29" s="167"/>
      <c r="U29" s="192">
        <f t="shared" si="11"/>
        <v>2041</v>
      </c>
      <c r="V29" s="193">
        <v>22000</v>
      </c>
      <c r="W29" s="193">
        <v>61500</v>
      </c>
      <c r="X29" s="193">
        <v>1069000</v>
      </c>
      <c r="Y29" s="193">
        <v>303</v>
      </c>
    </row>
    <row r="30" spans="1:33" ht="17.25" customHeight="1" x14ac:dyDescent="0.25">
      <c r="B30" s="1" t="s">
        <v>2</v>
      </c>
      <c r="C30" s="1"/>
      <c r="D30" s="1"/>
      <c r="E30" s="1"/>
      <c r="M30" s="40"/>
      <c r="N30" s="40"/>
      <c r="O30" s="40"/>
      <c r="U30" s="192">
        <f t="shared" si="11"/>
        <v>2042</v>
      </c>
      <c r="V30" s="193">
        <v>22000</v>
      </c>
      <c r="W30" s="193">
        <v>61500</v>
      </c>
      <c r="X30" s="193">
        <v>1069000</v>
      </c>
      <c r="Y30" s="193">
        <v>308</v>
      </c>
    </row>
    <row r="31" spans="1:33" ht="17.25" customHeight="1" x14ac:dyDescent="0.25">
      <c r="A31" s="2" t="s">
        <v>14</v>
      </c>
      <c r="B31" s="406" t="s">
        <v>892</v>
      </c>
      <c r="C31" s="406"/>
      <c r="D31" s="406"/>
      <c r="E31" s="406"/>
      <c r="F31" s="406"/>
      <c r="G31" s="406"/>
      <c r="H31" s="406"/>
      <c r="I31" s="406"/>
      <c r="J31" s="406"/>
      <c r="K31" s="35"/>
      <c r="L31" s="35"/>
      <c r="U31" s="192">
        <f t="shared" si="11"/>
        <v>2043</v>
      </c>
      <c r="V31" s="193">
        <v>22000</v>
      </c>
      <c r="W31" s="193">
        <v>61500</v>
      </c>
      <c r="X31" s="193">
        <v>1069000</v>
      </c>
      <c r="Y31" s="193">
        <v>312</v>
      </c>
    </row>
    <row r="32" spans="1:33" ht="17.25" customHeight="1" x14ac:dyDescent="0.25">
      <c r="B32" s="406"/>
      <c r="C32" s="406"/>
      <c r="D32" s="406"/>
      <c r="E32" s="406"/>
      <c r="F32" s="406"/>
      <c r="G32" s="406"/>
      <c r="H32" s="406"/>
      <c r="I32" s="406"/>
      <c r="J32" s="406"/>
      <c r="K32" s="35"/>
      <c r="L32" s="35"/>
      <c r="U32" s="192">
        <f t="shared" si="11"/>
        <v>2044</v>
      </c>
      <c r="V32" s="193">
        <v>22000</v>
      </c>
      <c r="W32" s="193">
        <v>61500</v>
      </c>
      <c r="X32" s="193">
        <v>1069000</v>
      </c>
      <c r="Y32" s="193">
        <v>317</v>
      </c>
    </row>
    <row r="33" spans="1:27" ht="17.25" customHeight="1" x14ac:dyDescent="0.25">
      <c r="B33" s="35"/>
      <c r="C33" s="35"/>
      <c r="D33" s="35"/>
      <c r="E33" s="35"/>
      <c r="F33" s="35"/>
      <c r="G33" s="35"/>
      <c r="H33" s="35"/>
      <c r="I33" s="35"/>
      <c r="J33" s="35"/>
      <c r="K33" s="35"/>
      <c r="L33" s="35"/>
      <c r="U33" s="192">
        <f t="shared" si="11"/>
        <v>2045</v>
      </c>
      <c r="V33" s="193">
        <v>22000</v>
      </c>
      <c r="W33" s="193">
        <v>61500</v>
      </c>
      <c r="X33" s="193">
        <v>1069000</v>
      </c>
      <c r="Y33" s="193">
        <v>321</v>
      </c>
    </row>
    <row r="34" spans="1:27" ht="17.25" customHeight="1" x14ac:dyDescent="0.25">
      <c r="A34" s="2" t="s">
        <v>15</v>
      </c>
      <c r="B34" s="441" t="s">
        <v>200</v>
      </c>
      <c r="C34" s="441"/>
      <c r="D34" s="441"/>
      <c r="E34" s="441"/>
      <c r="F34" s="441"/>
      <c r="G34" s="441"/>
      <c r="H34" s="441"/>
      <c r="I34" s="441"/>
      <c r="J34" s="441"/>
      <c r="K34" s="7"/>
      <c r="L34" s="43"/>
      <c r="U34" s="192">
        <f t="shared" si="11"/>
        <v>2046</v>
      </c>
      <c r="V34" s="193">
        <v>22000</v>
      </c>
      <c r="W34" s="193">
        <v>61500</v>
      </c>
      <c r="X34" s="193">
        <v>1069000</v>
      </c>
      <c r="Y34" s="193">
        <v>326</v>
      </c>
    </row>
    <row r="35" spans="1:27" ht="17.25" customHeight="1" x14ac:dyDescent="0.25">
      <c r="B35" s="7"/>
      <c r="C35" s="7"/>
      <c r="D35" s="7"/>
      <c r="E35" s="7"/>
      <c r="F35" s="7"/>
      <c r="G35" s="7"/>
      <c r="H35" s="7"/>
      <c r="I35" s="7"/>
      <c r="J35" s="7"/>
      <c r="K35" s="7"/>
      <c r="L35" s="7"/>
      <c r="U35" s="192">
        <f t="shared" si="11"/>
        <v>2047</v>
      </c>
      <c r="V35" s="193">
        <v>22000</v>
      </c>
      <c r="W35" s="193">
        <v>61500</v>
      </c>
      <c r="X35" s="193">
        <v>1069000</v>
      </c>
      <c r="Y35" s="193">
        <v>331</v>
      </c>
    </row>
    <row r="36" spans="1:27" ht="17.25" customHeight="1" x14ac:dyDescent="0.25">
      <c r="L36" s="7"/>
      <c r="M36" s="52"/>
      <c r="U36" s="192">
        <f t="shared" si="11"/>
        <v>2048</v>
      </c>
      <c r="V36" s="193">
        <v>22000</v>
      </c>
      <c r="W36" s="193">
        <v>61500</v>
      </c>
      <c r="X36" s="193">
        <v>1069000</v>
      </c>
      <c r="Y36" s="193">
        <v>336</v>
      </c>
    </row>
    <row r="37" spans="1:27" ht="17.25" customHeight="1" x14ac:dyDescent="0.25">
      <c r="M37" s="52"/>
      <c r="P37" s="15"/>
      <c r="T37" s="15"/>
      <c r="U37" s="192">
        <f t="shared" si="11"/>
        <v>2049</v>
      </c>
      <c r="V37" s="193">
        <v>22000</v>
      </c>
      <c r="W37" s="193">
        <v>61500</v>
      </c>
      <c r="X37" s="193">
        <v>1069000</v>
      </c>
      <c r="Y37" s="193">
        <v>340</v>
      </c>
    </row>
    <row r="38" spans="1:27" ht="17.25" customHeight="1" x14ac:dyDescent="0.25">
      <c r="P38" s="15"/>
      <c r="T38" s="15"/>
      <c r="U38" s="192">
        <f t="shared" si="11"/>
        <v>2050</v>
      </c>
      <c r="V38" s="193">
        <v>22000</v>
      </c>
      <c r="W38" s="193">
        <v>61500</v>
      </c>
      <c r="X38" s="193">
        <v>1069000</v>
      </c>
      <c r="Y38" s="193">
        <v>345</v>
      </c>
    </row>
    <row r="39" spans="1:27" ht="17.25" customHeight="1" x14ac:dyDescent="0.25">
      <c r="U39" s="192">
        <f t="shared" si="11"/>
        <v>2051</v>
      </c>
      <c r="V39" s="193">
        <v>22000</v>
      </c>
      <c r="W39" s="193">
        <v>61500</v>
      </c>
      <c r="X39" s="193">
        <v>1069000</v>
      </c>
      <c r="Y39" s="193">
        <v>349</v>
      </c>
    </row>
    <row r="40" spans="1:27" ht="17.25" customHeight="1" x14ac:dyDescent="0.25">
      <c r="U40" s="192">
        <f t="shared" si="11"/>
        <v>2052</v>
      </c>
      <c r="V40" s="193">
        <v>22000</v>
      </c>
      <c r="W40" s="193">
        <v>61500</v>
      </c>
      <c r="X40" s="193">
        <v>1069000</v>
      </c>
      <c r="Y40" s="193">
        <v>353</v>
      </c>
    </row>
    <row r="41" spans="1:27" x14ac:dyDescent="0.25">
      <c r="U41" s="192">
        <f t="shared" si="11"/>
        <v>2053</v>
      </c>
      <c r="V41" s="193">
        <v>22000</v>
      </c>
      <c r="W41" s="193">
        <v>61500</v>
      </c>
      <c r="X41" s="193">
        <v>1069000</v>
      </c>
      <c r="Y41" s="193">
        <v>357</v>
      </c>
    </row>
    <row r="42" spans="1:27" x14ac:dyDescent="0.25">
      <c r="U42" s="160">
        <f t="shared" si="11"/>
        <v>2054</v>
      </c>
      <c r="V42" s="161">
        <v>22000</v>
      </c>
      <c r="W42" s="161">
        <v>61500</v>
      </c>
      <c r="X42" s="161">
        <v>1069000</v>
      </c>
      <c r="Y42" s="161">
        <v>357</v>
      </c>
    </row>
    <row r="43" spans="1:27" x14ac:dyDescent="0.25">
      <c r="U43" s="160">
        <f t="shared" si="11"/>
        <v>2055</v>
      </c>
      <c r="V43" s="161">
        <v>22000</v>
      </c>
      <c r="W43" s="161">
        <v>61500</v>
      </c>
      <c r="X43" s="161">
        <v>1069000</v>
      </c>
      <c r="Y43" s="161">
        <v>357</v>
      </c>
    </row>
    <row r="44" spans="1:27" ht="15" customHeight="1" x14ac:dyDescent="0.25">
      <c r="U44" s="160">
        <f t="shared" si="11"/>
        <v>2056</v>
      </c>
      <c r="V44" s="161">
        <v>22000</v>
      </c>
      <c r="W44" s="161">
        <v>61500</v>
      </c>
      <c r="X44" s="161">
        <v>1069000</v>
      </c>
      <c r="Y44" s="161">
        <v>357</v>
      </c>
    </row>
    <row r="45" spans="1:27" ht="15.75" customHeight="1" x14ac:dyDescent="0.25">
      <c r="U45" s="160">
        <f t="shared" si="11"/>
        <v>2057</v>
      </c>
      <c r="V45" s="161">
        <v>22000</v>
      </c>
      <c r="W45" s="161">
        <v>61500</v>
      </c>
      <c r="X45" s="161">
        <v>1069000</v>
      </c>
      <c r="Y45" s="161">
        <v>357</v>
      </c>
    </row>
    <row r="46" spans="1:27" ht="15" customHeight="1" x14ac:dyDescent="0.25">
      <c r="U46" s="160">
        <f t="shared" si="11"/>
        <v>2058</v>
      </c>
      <c r="V46" s="161">
        <v>22000</v>
      </c>
      <c r="W46" s="161">
        <v>61500</v>
      </c>
      <c r="X46" s="161">
        <v>1069000</v>
      </c>
      <c r="Y46" s="161">
        <v>357</v>
      </c>
      <c r="Z46" s="168"/>
      <c r="AA46" s="7"/>
    </row>
    <row r="47" spans="1:27" ht="15" customHeight="1" x14ac:dyDescent="0.25">
      <c r="B47" s="7"/>
      <c r="C47" s="7"/>
      <c r="D47" s="7"/>
      <c r="E47" s="7"/>
      <c r="F47" s="7"/>
      <c r="G47" s="7"/>
      <c r="I47" s="7"/>
      <c r="J47" s="7"/>
      <c r="U47" s="160">
        <f t="shared" si="11"/>
        <v>2059</v>
      </c>
      <c r="V47" s="161">
        <v>22000</v>
      </c>
      <c r="W47" s="161">
        <v>61500</v>
      </c>
      <c r="X47" s="161">
        <v>1069000</v>
      </c>
      <c r="Y47" s="161">
        <v>357</v>
      </c>
      <c r="Z47" s="168"/>
      <c r="AA47" s="7"/>
    </row>
    <row r="48" spans="1:27" ht="15" customHeight="1" x14ac:dyDescent="0.25">
      <c r="A48" s="2"/>
      <c r="I48" s="7"/>
      <c r="J48" s="7"/>
      <c r="U48" s="160">
        <f t="shared" si="11"/>
        <v>2060</v>
      </c>
      <c r="V48" s="161">
        <v>22000</v>
      </c>
      <c r="W48" s="161">
        <v>61500</v>
      </c>
      <c r="X48" s="161">
        <v>1069000</v>
      </c>
      <c r="Y48" s="161">
        <v>357</v>
      </c>
      <c r="Z48" s="168"/>
      <c r="AA48" s="7"/>
    </row>
    <row r="49" spans="1:27" x14ac:dyDescent="0.25">
      <c r="I49" s="7"/>
      <c r="J49" s="7"/>
      <c r="U49" s="160">
        <f t="shared" si="11"/>
        <v>2061</v>
      </c>
      <c r="V49" s="161">
        <v>22000</v>
      </c>
      <c r="W49" s="161">
        <v>61500</v>
      </c>
      <c r="X49" s="161">
        <v>1069000</v>
      </c>
      <c r="Y49" s="161">
        <v>357</v>
      </c>
      <c r="Z49" s="168"/>
      <c r="AA49" s="7"/>
    </row>
    <row r="50" spans="1:27" x14ac:dyDescent="0.25">
      <c r="I50" s="7"/>
      <c r="J50" s="7"/>
      <c r="U50" s="160">
        <f t="shared" si="11"/>
        <v>2062</v>
      </c>
      <c r="V50" s="161">
        <v>22000</v>
      </c>
      <c r="W50" s="161">
        <v>61500</v>
      </c>
      <c r="X50" s="161">
        <v>1069000</v>
      </c>
      <c r="Y50" s="161">
        <v>357</v>
      </c>
      <c r="AA50" s="7"/>
    </row>
    <row r="51" spans="1:27" ht="15" customHeight="1" x14ac:dyDescent="0.25">
      <c r="A51" s="2"/>
      <c r="U51" s="480" t="s">
        <v>199</v>
      </c>
      <c r="V51" s="480"/>
      <c r="W51" s="480"/>
      <c r="X51" s="480"/>
      <c r="Y51" s="480"/>
    </row>
    <row r="52" spans="1:27" x14ac:dyDescent="0.25">
      <c r="I52" s="15"/>
      <c r="U52" s="441"/>
      <c r="V52" s="441"/>
      <c r="W52" s="441"/>
      <c r="X52" s="441"/>
      <c r="Y52" s="441"/>
    </row>
    <row r="53" spans="1:27" x14ac:dyDescent="0.25">
      <c r="I53" s="15"/>
      <c r="K53" s="7"/>
    </row>
    <row r="54" spans="1:27" ht="15" customHeight="1" x14ac:dyDescent="0.25"/>
    <row r="55" spans="1:27" x14ac:dyDescent="0.25">
      <c r="I55" s="7"/>
      <c r="J55" s="7"/>
    </row>
    <row r="56" spans="1:27" ht="15" customHeight="1" x14ac:dyDescent="0.25"/>
    <row r="58" spans="1:27" ht="15" customHeight="1" x14ac:dyDescent="0.25"/>
  </sheetData>
  <mergeCells count="21">
    <mergeCell ref="C4:C5"/>
    <mergeCell ref="D4:D5"/>
    <mergeCell ref="E4:E5"/>
    <mergeCell ref="F4:F5"/>
    <mergeCell ref="G4:G5"/>
    <mergeCell ref="C3:E3"/>
    <mergeCell ref="B4:B5"/>
    <mergeCell ref="L3:O3"/>
    <mergeCell ref="F3:K3"/>
    <mergeCell ref="U51:Y52"/>
    <mergeCell ref="H4:H5"/>
    <mergeCell ref="I4:I5"/>
    <mergeCell ref="J4:J5"/>
    <mergeCell ref="K4:K5"/>
    <mergeCell ref="L4:L5"/>
    <mergeCell ref="M4:M5"/>
    <mergeCell ref="R4:S4"/>
    <mergeCell ref="N4:N5"/>
    <mergeCell ref="O4:O5"/>
    <mergeCell ref="B31:J32"/>
    <mergeCell ref="B34:J34"/>
  </mergeCells>
  <pageMargins left="0.7" right="0.7" top="0.75" bottom="0.75" header="0.3" footer="0.3"/>
  <pageSetup paperSize="3"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79998168889431442"/>
    <pageSetUpPr fitToPage="1"/>
  </sheetPr>
  <dimension ref="A1:AI105"/>
  <sheetViews>
    <sheetView view="pageBreakPreview" zoomScale="70" zoomScaleNormal="70" zoomScaleSheetLayoutView="70" workbookViewId="0"/>
  </sheetViews>
  <sheetFormatPr defaultRowHeight="15" x14ac:dyDescent="0.25"/>
  <cols>
    <col min="1" max="1" width="7.7109375" customWidth="1"/>
    <col min="2" max="6" width="20.7109375" customWidth="1"/>
    <col min="7" max="7" width="9.140625" collapsed="1"/>
    <col min="8" max="8" width="49.85546875" customWidth="1"/>
    <col min="9" max="9" width="24.140625" customWidth="1"/>
    <col min="10" max="11" width="22.5703125" bestFit="1" customWidth="1"/>
    <col min="12" max="12" width="22.5703125" bestFit="1" customWidth="1" collapsed="1"/>
    <col min="13" max="14" width="14" bestFit="1" customWidth="1"/>
    <col min="15" max="15" width="14" customWidth="1"/>
    <col min="16" max="16" width="13.140625" bestFit="1" customWidth="1"/>
    <col min="17" max="17" width="5.85546875" bestFit="1" customWidth="1"/>
    <col min="18" max="18" width="18.85546875" bestFit="1" customWidth="1"/>
    <col min="19" max="19" width="6.42578125" bestFit="1" customWidth="1"/>
    <col min="20" max="20" width="6.42578125" customWidth="1"/>
    <col min="21" max="21" width="6.5703125" bestFit="1" customWidth="1"/>
    <col min="22" max="22" width="6.5703125" customWidth="1"/>
    <col min="23" max="23" width="5.85546875" bestFit="1" customWidth="1"/>
    <col min="24" max="24" width="16.85546875" customWidth="1"/>
    <col min="27" max="27" width="5.85546875" bestFit="1" customWidth="1"/>
    <col min="28" max="28" width="29.42578125" bestFit="1" customWidth="1"/>
    <col min="29" max="29" width="6.28515625" bestFit="1" customWidth="1"/>
    <col min="30" max="30" width="6.28515625" customWidth="1"/>
    <col min="31" max="31" width="6.5703125" bestFit="1" customWidth="1"/>
    <col min="32" max="32" width="6.5703125" customWidth="1"/>
    <col min="33" max="33" width="5.7109375" bestFit="1" customWidth="1"/>
    <col min="34" max="34" width="16.85546875" bestFit="1" customWidth="1"/>
    <col min="35" max="35" width="16.85546875" customWidth="1"/>
  </cols>
  <sheetData>
    <row r="1" spans="1:35" ht="15" customHeight="1" x14ac:dyDescent="0.25">
      <c r="A1" s="74"/>
      <c r="B1" s="41"/>
      <c r="C1" s="41"/>
      <c r="D1" s="41"/>
      <c r="E1" s="41"/>
      <c r="F1" s="41"/>
    </row>
    <row r="2" spans="1:35" ht="15.75" thickBot="1" x14ac:dyDescent="0.3">
      <c r="B2" s="1" t="s">
        <v>254</v>
      </c>
      <c r="C2" s="1"/>
      <c r="D2" s="1"/>
    </row>
    <row r="3" spans="1:35" ht="15.75" thickBot="1" x14ac:dyDescent="0.3">
      <c r="B3" s="1"/>
      <c r="C3" s="435" t="s">
        <v>53</v>
      </c>
      <c r="D3" s="479"/>
      <c r="E3" s="479"/>
      <c r="F3" s="436"/>
    </row>
    <row r="4" spans="1:35" ht="30" customHeight="1" x14ac:dyDescent="0.25">
      <c r="B4" s="445" t="s">
        <v>0</v>
      </c>
      <c r="C4" s="445" t="s">
        <v>28</v>
      </c>
      <c r="D4" s="445" t="s">
        <v>29</v>
      </c>
      <c r="E4" s="493" t="s">
        <v>26</v>
      </c>
      <c r="F4" s="442" t="s">
        <v>186</v>
      </c>
      <c r="H4" s="30" t="s">
        <v>83</v>
      </c>
      <c r="I4" s="40"/>
      <c r="J4" s="40"/>
      <c r="K4" s="40"/>
    </row>
    <row r="5" spans="1:35" ht="17.25" customHeight="1" thickBot="1" x14ac:dyDescent="0.3">
      <c r="B5" s="446"/>
      <c r="C5" s="446"/>
      <c r="D5" s="446"/>
      <c r="E5" s="494"/>
      <c r="F5" s="443"/>
      <c r="H5" s="21" t="s">
        <v>46</v>
      </c>
      <c r="I5" s="21" t="s">
        <v>234</v>
      </c>
      <c r="J5" s="21" t="s">
        <v>235</v>
      </c>
      <c r="K5" s="21" t="s">
        <v>236</v>
      </c>
      <c r="L5" s="21" t="s">
        <v>237</v>
      </c>
      <c r="M5" s="21" t="s">
        <v>220</v>
      </c>
      <c r="P5" s="1" t="s">
        <v>796</v>
      </c>
      <c r="R5" s="1"/>
      <c r="Z5" s="1" t="s">
        <v>797</v>
      </c>
      <c r="AB5" s="1"/>
    </row>
    <row r="6" spans="1:35" ht="15" customHeight="1" x14ac:dyDescent="0.25">
      <c r="B6" s="75">
        <f>Assumptions!$D$14</f>
        <v>2029</v>
      </c>
      <c r="C6" s="95">
        <f t="shared" ref="C6:C25" si="0">_xlfn.XLOOKUP(B6,$Q$7:$Q$47,$X$7:$X$47)</f>
        <v>6093924.6753246821</v>
      </c>
      <c r="D6" s="95">
        <f t="shared" ref="D6:D25" si="1">_xlfn.XLOOKUP(B6,$AA$7:$AA$47,$AH$7:$AH$47)</f>
        <v>2738399.7612467567</v>
      </c>
      <c r="E6" s="96">
        <f>C6-D6</f>
        <v>3355524.9140779255</v>
      </c>
      <c r="F6" s="97">
        <f>E6*(1+Assumptions!$D$24)^-(B6-Assumptions!$D$10)</f>
        <v>2709878.4464928322</v>
      </c>
      <c r="H6" s="21" t="s">
        <v>31</v>
      </c>
      <c r="I6" s="178">
        <v>12500000</v>
      </c>
      <c r="J6" s="178">
        <v>1188200</v>
      </c>
      <c r="K6" s="178">
        <v>233800</v>
      </c>
      <c r="L6" s="178">
        <v>111700</v>
      </c>
      <c r="M6" s="178">
        <v>5000</v>
      </c>
      <c r="P6" s="495" t="s">
        <v>25</v>
      </c>
      <c r="Q6" s="21" t="s">
        <v>22</v>
      </c>
      <c r="R6" s="21" t="s">
        <v>213</v>
      </c>
      <c r="S6" s="21" t="s">
        <v>242</v>
      </c>
      <c r="T6" s="21" t="s">
        <v>243</v>
      </c>
      <c r="U6" s="27" t="s">
        <v>244</v>
      </c>
      <c r="V6" s="27" t="s">
        <v>245</v>
      </c>
      <c r="W6" s="27" t="s">
        <v>215</v>
      </c>
      <c r="X6" s="27" t="s">
        <v>82</v>
      </c>
      <c r="Z6" s="495" t="s">
        <v>12</v>
      </c>
      <c r="AA6" s="21" t="s">
        <v>22</v>
      </c>
      <c r="AB6" s="21" t="s">
        <v>214</v>
      </c>
      <c r="AC6" s="21" t="s">
        <v>242</v>
      </c>
      <c r="AD6" s="21" t="s">
        <v>243</v>
      </c>
      <c r="AE6" s="27" t="s">
        <v>244</v>
      </c>
      <c r="AF6" s="27" t="s">
        <v>245</v>
      </c>
      <c r="AG6" s="27" t="s">
        <v>215</v>
      </c>
      <c r="AH6" s="27" t="s">
        <v>82</v>
      </c>
      <c r="AI6" s="211"/>
    </row>
    <row r="7" spans="1:35" x14ac:dyDescent="0.25">
      <c r="B7" s="61">
        <f>B6+1</f>
        <v>2030</v>
      </c>
      <c r="C7" s="98">
        <f t="shared" si="0"/>
        <v>6137977.1428571511</v>
      </c>
      <c r="D7" s="98">
        <f t="shared" si="1"/>
        <v>2758195.4221714325</v>
      </c>
      <c r="E7" s="99">
        <f>C7-D7</f>
        <v>3379781.7206857186</v>
      </c>
      <c r="F7" s="100">
        <f>E7*(1+Assumptions!$D$24)^-(B7-Assumptions!$D$10)</f>
        <v>2647398.5734612648</v>
      </c>
      <c r="P7" s="496"/>
      <c r="Q7" s="44">
        <f>$H$16</f>
        <v>2019</v>
      </c>
      <c r="R7" s="21" t="s">
        <v>752</v>
      </c>
      <c r="S7" s="45" cm="1">
        <f t="array" ref="S7">IF($R7="Yes",(TREND($I$16:$I$17,$H$16:$H$17,$Q7)*TREND(J$29:J$30,$I$29:$I$30,$Q7))+(TREND($I$16:$I$17,$H$16:$H$17,$Q7)*TREND(J$31:J$32,$I$31:$I$32,$Q7)),0)</f>
        <v>0.4</v>
      </c>
      <c r="T7" s="45" cm="1">
        <f t="array" ref="T7">IF($R7="Yes",(TREND($I$16:$I$17,$H$16:$H$17,$Q7)*TREND(K$29:K$30,$I$29:$I$30,$Q7))+(TREND($I$16:$I$17,$H$16:$H$17,$Q7)*TREND(K$31:K$32,$I$31:$I$32,$Q7)),0)</f>
        <v>0.2</v>
      </c>
      <c r="U7" s="45" cm="1">
        <f t="array" ref="U7">IF($R7="Yes",(TREND($I$16:$I$17,$H$16:$H$17,$Q7)*TREND(L$29:L$30,$I$29:$I$30,$Q7))+(TREND($I$16:$I$17,$H$16:$H$17,$Q7)*TREND(L$31:L$32,$I$31:$I$32,$Q7)),0)</f>
        <v>0.8</v>
      </c>
      <c r="V7" s="45" cm="1">
        <f t="array" ref="V7">IF($R7="Yes",(TREND($I$16:$I$17,$H$16:$H$17,$Q7)*TREND(M$29:M$30,$I$29:$I$30,$Q7))+(TREND($I$16:$I$17,$H$16:$H$17,$Q7)*TREND(M$31:M$32,$I$31:$I$32,$Q7)),0)</f>
        <v>1.6</v>
      </c>
      <c r="W7" s="45" cm="1">
        <f t="array" ref="W7">IF($R7="Yes",(TREND($I$16:$I$17,$H$16:$H$17,$Q7)*TREND(N$29:N$30,$I$29:$I$30,$Q7))+(TREND($I$16:$I$17,$H$16:$H$17,$Q7)*TREND(N$31:N$32,$I$31:$I$32,$Q7)),0)</f>
        <v>10</v>
      </c>
      <c r="X7" s="59">
        <f>IF(Q7&lt;=Assumptions!$D$15,SUMPRODUCT($I$6:$M$6,S7:W7),0)</f>
        <v>5653400</v>
      </c>
      <c r="Z7" s="496"/>
      <c r="AA7" s="44">
        <f>$H$16</f>
        <v>2019</v>
      </c>
      <c r="AB7" s="21" t="str">
        <f>IF(AA7&gt;=(Assumptions!$D$45+Assumptions!$D$46),"Yes",IF(OR(AA7=Assumptions!$D$45,AA7=Assumptions!$D$45+Assumptions!$D$46-1),"Construction","No"))</f>
        <v>No</v>
      </c>
      <c r="AC7" s="45" cm="1">
        <f t="array" ref="AC7">IF($AB7="no",_xlfn.XLOOKUP($AA7,$Q$7:$Q$47,S$7:S$47),IF($AB7="yes",(TREND($I$16:$I$17,$H$16:$H$17,$AA7)*TREND($J$36:$J$37,$I$36:$I$37,$AA7)),IF($AB7="Construction",0,0)))</f>
        <v>0.4</v>
      </c>
      <c r="AD7" s="45" cm="1">
        <f t="array" ref="AD7">IF($AB7="no",_xlfn.XLOOKUP($AA7,$Q$7:$Q$47,T$7:T$47),IF($AB7="yes",(TREND($I$16:$I$17,$H$16:$H$17,$AA7)*TREND($J$36:$J$37,$I$36:$I$37,$AA7)),IF($AB7="Construction",0,0)))</f>
        <v>0.2</v>
      </c>
      <c r="AE7" s="45" cm="1">
        <f t="array" ref="AE7">IF($AB7="no",_xlfn.XLOOKUP($AA7,$Q$7:$Q$47,U$7:U$47),IF($AB7="yes",(TREND($I$16:$I$17,$H$16:$H$17,$AA7)*TREND($J$36:$J$37,$I$36:$I$37,$AA7)),IF($AB7="Construction",0,0)))</f>
        <v>0.8</v>
      </c>
      <c r="AF7" s="45" cm="1">
        <f t="array" ref="AF7">IF($AB7="no",_xlfn.XLOOKUP($AA7,$Q$7:$Q$47,V$7:V$47),IF($AB7="yes",(TREND($I$16:$I$17,$H$16:$H$17,$AA7)*TREND($J$36:$J$37,$I$36:$I$37,$AA7)),IF($AB7="Construction",0,0)))</f>
        <v>1.6</v>
      </c>
      <c r="AG7" s="45" cm="1">
        <f t="array" ref="AG7">IF($AB7="no",_xlfn.XLOOKUP($AA7,$Q$7:$Q$47,W$7:W$47),IF($AB7="yes",(TREND($I$16:$I$17,$H$16:$H$17,$AA7)*TREND($J$36:$J$37,$I$36:$I$37,$AA7)),IF($AB7="Construction",0,0)))</f>
        <v>10</v>
      </c>
      <c r="AH7" s="59">
        <f>IF(AA7&lt;=Assumptions!$D$15,SUMPRODUCT($I$6:$M$6,AC7:AG7),0)</f>
        <v>5653400</v>
      </c>
      <c r="AI7" s="212"/>
    </row>
    <row r="8" spans="1:35" ht="15" customHeight="1" x14ac:dyDescent="0.25">
      <c r="B8" s="61">
        <f t="shared" ref="B8:B25" si="2">B7+1</f>
        <v>2031</v>
      </c>
      <c r="C8" s="98">
        <f t="shared" si="0"/>
        <v>6182029.6103896061</v>
      </c>
      <c r="D8" s="98">
        <f t="shared" si="1"/>
        <v>2777991.0830961019</v>
      </c>
      <c r="E8" s="99">
        <f t="shared" ref="E8:E25" si="3">C8-D8</f>
        <v>3404038.5272935042</v>
      </c>
      <c r="F8" s="100">
        <f>E8*(1+Assumptions!$D$24)^-(B8-Assumptions!$D$10)</f>
        <v>2586226.034618665</v>
      </c>
      <c r="H8" s="1" t="s">
        <v>793</v>
      </c>
      <c r="P8" s="496"/>
      <c r="Q8" s="44">
        <f>Q7+1</f>
        <v>2020</v>
      </c>
      <c r="R8" s="21" t="s">
        <v>752</v>
      </c>
      <c r="S8" s="45" cm="1">
        <f t="array" ref="S8">IF($R8="Yes",(TREND($I$16:$I$17,$H$16:$H$17,$Q8)*TREND(J$29:J$30,$I$29:$I$30,$Q8))+(TREND($I$16:$I$17,$H$16:$H$17,$Q8)*TREND(J$31:J$32,$I$31:$I$32,$Q8)),0)</f>
        <v>0.40311688311688326</v>
      </c>
      <c r="T8" s="45" cm="1">
        <f t="array" ref="T8">IF($R8="Yes",(TREND($I$16:$I$17,$H$16:$H$17,$Q8)*TREND(K$29:K$30,$I$29:$I$30,$Q8))+(TREND($I$16:$I$17,$H$16:$H$17,$Q8)*TREND(K$31:K$32,$I$31:$I$32,$Q8)),0)</f>
        <v>0.20155844155844163</v>
      </c>
      <c r="U8" s="45" cm="1">
        <f t="array" ref="U8">IF($R8="Yes",(TREND($I$16:$I$17,$H$16:$H$17,$Q8)*TREND(L$29:L$30,$I$29:$I$30,$Q8))+(TREND($I$16:$I$17,$H$16:$H$17,$Q8)*TREND(L$31:L$32,$I$31:$I$32,$Q8)),0)</f>
        <v>0.80623376623376652</v>
      </c>
      <c r="V8" s="45" cm="1">
        <f t="array" ref="V8">IF($R8="Yes",(TREND($I$16:$I$17,$H$16:$H$17,$Q8)*TREND(M$29:M$30,$I$29:$I$30,$Q8))+(TREND($I$16:$I$17,$H$16:$H$17,$Q8)*TREND(M$31:M$32,$I$31:$I$32,$Q8)),0)</f>
        <v>1.612467532467533</v>
      </c>
      <c r="W8" s="45" cm="1">
        <f t="array" ref="W8">IF($R8="Yes",(TREND($I$16:$I$17,$H$16:$H$17,$Q8)*TREND(N$29:N$30,$I$29:$I$30,$Q8))+(TREND($I$16:$I$17,$H$16:$H$17,$Q8)*TREND(N$31:N$32,$I$31:$I$32,$Q8)),0)</f>
        <v>10.077922077922082</v>
      </c>
      <c r="X8" s="59">
        <f>IF(Q8&lt;=Assumptions!$D$15,SUMPRODUCT($I$6:$M$6,S8:W8),0)</f>
        <v>5697452.4675324708</v>
      </c>
      <c r="Z8" s="496"/>
      <c r="AA8" s="44">
        <f>AA7+1</f>
        <v>2020</v>
      </c>
      <c r="AB8" s="21" t="str">
        <f>IF(AA8&gt;=(Assumptions!$D$45+Assumptions!$D$46),"Yes",IF(OR(AA8=Assumptions!$D$45,AA8=Assumptions!$D$45+Assumptions!$D$46-1),"Construction","No"))</f>
        <v>No</v>
      </c>
      <c r="AC8" s="45" cm="1">
        <f t="array" ref="AC8">IF($AB8="no",_xlfn.XLOOKUP($AA8,$Q$7:$Q$47,S$7:S$47),IF($AB8="yes",(TREND($I$16:$I$17,$H$16:$H$17,$AA8)*TREND($J$36:$J$37,$I$36:$I$37,$AA8)),IF($AB8="Construction",0,0)))</f>
        <v>0.40311688311688326</v>
      </c>
      <c r="AD8" s="45" cm="1">
        <f t="array" ref="AD8">IF($AB8="no",_xlfn.XLOOKUP($AA8,$Q$7:$Q$47,T$7:T$47),IF($AB8="yes",(TREND($I$16:$I$17,$H$16:$H$17,$AA8)*TREND($J$36:$J$37,$I$36:$I$37,$AA8)),IF($AB8="Construction",0,0)))</f>
        <v>0.20155844155844163</v>
      </c>
      <c r="AE8" s="45" cm="1">
        <f t="array" ref="AE8">IF($AB8="no",_xlfn.XLOOKUP($AA8,$Q$7:$Q$47,U$7:U$47),IF($AB8="yes",(TREND($I$16:$I$17,$H$16:$H$17,$AA8)*TREND($J$36:$J$37,$I$36:$I$37,$AA8)),IF($AB8="Construction",0,0)))</f>
        <v>0.80623376623376652</v>
      </c>
      <c r="AF8" s="45" cm="1">
        <f t="array" ref="AF8">IF($AB8="no",_xlfn.XLOOKUP($AA8,$Q$7:$Q$47,V$7:V$47),IF($AB8="yes",(TREND($I$16:$I$17,$H$16:$H$17,$AA8)*TREND($J$36:$J$37,$I$36:$I$37,$AA8)),IF($AB8="Construction",0,0)))</f>
        <v>1.612467532467533</v>
      </c>
      <c r="AG8" s="45" cm="1">
        <f t="array" ref="AG8">IF($AB8="no",_xlfn.XLOOKUP($AA8,$Q$7:$Q$47,W$7:W$47),IF($AB8="yes",(TREND($I$16:$I$17,$H$16:$H$17,$AA8)*TREND($J$36:$J$37,$I$36:$I$37,$AA8)),IF($AB8="Construction",0,0)))</f>
        <v>10.077922077922082</v>
      </c>
      <c r="AH8" s="59">
        <f>IF(AA8&lt;=Assumptions!$D$15,SUMPRODUCT($I$6:$M$6,AC8:AG8),0)</f>
        <v>5697452.4675324708</v>
      </c>
      <c r="AI8" s="212"/>
    </row>
    <row r="9" spans="1:35" x14ac:dyDescent="0.25">
      <c r="B9" s="61">
        <f t="shared" si="2"/>
        <v>2032</v>
      </c>
      <c r="C9" s="98">
        <f t="shared" si="0"/>
        <v>6226082.077922076</v>
      </c>
      <c r="D9" s="98">
        <f t="shared" si="1"/>
        <v>2797786.7440207782</v>
      </c>
      <c r="E9" s="99">
        <f t="shared" si="3"/>
        <v>3428295.3339012978</v>
      </c>
      <c r="F9" s="100">
        <f>E9*(1+Assumptions!$D$24)^-(B9-Assumptions!$D$10)</f>
        <v>2526338.6990890801</v>
      </c>
      <c r="H9" s="21" t="s">
        <v>30</v>
      </c>
      <c r="I9" s="21" t="s">
        <v>234</v>
      </c>
      <c r="J9" s="21" t="s">
        <v>235</v>
      </c>
      <c r="K9" s="21" t="s">
        <v>236</v>
      </c>
      <c r="L9" s="21" t="s">
        <v>237</v>
      </c>
      <c r="M9" s="21" t="s">
        <v>220</v>
      </c>
      <c r="P9" s="496"/>
      <c r="Q9" s="44">
        <f t="shared" ref="Q9:Q47" si="4">Q8+1</f>
        <v>2021</v>
      </c>
      <c r="R9" s="21" t="s">
        <v>752</v>
      </c>
      <c r="S9" s="45" cm="1">
        <f t="array" ref="S9">IF($R9="Yes",(TREND($I$16:$I$17,$H$16:$H$17,$Q9)*TREND(J$29:J$30,$I$29:$I$30,$Q9))+(TREND($I$16:$I$17,$H$16:$H$17,$Q9)*TREND(J$31:J$32,$I$31:$I$32,$Q9)),0)</f>
        <v>0.40623376623376656</v>
      </c>
      <c r="T9" s="45" cm="1">
        <f t="array" ref="T9">IF($R9="Yes",(TREND($I$16:$I$17,$H$16:$H$17,$Q9)*TREND(K$29:K$30,$I$29:$I$30,$Q9))+(TREND($I$16:$I$17,$H$16:$H$17,$Q9)*TREND(K$31:K$32,$I$31:$I$32,$Q9)),0)</f>
        <v>0.20311688311688328</v>
      </c>
      <c r="U9" s="45" cm="1">
        <f t="array" ref="U9">IF($R9="Yes",(TREND($I$16:$I$17,$H$16:$H$17,$Q9)*TREND(L$29:L$30,$I$29:$I$30,$Q9))+(TREND($I$16:$I$17,$H$16:$H$17,$Q9)*TREND(L$31:L$32,$I$31:$I$32,$Q9)),0)</f>
        <v>0.81246753246753312</v>
      </c>
      <c r="V9" s="45" cm="1">
        <f t="array" ref="V9">IF($R9="Yes",(TREND($I$16:$I$17,$H$16:$H$17,$Q9)*TREND(M$29:M$30,$I$29:$I$30,$Q9))+(TREND($I$16:$I$17,$H$16:$H$17,$Q9)*TREND(M$31:M$32,$I$31:$I$32,$Q9)),0)</f>
        <v>1.6249350649350662</v>
      </c>
      <c r="W9" s="45" cm="1">
        <f t="array" ref="W9">IF($R9="Yes",(TREND($I$16:$I$17,$H$16:$H$17,$Q9)*TREND(N$29:N$30,$I$29:$I$30,$Q9))+(TREND($I$16:$I$17,$H$16:$H$17,$Q9)*TREND(N$31:N$32,$I$31:$I$32,$Q9)),0)</f>
        <v>10.155844155844164</v>
      </c>
      <c r="X9" s="59">
        <f>IF(Q9&lt;=Assumptions!$D$15,SUMPRODUCT($I$6:$M$6,S9:W9),0)</f>
        <v>5741504.9350649389</v>
      </c>
      <c r="Z9" s="496"/>
      <c r="AA9" s="44">
        <f t="shared" ref="AA9:AA47" si="5">AA8+1</f>
        <v>2021</v>
      </c>
      <c r="AB9" s="21" t="str">
        <f>IF(AA9&gt;=(Assumptions!$D$45+Assumptions!$D$46),"Yes",IF(OR(AA9=Assumptions!$D$45,AA9=Assumptions!$D$45+Assumptions!$D$46-1),"Construction","No"))</f>
        <v>No</v>
      </c>
      <c r="AC9" s="45" cm="1">
        <f t="array" ref="AC9">IF($AB9="no",_xlfn.XLOOKUP($AA9,$Q$7:$Q$47,S$7:S$47),IF($AB9="yes",(TREND($I$16:$I$17,$H$16:$H$17,$AA9)*TREND($J$36:$J$37,$I$36:$I$37,$AA9)),IF($AB9="Construction",0,0)))</f>
        <v>0.40623376623376656</v>
      </c>
      <c r="AD9" s="45" cm="1">
        <f t="array" ref="AD9">IF($AB9="no",_xlfn.XLOOKUP($AA9,$Q$7:$Q$47,T$7:T$47),IF($AB9="yes",(TREND($I$16:$I$17,$H$16:$H$17,$AA9)*TREND($J$36:$J$37,$I$36:$I$37,$AA9)),IF($AB9="Construction",0,0)))</f>
        <v>0.20311688311688328</v>
      </c>
      <c r="AE9" s="45" cm="1">
        <f t="array" ref="AE9">IF($AB9="no",_xlfn.XLOOKUP($AA9,$Q$7:$Q$47,U$7:U$47),IF($AB9="yes",(TREND($I$16:$I$17,$H$16:$H$17,$AA9)*TREND($J$36:$J$37,$I$36:$I$37,$AA9)),IF($AB9="Construction",0,0)))</f>
        <v>0.81246753246753312</v>
      </c>
      <c r="AF9" s="45" cm="1">
        <f t="array" ref="AF9">IF($AB9="no",_xlfn.XLOOKUP($AA9,$Q$7:$Q$47,V$7:V$47),IF($AB9="yes",(TREND($I$16:$I$17,$H$16:$H$17,$AA9)*TREND($J$36:$J$37,$I$36:$I$37,$AA9)),IF($AB9="Construction",0,0)))</f>
        <v>1.6249350649350662</v>
      </c>
      <c r="AG9" s="45" cm="1">
        <f t="array" ref="AG9">IF($AB9="no",_xlfn.XLOOKUP($AA9,$Q$7:$Q$47,W$7:W$47),IF($AB9="yes",(TREND($I$16:$I$17,$H$16:$H$17,$AA9)*TREND($J$36:$J$37,$I$36:$I$37,$AA9)),IF($AB9="Construction",0,0)))</f>
        <v>10.155844155844164</v>
      </c>
      <c r="AH9" s="59">
        <f>IF(AA9&lt;=Assumptions!$D$15,SUMPRODUCT($I$6:$M$6,AC9:AG9),0)</f>
        <v>5741504.9350649389</v>
      </c>
      <c r="AI9" s="212"/>
    </row>
    <row r="10" spans="1:35" x14ac:dyDescent="0.25">
      <c r="B10" s="61">
        <f t="shared" si="2"/>
        <v>2033</v>
      </c>
      <c r="C10" s="98">
        <f t="shared" si="0"/>
        <v>6270134.5454545459</v>
      </c>
      <c r="D10" s="98">
        <f t="shared" si="1"/>
        <v>2817582.4049454541</v>
      </c>
      <c r="E10" s="99">
        <f t="shared" si="3"/>
        <v>3452552.1405090918</v>
      </c>
      <c r="F10" s="100">
        <f>E10*(1+Assumptions!$D$24)^-(B10-Assumptions!$D$10)</f>
        <v>2467714.58492176</v>
      </c>
      <c r="H10" s="21" t="s">
        <v>950</v>
      </c>
      <c r="I10" s="57">
        <f>'Network Crash Calcs'!F7</f>
        <v>0</v>
      </c>
      <c r="J10" s="57">
        <f>'Network Crash Calcs'!G7</f>
        <v>1</v>
      </c>
      <c r="K10" s="57">
        <f>'Network Crash Calcs'!H7</f>
        <v>2</v>
      </c>
      <c r="L10" s="57">
        <f>'Network Crash Calcs'!I7</f>
        <v>8</v>
      </c>
      <c r="M10" s="57">
        <f>'Network Crash Calcs'!J7</f>
        <v>41</v>
      </c>
      <c r="P10" s="496"/>
      <c r="Q10" s="44">
        <f t="shared" si="4"/>
        <v>2022</v>
      </c>
      <c r="R10" s="21" t="s">
        <v>752</v>
      </c>
      <c r="S10" s="45" cm="1">
        <f t="array" ref="S10">IF($R10="Yes",(TREND($I$16:$I$17,$H$16:$H$17,$Q10)*TREND(J$29:J$30,$I$29:$I$30,$Q10))+(TREND($I$16:$I$17,$H$16:$H$17,$Q10)*TREND(J$31:J$32,$I$31:$I$32,$Q10)),0)</f>
        <v>0.4093506493506498</v>
      </c>
      <c r="T10" s="45" cm="1">
        <f t="array" ref="T10">IF($R10="Yes",(TREND($I$16:$I$17,$H$16:$H$17,$Q10)*TREND(K$29:K$30,$I$29:$I$30,$Q10))+(TREND($I$16:$I$17,$H$16:$H$17,$Q10)*TREND(K$31:K$32,$I$31:$I$32,$Q10)),0)</f>
        <v>0.2046753246753249</v>
      </c>
      <c r="U10" s="45" cm="1">
        <f t="array" ref="U10">IF($R10="Yes",(TREND($I$16:$I$17,$H$16:$H$17,$Q10)*TREND(L$29:L$30,$I$29:$I$30,$Q10))+(TREND($I$16:$I$17,$H$16:$H$17,$Q10)*TREND(L$31:L$32,$I$31:$I$32,$Q10)),0)</f>
        <v>0.8187012987012996</v>
      </c>
      <c r="V10" s="45" cm="1">
        <f t="array" ref="V10">IF($R10="Yes",(TREND($I$16:$I$17,$H$16:$H$17,$Q10)*TREND(M$29:M$30,$I$29:$I$30,$Q10))+(TREND($I$16:$I$17,$H$16:$H$17,$Q10)*TREND(M$31:M$32,$I$31:$I$32,$Q10)),0)</f>
        <v>1.6374025974025992</v>
      </c>
      <c r="W10" s="45" cm="1">
        <f t="array" ref="W10">IF($R10="Yes",(TREND($I$16:$I$17,$H$16:$H$17,$Q10)*TREND(N$29:N$30,$I$29:$I$30,$Q10))+(TREND($I$16:$I$17,$H$16:$H$17,$Q10)*TREND(N$31:N$32,$I$31:$I$32,$Q10)),0)</f>
        <v>10.233766233766247</v>
      </c>
      <c r="X10" s="59">
        <f>IF(Q10&lt;=Assumptions!$D$15,SUMPRODUCT($I$6:$M$6,S10:W10),0)</f>
        <v>5785557.4025974087</v>
      </c>
      <c r="Z10" s="496"/>
      <c r="AA10" s="44">
        <f t="shared" si="5"/>
        <v>2022</v>
      </c>
      <c r="AB10" s="21" t="str">
        <f>IF(AA10&gt;=(Assumptions!$D$45+Assumptions!$D$46),"Yes",IF(OR(AA10=Assumptions!$D$45,AA10=Assumptions!$D$45+Assumptions!$D$46-1),"Construction","No"))</f>
        <v>No</v>
      </c>
      <c r="AC10" s="45" cm="1">
        <f t="array" ref="AC10">IF($AB10="no",_xlfn.XLOOKUP($AA10,$Q$7:$Q$47,S$7:S$47),IF($AB10="yes",(TREND($I$16:$I$17,$H$16:$H$17,$AA10)*TREND($J$36:$J$37,$I$36:$I$37,$AA10)),IF($AB10="Construction",0,0)))</f>
        <v>0.4093506493506498</v>
      </c>
      <c r="AD10" s="45" cm="1">
        <f t="array" ref="AD10">IF($AB10="no",_xlfn.XLOOKUP($AA10,$Q$7:$Q$47,T$7:T$47),IF($AB10="yes",(TREND($I$16:$I$17,$H$16:$H$17,$AA10)*TREND($J$36:$J$37,$I$36:$I$37,$AA10)),IF($AB10="Construction",0,0)))</f>
        <v>0.2046753246753249</v>
      </c>
      <c r="AE10" s="45" cm="1">
        <f t="array" ref="AE10">IF($AB10="no",_xlfn.XLOOKUP($AA10,$Q$7:$Q$47,U$7:U$47),IF($AB10="yes",(TREND($I$16:$I$17,$H$16:$H$17,$AA10)*TREND($J$36:$J$37,$I$36:$I$37,$AA10)),IF($AB10="Construction",0,0)))</f>
        <v>0.8187012987012996</v>
      </c>
      <c r="AF10" s="45" cm="1">
        <f t="array" ref="AF10">IF($AB10="no",_xlfn.XLOOKUP($AA10,$Q$7:$Q$47,V$7:V$47),IF($AB10="yes",(TREND($I$16:$I$17,$H$16:$H$17,$AA10)*TREND($J$36:$J$37,$I$36:$I$37,$AA10)),IF($AB10="Construction",0,0)))</f>
        <v>1.6374025974025992</v>
      </c>
      <c r="AG10" s="45" cm="1">
        <f t="array" ref="AG10">IF($AB10="no",_xlfn.XLOOKUP($AA10,$Q$7:$Q$47,W$7:W$47),IF($AB10="yes",(TREND($I$16:$I$17,$H$16:$H$17,$AA10)*TREND($J$36:$J$37,$I$36:$I$37,$AA10)),IF($AB10="Construction",0,0)))</f>
        <v>10.233766233766247</v>
      </c>
      <c r="AH10" s="59">
        <f>IF(AA10&lt;=Assumptions!$D$15,SUMPRODUCT($I$6:$M$6,AC10:AG10),0)</f>
        <v>5785557.4025974087</v>
      </c>
      <c r="AI10" s="212"/>
    </row>
    <row r="11" spans="1:35" x14ac:dyDescent="0.25">
      <c r="B11" s="61">
        <f t="shared" si="2"/>
        <v>2034</v>
      </c>
      <c r="C11" s="98">
        <f t="shared" si="0"/>
        <v>6314187.0129870148</v>
      </c>
      <c r="D11" s="98">
        <f t="shared" si="1"/>
        <v>2837378.0658701314</v>
      </c>
      <c r="E11" s="99">
        <f t="shared" si="3"/>
        <v>3476808.9471168835</v>
      </c>
      <c r="F11" s="100">
        <f>E11*(1+Assumptions!$D$24)^-(B11-Assumptions!$D$10)</f>
        <v>2410331.8701434834</v>
      </c>
      <c r="H11" s="21" t="s">
        <v>951</v>
      </c>
      <c r="I11" s="57">
        <f>'Network Crash Calcs'!F11</f>
        <v>2</v>
      </c>
      <c r="J11" s="57">
        <f>'Network Crash Calcs'!G11</f>
        <v>0</v>
      </c>
      <c r="K11" s="57">
        <f>'Network Crash Calcs'!H11</f>
        <v>2</v>
      </c>
      <c r="L11" s="57">
        <f>'Network Crash Calcs'!I11</f>
        <v>0</v>
      </c>
      <c r="M11" s="57">
        <f>'Network Crash Calcs'!J11</f>
        <v>9</v>
      </c>
      <c r="P11" s="496"/>
      <c r="Q11" s="44">
        <f t="shared" si="4"/>
        <v>2023</v>
      </c>
      <c r="R11" s="21" t="s">
        <v>752</v>
      </c>
      <c r="S11" s="45" cm="1">
        <f t="array" ref="S11">IF($R11="Yes",(TREND($I$16:$I$17,$H$16:$H$17,$Q11)*TREND(J$29:J$30,$I$29:$I$30,$Q11))+(TREND($I$16:$I$17,$H$16:$H$17,$Q11)*TREND(J$31:J$32,$I$31:$I$32,$Q11)),0)</f>
        <v>0.41246753246753309</v>
      </c>
      <c r="T11" s="45" cm="1">
        <f t="array" ref="T11">IF($R11="Yes",(TREND($I$16:$I$17,$H$16:$H$17,$Q11)*TREND(K$29:K$30,$I$29:$I$30,$Q11))+(TREND($I$16:$I$17,$H$16:$H$17,$Q11)*TREND(K$31:K$32,$I$31:$I$32,$Q11)),0)</f>
        <v>0.20623376623376655</v>
      </c>
      <c r="U11" s="45" cm="1">
        <f t="array" ref="U11">IF($R11="Yes",(TREND($I$16:$I$17,$H$16:$H$17,$Q11)*TREND(L$29:L$30,$I$29:$I$30,$Q11))+(TREND($I$16:$I$17,$H$16:$H$17,$Q11)*TREND(L$31:L$32,$I$31:$I$32,$Q11)),0)</f>
        <v>0.82493506493506619</v>
      </c>
      <c r="V11" s="45" cm="1">
        <f t="array" ref="V11">IF($R11="Yes",(TREND($I$16:$I$17,$H$16:$H$17,$Q11)*TREND(M$29:M$30,$I$29:$I$30,$Q11))+(TREND($I$16:$I$17,$H$16:$H$17,$Q11)*TREND(M$31:M$32,$I$31:$I$32,$Q11)),0)</f>
        <v>1.6498701298701324</v>
      </c>
      <c r="W11" s="45" cm="1">
        <f t="array" ref="W11">IF($R11="Yes",(TREND($I$16:$I$17,$H$16:$H$17,$Q11)*TREND(N$29:N$30,$I$29:$I$30,$Q11))+(TREND($I$16:$I$17,$H$16:$H$17,$Q11)*TREND(N$31:N$32,$I$31:$I$32,$Q11)),0)</f>
        <v>10.311688311688325</v>
      </c>
      <c r="X11" s="59">
        <f>IF(Q11&lt;=Assumptions!$D$15,SUMPRODUCT($I$6:$M$6,S11:W11),0)</f>
        <v>5829609.8701298796</v>
      </c>
      <c r="Z11" s="496"/>
      <c r="AA11" s="44">
        <f t="shared" si="5"/>
        <v>2023</v>
      </c>
      <c r="AB11" s="21" t="str">
        <f>IF(AA11&gt;=(Assumptions!$D$45+Assumptions!$D$46),"Yes",IF(OR(AA11=Assumptions!$D$45,AA11=Assumptions!$D$45+Assumptions!$D$46-1),"Construction","No"))</f>
        <v>No</v>
      </c>
      <c r="AC11" s="45" cm="1">
        <f t="array" ref="AC11">IF($AB11="no",_xlfn.XLOOKUP($AA11,$Q$7:$Q$47,S$7:S$47),IF($AB11="yes",(TREND($I$16:$I$17,$H$16:$H$17,$AA11)*TREND($J$36:$J$37,$I$36:$I$37,$AA11)),IF($AB11="Construction",0,0)))</f>
        <v>0.41246753246753309</v>
      </c>
      <c r="AD11" s="45" cm="1">
        <f t="array" ref="AD11">IF($AB11="no",_xlfn.XLOOKUP($AA11,$Q$7:$Q$47,T$7:T$47),IF($AB11="yes",(TREND($I$16:$I$17,$H$16:$H$17,$AA11)*TREND($J$36:$J$37,$I$36:$I$37,$AA11)),IF($AB11="Construction",0,0)))</f>
        <v>0.20623376623376655</v>
      </c>
      <c r="AE11" s="45" cm="1">
        <f t="array" ref="AE11">IF($AB11="no",_xlfn.XLOOKUP($AA11,$Q$7:$Q$47,U$7:U$47),IF($AB11="yes",(TREND($I$16:$I$17,$H$16:$H$17,$AA11)*TREND($J$36:$J$37,$I$36:$I$37,$AA11)),IF($AB11="Construction",0,0)))</f>
        <v>0.82493506493506619</v>
      </c>
      <c r="AF11" s="45" cm="1">
        <f t="array" ref="AF11">IF($AB11="no",_xlfn.XLOOKUP($AA11,$Q$7:$Q$47,V$7:V$47),IF($AB11="yes",(TREND($I$16:$I$17,$H$16:$H$17,$AA11)*TREND($J$36:$J$37,$I$36:$I$37,$AA11)),IF($AB11="Construction",0,0)))</f>
        <v>1.6498701298701324</v>
      </c>
      <c r="AG11" s="45" cm="1">
        <f t="array" ref="AG11">IF($AB11="no",_xlfn.XLOOKUP($AA11,$Q$7:$Q$47,W$7:W$47),IF($AB11="yes",(TREND($I$16:$I$17,$H$16:$H$17,$AA11)*TREND($J$36:$J$37,$I$36:$I$37,$AA11)),IF($AB11="Construction",0,0)))</f>
        <v>10.311688311688325</v>
      </c>
      <c r="AH11" s="59">
        <f>IF(AA11&lt;=Assumptions!$D$15,SUMPRODUCT($I$6:$M$6,AC11:AG11),0)</f>
        <v>5829609.8701298796</v>
      </c>
      <c r="AI11" s="212"/>
    </row>
    <row r="12" spans="1:35" x14ac:dyDescent="0.25">
      <c r="B12" s="61">
        <f t="shared" si="2"/>
        <v>2035</v>
      </c>
      <c r="C12" s="98">
        <f t="shared" si="0"/>
        <v>6358239.4805194847</v>
      </c>
      <c r="D12" s="98">
        <f t="shared" si="1"/>
        <v>2857173.7267948072</v>
      </c>
      <c r="E12" s="99">
        <f t="shared" si="3"/>
        <v>3501065.7537246775</v>
      </c>
      <c r="F12" s="100">
        <f>E12*(1+Assumptions!$D$24)^-(B12-Assumptions!$D$10)</f>
        <v>2354168.9030115916</v>
      </c>
      <c r="G12" s="3"/>
      <c r="H12" s="21" t="s">
        <v>212</v>
      </c>
      <c r="I12" s="391">
        <f>'Network Crash Calcs'!D30</f>
        <v>5</v>
      </c>
      <c r="P12" s="496"/>
      <c r="Q12" s="44">
        <f t="shared" si="4"/>
        <v>2024</v>
      </c>
      <c r="R12" s="21" t="s">
        <v>752</v>
      </c>
      <c r="S12" s="45" cm="1">
        <f t="array" ref="S12">IF($R12="Yes",(TREND($I$16:$I$17,$H$16:$H$17,$Q12)*TREND(J$29:J$30,$I$29:$I$30,$Q12))+(TREND($I$16:$I$17,$H$16:$H$17,$Q12)*TREND(J$31:J$32,$I$31:$I$32,$Q12)),0)</f>
        <v>0.41558441558441528</v>
      </c>
      <c r="T12" s="45" cm="1">
        <f t="array" ref="T12">IF($R12="Yes",(TREND($I$16:$I$17,$H$16:$H$17,$Q12)*TREND(K$29:K$30,$I$29:$I$30,$Q12))+(TREND($I$16:$I$17,$H$16:$H$17,$Q12)*TREND(K$31:K$32,$I$31:$I$32,$Q12)),0)</f>
        <v>0.20779220779220764</v>
      </c>
      <c r="U12" s="45" cm="1">
        <f t="array" ref="U12">IF($R12="Yes",(TREND($I$16:$I$17,$H$16:$H$17,$Q12)*TREND(L$29:L$30,$I$29:$I$30,$Q12))+(TREND($I$16:$I$17,$H$16:$H$17,$Q12)*TREND(L$31:L$32,$I$31:$I$32,$Q12)),0)</f>
        <v>0.83116883116883056</v>
      </c>
      <c r="V12" s="45" cm="1">
        <f t="array" ref="V12">IF($R12="Yes",(TREND($I$16:$I$17,$H$16:$H$17,$Q12)*TREND(M$29:M$30,$I$29:$I$30,$Q12))+(TREND($I$16:$I$17,$H$16:$H$17,$Q12)*TREND(M$31:M$32,$I$31:$I$32,$Q12)),0)</f>
        <v>1.6623376623376611</v>
      </c>
      <c r="W12" s="45" cm="1">
        <f t="array" ref="W12">IF($R12="Yes",(TREND($I$16:$I$17,$H$16:$H$17,$Q12)*TREND(N$29:N$30,$I$29:$I$30,$Q12))+(TREND($I$16:$I$17,$H$16:$H$17,$Q12)*TREND(N$31:N$32,$I$31:$I$32,$Q12)),0)</f>
        <v>10.389610389610382</v>
      </c>
      <c r="X12" s="59">
        <f>IF(Q12&lt;=Assumptions!$D$15,SUMPRODUCT($I$6:$M$6,S12:W12),0)</f>
        <v>5873662.3376623336</v>
      </c>
      <c r="Z12" s="496"/>
      <c r="AA12" s="44">
        <f t="shared" si="5"/>
        <v>2024</v>
      </c>
      <c r="AB12" s="21" t="str">
        <f>IF(AA12&gt;=(Assumptions!$D$45+Assumptions!$D$46),"Yes",IF(OR(AA12=Assumptions!$D$45,AA12=Assumptions!$D$45+Assumptions!$D$46-1),"Construction","No"))</f>
        <v>No</v>
      </c>
      <c r="AC12" s="45" cm="1">
        <f t="array" ref="AC12">IF($AB12="no",_xlfn.XLOOKUP($AA12,$Q$7:$Q$47,S$7:S$47),IF($AB12="yes",(TREND($I$16:$I$17,$H$16:$H$17,$AA12)*TREND($J$36:$J$37,$I$36:$I$37,$AA12)),IF($AB12="Construction",0,0)))</f>
        <v>0.41558441558441528</v>
      </c>
      <c r="AD12" s="45" cm="1">
        <f t="array" ref="AD12">IF($AB12="no",_xlfn.XLOOKUP($AA12,$Q$7:$Q$47,T$7:T$47),IF($AB12="yes",(TREND($I$16:$I$17,$H$16:$H$17,$AA12)*TREND($J$36:$J$37,$I$36:$I$37,$AA12)),IF($AB12="Construction",0,0)))</f>
        <v>0.20779220779220764</v>
      </c>
      <c r="AE12" s="45" cm="1">
        <f t="array" ref="AE12">IF($AB12="no",_xlfn.XLOOKUP($AA12,$Q$7:$Q$47,U$7:U$47),IF($AB12="yes",(TREND($I$16:$I$17,$H$16:$H$17,$AA12)*TREND($J$36:$J$37,$I$36:$I$37,$AA12)),IF($AB12="Construction",0,0)))</f>
        <v>0.83116883116883056</v>
      </c>
      <c r="AF12" s="45" cm="1">
        <f t="array" ref="AF12">IF($AB12="no",_xlfn.XLOOKUP($AA12,$Q$7:$Q$47,V$7:V$47),IF($AB12="yes",(TREND($I$16:$I$17,$H$16:$H$17,$AA12)*TREND($J$36:$J$37,$I$36:$I$37,$AA12)),IF($AB12="Construction",0,0)))</f>
        <v>1.6623376623376611</v>
      </c>
      <c r="AG12" s="45" cm="1">
        <f t="array" ref="AG12">IF($AB12="no",_xlfn.XLOOKUP($AA12,$Q$7:$Q$47,W$7:W$47),IF($AB12="yes",(TREND($I$16:$I$17,$H$16:$H$17,$AA12)*TREND($J$36:$J$37,$I$36:$I$37,$AA12)),IF($AB12="Construction",0,0)))</f>
        <v>10.389610389610382</v>
      </c>
      <c r="AH12" s="59">
        <f>IF(AA12&lt;=Assumptions!$D$15,SUMPRODUCT($I$6:$M$6,AC12:AG12),0)</f>
        <v>5873662.3376623336</v>
      </c>
      <c r="AI12" s="212"/>
    </row>
    <row r="13" spans="1:35" x14ac:dyDescent="0.25">
      <c r="B13" s="61">
        <f t="shared" si="2"/>
        <v>2036</v>
      </c>
      <c r="C13" s="98">
        <f t="shared" si="0"/>
        <v>6402291.9480519546</v>
      </c>
      <c r="D13" s="98">
        <f t="shared" si="1"/>
        <v>2876969.3877194836</v>
      </c>
      <c r="E13" s="99">
        <f t="shared" si="3"/>
        <v>3525322.560332471</v>
      </c>
      <c r="F13" s="100">
        <f>E13*(1+Assumptions!$D$24)^-(B13-Assumptions!$D$10)</f>
        <v>2299204.2115058014</v>
      </c>
      <c r="P13" s="496"/>
      <c r="Q13" s="44">
        <f t="shared" si="4"/>
        <v>2025</v>
      </c>
      <c r="R13" s="21" t="s">
        <v>752</v>
      </c>
      <c r="S13" s="45" cm="1">
        <f t="array" ref="S13">IF($R13="Yes",(TREND($I$16:$I$17,$H$16:$H$17,$Q13)*TREND(J$29:J$30,$I$29:$I$30,$Q13))+(TREND($I$16:$I$17,$H$16:$H$17,$Q13)*TREND(J$31:J$32,$I$31:$I$32,$Q13)),0)</f>
        <v>0.41870129870129857</v>
      </c>
      <c r="T13" s="45" cm="1">
        <f t="array" ref="T13">IF($R13="Yes",(TREND($I$16:$I$17,$H$16:$H$17,$Q13)*TREND(K$29:K$30,$I$29:$I$30,$Q13))+(TREND($I$16:$I$17,$H$16:$H$17,$Q13)*TREND(K$31:K$32,$I$31:$I$32,$Q13)),0)</f>
        <v>0.20935064935064929</v>
      </c>
      <c r="U13" s="45" cm="1">
        <f t="array" ref="U13">IF($R13="Yes",(TREND($I$16:$I$17,$H$16:$H$17,$Q13)*TREND(L$29:L$30,$I$29:$I$30,$Q13))+(TREND($I$16:$I$17,$H$16:$H$17,$Q13)*TREND(L$31:L$32,$I$31:$I$32,$Q13)),0)</f>
        <v>0.83740259740259715</v>
      </c>
      <c r="V13" s="45" cm="1">
        <f t="array" ref="V13">IF($R13="Yes",(TREND($I$16:$I$17,$H$16:$H$17,$Q13)*TREND(M$29:M$30,$I$29:$I$30,$Q13))+(TREND($I$16:$I$17,$H$16:$H$17,$Q13)*TREND(M$31:M$32,$I$31:$I$32,$Q13)),0)</f>
        <v>1.6748051948051943</v>
      </c>
      <c r="W13" s="45" cm="1">
        <f t="array" ref="W13">IF($R13="Yes",(TREND($I$16:$I$17,$H$16:$H$17,$Q13)*TREND(N$29:N$30,$I$29:$I$30,$Q13))+(TREND($I$16:$I$17,$H$16:$H$17,$Q13)*TREND(N$31:N$32,$I$31:$I$32,$Q13)),0)</f>
        <v>10.467532467532465</v>
      </c>
      <c r="X13" s="59">
        <f>IF(Q13&lt;=Assumptions!$D$15,SUMPRODUCT($I$6:$M$6,S13:W13),0)</f>
        <v>5917714.8051948044</v>
      </c>
      <c r="Z13" s="496"/>
      <c r="AA13" s="44">
        <f t="shared" si="5"/>
        <v>2025</v>
      </c>
      <c r="AB13" s="21" t="str">
        <f>IF(AA13&gt;=(Assumptions!$D$45+Assumptions!$D$46),"Yes",IF(OR(AA13=Assumptions!$D$45,AA13=Assumptions!$D$45+Assumptions!$D$46-1),"Construction","No"))</f>
        <v>No</v>
      </c>
      <c r="AC13" s="45" cm="1">
        <f t="array" ref="AC13">IF($AB13="no",_xlfn.XLOOKUP($AA13,$Q$7:$Q$47,S$7:S$47),IF($AB13="yes",(TREND($I$16:$I$17,$H$16:$H$17,$AA13)*TREND($J$36:$J$37,$I$36:$I$37,$AA13)),IF($AB13="Construction",0,0)))</f>
        <v>0.41870129870129857</v>
      </c>
      <c r="AD13" s="45" cm="1">
        <f t="array" ref="AD13">IF($AB13="no",_xlfn.XLOOKUP($AA13,$Q$7:$Q$47,T$7:T$47),IF($AB13="yes",(TREND($I$16:$I$17,$H$16:$H$17,$AA13)*TREND($J$36:$J$37,$I$36:$I$37,$AA13)),IF($AB13="Construction",0,0)))</f>
        <v>0.20935064935064929</v>
      </c>
      <c r="AE13" s="45" cm="1">
        <f t="array" ref="AE13">IF($AB13="no",_xlfn.XLOOKUP($AA13,$Q$7:$Q$47,U$7:U$47),IF($AB13="yes",(TREND($I$16:$I$17,$H$16:$H$17,$AA13)*TREND($J$36:$J$37,$I$36:$I$37,$AA13)),IF($AB13="Construction",0,0)))</f>
        <v>0.83740259740259715</v>
      </c>
      <c r="AF13" s="45" cm="1">
        <f t="array" ref="AF13">IF($AB13="no",_xlfn.XLOOKUP($AA13,$Q$7:$Q$47,V$7:V$47),IF($AB13="yes",(TREND($I$16:$I$17,$H$16:$H$17,$AA13)*TREND($J$36:$J$37,$I$36:$I$37,$AA13)),IF($AB13="Construction",0,0)))</f>
        <v>1.6748051948051943</v>
      </c>
      <c r="AG13" s="45" cm="1">
        <f t="array" ref="AG13">IF($AB13="no",_xlfn.XLOOKUP($AA13,$Q$7:$Q$47,W$7:W$47),IF($AB13="yes",(TREND($I$16:$I$17,$H$16:$H$17,$AA13)*TREND($J$36:$J$37,$I$36:$I$37,$AA13)),IF($AB13="Construction",0,0)))</f>
        <v>10.467532467532465</v>
      </c>
      <c r="AH13" s="59">
        <f>IF(AA13&lt;=Assumptions!$D$15,SUMPRODUCT($I$6:$M$6,AC13:AG13),0)</f>
        <v>5917714.8051948044</v>
      </c>
      <c r="AI13" s="212"/>
    </row>
    <row r="14" spans="1:35" ht="15" customHeight="1" x14ac:dyDescent="0.25">
      <c r="B14" s="61">
        <f t="shared" si="2"/>
        <v>2037</v>
      </c>
      <c r="C14" s="98">
        <f t="shared" si="0"/>
        <v>6446344.4155844254</v>
      </c>
      <c r="D14" s="98">
        <f t="shared" si="1"/>
        <v>2896765.0486441599</v>
      </c>
      <c r="E14" s="99">
        <f t="shared" si="3"/>
        <v>3549579.3669402655</v>
      </c>
      <c r="F14" s="100">
        <f>E14*(1+Assumptions!$D$24)^-(B14-Assumptions!$D$10)</f>
        <v>2245416.5120953373</v>
      </c>
      <c r="H14" s="1" t="s">
        <v>794</v>
      </c>
      <c r="P14" s="496"/>
      <c r="Q14" s="44">
        <f t="shared" si="4"/>
        <v>2026</v>
      </c>
      <c r="R14" s="21" t="s">
        <v>752</v>
      </c>
      <c r="S14" s="45" cm="1">
        <f t="array" ref="S14">IF($R14="Yes",(TREND($I$16:$I$17,$H$16:$H$17,$Q14)*TREND(J$29:J$30,$I$29:$I$30,$Q14))+(TREND($I$16:$I$17,$H$16:$H$17,$Q14)*TREND(J$31:J$32,$I$31:$I$32,$Q14)),0)</f>
        <v>0.42181818181818181</v>
      </c>
      <c r="T14" s="45" cm="1">
        <f t="array" ref="T14">IF($R14="Yes",(TREND($I$16:$I$17,$H$16:$H$17,$Q14)*TREND(K$29:K$30,$I$29:$I$30,$Q14))+(TREND($I$16:$I$17,$H$16:$H$17,$Q14)*TREND(K$31:K$32,$I$31:$I$32,$Q14)),0)</f>
        <v>0.21090909090909091</v>
      </c>
      <c r="U14" s="45" cm="1">
        <f t="array" ref="U14">IF($R14="Yes",(TREND($I$16:$I$17,$H$16:$H$17,$Q14)*TREND(L$29:L$30,$I$29:$I$30,$Q14))+(TREND($I$16:$I$17,$H$16:$H$17,$Q14)*TREND(L$31:L$32,$I$31:$I$32,$Q14)),0)</f>
        <v>0.84363636363636363</v>
      </c>
      <c r="V14" s="45" cm="1">
        <f t="array" ref="V14">IF($R14="Yes",(TREND($I$16:$I$17,$H$16:$H$17,$Q14)*TREND(M$29:M$30,$I$29:$I$30,$Q14))+(TREND($I$16:$I$17,$H$16:$H$17,$Q14)*TREND(M$31:M$32,$I$31:$I$32,$Q14)),0)</f>
        <v>1.6872727272727273</v>
      </c>
      <c r="W14" s="45" cm="1">
        <f t="array" ref="W14">IF($R14="Yes",(TREND($I$16:$I$17,$H$16:$H$17,$Q14)*TREND(N$29:N$30,$I$29:$I$30,$Q14))+(TREND($I$16:$I$17,$H$16:$H$17,$Q14)*TREND(N$31:N$32,$I$31:$I$32,$Q14)),0)</f>
        <v>10.545454545454545</v>
      </c>
      <c r="X14" s="59">
        <f>IF(Q14&lt;=Assumptions!$D$15,SUMPRODUCT($I$6:$M$6,S14:W14),0)</f>
        <v>5961767.2727272715</v>
      </c>
      <c r="Z14" s="496"/>
      <c r="AA14" s="44">
        <f t="shared" si="5"/>
        <v>2026</v>
      </c>
      <c r="AB14" s="21" t="str">
        <f>IF(AA14&gt;=(Assumptions!$D$45+Assumptions!$D$46),"Yes",IF(OR(AA14=Assumptions!$D$45,AA14=Assumptions!$D$45+Assumptions!$D$46-1),"Construction","No"))</f>
        <v>No</v>
      </c>
      <c r="AC14" s="45" cm="1">
        <f t="array" ref="AC14">IF($AB14="no",_xlfn.XLOOKUP($AA14,$Q$7:$Q$47,S$7:S$47),IF($AB14="yes",(TREND($I$16:$I$17,$H$16:$H$17,$AA14)*TREND($J$36:$J$37,$I$36:$I$37,$AA14)),IF($AB14="Construction",0,0)))</f>
        <v>0.42181818181818181</v>
      </c>
      <c r="AD14" s="45" cm="1">
        <f t="array" ref="AD14">IF($AB14="no",_xlfn.XLOOKUP($AA14,$Q$7:$Q$47,T$7:T$47),IF($AB14="yes",(TREND($I$16:$I$17,$H$16:$H$17,$AA14)*TREND($J$36:$J$37,$I$36:$I$37,$AA14)),IF($AB14="Construction",0,0)))</f>
        <v>0.21090909090909091</v>
      </c>
      <c r="AE14" s="45" cm="1">
        <f t="array" ref="AE14">IF($AB14="no",_xlfn.XLOOKUP($AA14,$Q$7:$Q$47,U$7:U$47),IF($AB14="yes",(TREND($I$16:$I$17,$H$16:$H$17,$AA14)*TREND($J$36:$J$37,$I$36:$I$37,$AA14)),IF($AB14="Construction",0,0)))</f>
        <v>0.84363636363636363</v>
      </c>
      <c r="AF14" s="45" cm="1">
        <f t="array" ref="AF14">IF($AB14="no",_xlfn.XLOOKUP($AA14,$Q$7:$Q$47,V$7:V$47),IF($AB14="yes",(TREND($I$16:$I$17,$H$16:$H$17,$AA14)*TREND($J$36:$J$37,$I$36:$I$37,$AA14)),IF($AB14="Construction",0,0)))</f>
        <v>1.6872727272727273</v>
      </c>
      <c r="AG14" s="45" cm="1">
        <f t="array" ref="AG14">IF($AB14="no",_xlfn.XLOOKUP($AA14,$Q$7:$Q$47,W$7:W$47),IF($AB14="yes",(TREND($I$16:$I$17,$H$16:$H$17,$AA14)*TREND($J$36:$J$37,$I$36:$I$37,$AA14)),IF($AB14="Construction",0,0)))</f>
        <v>10.545454545454545</v>
      </c>
      <c r="AH14" s="59">
        <f>IF(AA14&lt;=Assumptions!$D$15,SUMPRODUCT($I$6:$M$6,AC14:AG14),0)</f>
        <v>5961767.2727272715</v>
      </c>
      <c r="AI14" s="212"/>
    </row>
    <row r="15" spans="1:35" x14ac:dyDescent="0.25">
      <c r="B15" s="61">
        <f t="shared" si="2"/>
        <v>2038</v>
      </c>
      <c r="C15" s="98">
        <f t="shared" si="0"/>
        <v>6490396.8831168795</v>
      </c>
      <c r="D15" s="98">
        <f t="shared" si="1"/>
        <v>2916560.7095688297</v>
      </c>
      <c r="E15" s="99">
        <f t="shared" si="3"/>
        <v>3573836.1735480498</v>
      </c>
      <c r="F15" s="100">
        <f>E15*(1+Assumptions!$D$24)^-(B15-Assumptions!$D$10)</f>
        <v>2192784.7178163421</v>
      </c>
      <c r="H15" s="21" t="s">
        <v>22</v>
      </c>
      <c r="I15" s="21" t="s">
        <v>35</v>
      </c>
      <c r="P15" s="496"/>
      <c r="Q15" s="44">
        <f t="shared" si="4"/>
        <v>2027</v>
      </c>
      <c r="R15" s="21" t="s">
        <v>752</v>
      </c>
      <c r="S15" s="45" cm="1">
        <f t="array" ref="S15">IF($R15="Yes",(TREND($I$16:$I$17,$H$16:$H$17,$Q15)*TREND(J$29:J$30,$I$29:$I$30,$Q15))+(TREND($I$16:$I$17,$H$16:$H$17,$Q15)*TREND(J$31:J$32,$I$31:$I$32,$Q15)),0)</f>
        <v>0.42493506493506511</v>
      </c>
      <c r="T15" s="45" cm="1">
        <f t="array" ref="T15">IF($R15="Yes",(TREND($I$16:$I$17,$H$16:$H$17,$Q15)*TREND(K$29:K$30,$I$29:$I$30,$Q15))+(TREND($I$16:$I$17,$H$16:$H$17,$Q15)*TREND(K$31:K$32,$I$31:$I$32,$Q15)),0)</f>
        <v>0.21246753246753255</v>
      </c>
      <c r="U15" s="45" cm="1">
        <f t="array" ref="U15">IF($R15="Yes",(TREND($I$16:$I$17,$H$16:$H$17,$Q15)*TREND(L$29:L$30,$I$29:$I$30,$Q15))+(TREND($I$16:$I$17,$H$16:$H$17,$Q15)*TREND(L$31:L$32,$I$31:$I$32,$Q15)),0)</f>
        <v>0.84987012987013022</v>
      </c>
      <c r="V15" s="45" cm="1">
        <f t="array" ref="V15">IF($R15="Yes",(TREND($I$16:$I$17,$H$16:$H$17,$Q15)*TREND(M$29:M$30,$I$29:$I$30,$Q15))+(TREND($I$16:$I$17,$H$16:$H$17,$Q15)*TREND(M$31:M$32,$I$31:$I$32,$Q15)),0)</f>
        <v>1.6997402597402604</v>
      </c>
      <c r="W15" s="45" cm="1">
        <f t="array" ref="W15">IF($R15="Yes",(TREND($I$16:$I$17,$H$16:$H$17,$Q15)*TREND(N$29:N$30,$I$29:$I$30,$Q15))+(TREND($I$16:$I$17,$H$16:$H$17,$Q15)*TREND(N$31:N$32,$I$31:$I$32,$Q15)),0)</f>
        <v>10.623376623376627</v>
      </c>
      <c r="X15" s="59">
        <f>IF(Q15&lt;=Assumptions!$D$15,SUMPRODUCT($I$6:$M$6,S15:W15),0)</f>
        <v>6005819.7402597433</v>
      </c>
      <c r="Z15" s="496"/>
      <c r="AA15" s="44">
        <f t="shared" si="5"/>
        <v>2027</v>
      </c>
      <c r="AB15" s="21" t="str">
        <f>IF(AA15&gt;=(Assumptions!$D$45+Assumptions!$D$46),"Yes",IF(OR(AA15=Assumptions!$D$45,AA15=Assumptions!$D$45+Assumptions!$D$46-1),"Construction","No"))</f>
        <v>Construction</v>
      </c>
      <c r="AC15" s="45" cm="1">
        <f t="array" ref="AC15">IF($AB15="no",_xlfn.XLOOKUP($AA15,$Q$7:$Q$47,S$7:S$47),IF($AB15="yes",(TREND($I$16:$I$17,$H$16:$H$17,$AA15)*TREND($J$36:$J$37,$I$36:$I$37,$AA15)),IF($AB15="Construction",0,0)))</f>
        <v>0</v>
      </c>
      <c r="AD15" s="45" cm="1">
        <f t="array" ref="AD15">IF($AB15="no",_xlfn.XLOOKUP($AA15,$Q$7:$Q$47,T$7:T$47),IF($AB15="yes",(TREND($I$16:$I$17,$H$16:$H$17,$AA15)*TREND($J$36:$J$37,$I$36:$I$37,$AA15)),IF($AB15="Construction",0,0)))</f>
        <v>0</v>
      </c>
      <c r="AE15" s="45" cm="1">
        <f t="array" ref="AE15">IF($AB15="no",_xlfn.XLOOKUP($AA15,$Q$7:$Q$47,U$7:U$47),IF($AB15="yes",(TREND($I$16:$I$17,$H$16:$H$17,$AA15)*TREND($J$36:$J$37,$I$36:$I$37,$AA15)),IF($AB15="Construction",0,0)))</f>
        <v>0</v>
      </c>
      <c r="AF15" s="45" cm="1">
        <f t="array" ref="AF15">IF($AB15="no",_xlfn.XLOOKUP($AA15,$Q$7:$Q$47,V$7:V$47),IF($AB15="yes",(TREND($I$16:$I$17,$H$16:$H$17,$AA15)*TREND($J$36:$J$37,$I$36:$I$37,$AA15)),IF($AB15="Construction",0,0)))</f>
        <v>0</v>
      </c>
      <c r="AG15" s="45" cm="1">
        <f t="array" ref="AG15">IF($AB15="no",_xlfn.XLOOKUP($AA15,$Q$7:$Q$47,W$7:W$47),IF($AB15="yes",(TREND($I$16:$I$17,$H$16:$H$17,$AA15)*TREND($J$36:$J$37,$I$36:$I$37,$AA15)),IF($AB15="Construction",0,0)))</f>
        <v>0</v>
      </c>
      <c r="AH15" s="59">
        <f>IF(AA15&lt;=Assumptions!$D$15,SUMPRODUCT($I$6:$M$6,AC15:AG15),0)</f>
        <v>0</v>
      </c>
      <c r="AI15" s="212"/>
    </row>
    <row r="16" spans="1:35" x14ac:dyDescent="0.25">
      <c r="B16" s="61">
        <f t="shared" si="2"/>
        <v>2039</v>
      </c>
      <c r="C16" s="98">
        <f t="shared" si="0"/>
        <v>6534449.3506493485</v>
      </c>
      <c r="D16" s="98">
        <f t="shared" si="1"/>
        <v>2936356.3704935056</v>
      </c>
      <c r="E16" s="99">
        <f>C16-D16</f>
        <v>3598092.9801558428</v>
      </c>
      <c r="F16" s="100">
        <f>E16*(1+Assumptions!$D$24)^-(B16-Assumptions!$D$10)</f>
        <v>2141287.9456931776</v>
      </c>
      <c r="H16" s="21">
        <f>'Traffic Volume and Route Data'!C11</f>
        <v>2019</v>
      </c>
      <c r="I16" s="57">
        <f>'Traffic Volume and Route Data'!D11</f>
        <v>5500</v>
      </c>
      <c r="P16" s="496"/>
      <c r="Q16" s="44">
        <f t="shared" si="4"/>
        <v>2028</v>
      </c>
      <c r="R16" s="21" t="s">
        <v>752</v>
      </c>
      <c r="S16" s="45" cm="1">
        <f t="array" ref="S16">IF($R16="Yes",(TREND($I$16:$I$17,$H$16:$H$17,$Q16)*TREND(J$29:J$30,$I$29:$I$30,$Q16))+(TREND($I$16:$I$17,$H$16:$H$17,$Q16)*TREND(J$31:J$32,$I$31:$I$32,$Q16)),0)</f>
        <v>0.42805194805194835</v>
      </c>
      <c r="T16" s="45" cm="1">
        <f t="array" ref="T16">IF($R16="Yes",(TREND($I$16:$I$17,$H$16:$H$17,$Q16)*TREND(K$29:K$30,$I$29:$I$30,$Q16))+(TREND($I$16:$I$17,$H$16:$H$17,$Q16)*TREND(K$31:K$32,$I$31:$I$32,$Q16)),0)</f>
        <v>0.21402597402597417</v>
      </c>
      <c r="U16" s="45" cm="1">
        <f t="array" ref="U16">IF($R16="Yes",(TREND($I$16:$I$17,$H$16:$H$17,$Q16)*TREND(L$29:L$30,$I$29:$I$30,$Q16))+(TREND($I$16:$I$17,$H$16:$H$17,$Q16)*TREND(L$31:L$32,$I$31:$I$32,$Q16)),0)</f>
        <v>0.8561038961038967</v>
      </c>
      <c r="V16" s="45" cm="1">
        <f t="array" ref="V16">IF($R16="Yes",(TREND($I$16:$I$17,$H$16:$H$17,$Q16)*TREND(M$29:M$30,$I$29:$I$30,$Q16))+(TREND($I$16:$I$17,$H$16:$H$17,$Q16)*TREND(M$31:M$32,$I$31:$I$32,$Q16)),0)</f>
        <v>1.7122077922077934</v>
      </c>
      <c r="W16" s="45" cm="1">
        <f t="array" ref="W16">IF($R16="Yes",(TREND($I$16:$I$17,$H$16:$H$17,$Q16)*TREND(N$29:N$30,$I$29:$I$30,$Q16))+(TREND($I$16:$I$17,$H$16:$H$17,$Q16)*TREND(N$31:N$32,$I$31:$I$32,$Q16)),0)</f>
        <v>10.701298701298709</v>
      </c>
      <c r="X16" s="59">
        <f>IF(Q16&lt;=Assumptions!$D$15,SUMPRODUCT($I$6:$M$6,S16:W16),0)</f>
        <v>6049872.2077922123</v>
      </c>
      <c r="Z16" s="496"/>
      <c r="AA16" s="44">
        <f t="shared" si="5"/>
        <v>2028</v>
      </c>
      <c r="AB16" s="21" t="str">
        <f>IF(AA16&gt;=(Assumptions!$D$45+Assumptions!$D$46),"Yes",IF(OR(AA16=Assumptions!$D$45,AA16=Assumptions!$D$45+Assumptions!$D$46-1),"Construction","No"))</f>
        <v>Construction</v>
      </c>
      <c r="AC16" s="45" cm="1">
        <f t="array" ref="AC16">IF($AB16="no",_xlfn.XLOOKUP($AA16,$Q$7:$Q$47,S$7:S$47),IF($AB16="yes",(TREND($I$16:$I$17,$H$16:$H$17,$AA16)*TREND($J$36:$J$37,$I$36:$I$37,$AA16)),IF($AB16="Construction",0,0)))</f>
        <v>0</v>
      </c>
      <c r="AD16" s="45" cm="1">
        <f t="array" ref="AD16">IF($AB16="no",_xlfn.XLOOKUP($AA16,$Q$7:$Q$47,T$7:T$47),IF($AB16="yes",(TREND($I$16:$I$17,$H$16:$H$17,$AA16)*TREND($J$36:$J$37,$I$36:$I$37,$AA16)),IF($AB16="Construction",0,0)))</f>
        <v>0</v>
      </c>
      <c r="AE16" s="45" cm="1">
        <f t="array" ref="AE16">IF($AB16="no",_xlfn.XLOOKUP($AA16,$Q$7:$Q$47,U$7:U$47),IF($AB16="yes",(TREND($I$16:$I$17,$H$16:$H$17,$AA16)*TREND($J$36:$J$37,$I$36:$I$37,$AA16)),IF($AB16="Construction",0,0)))</f>
        <v>0</v>
      </c>
      <c r="AF16" s="45" cm="1">
        <f t="array" ref="AF16">IF($AB16="no",_xlfn.XLOOKUP($AA16,$Q$7:$Q$47,V$7:V$47),IF($AB16="yes",(TREND($I$16:$I$17,$H$16:$H$17,$AA16)*TREND($J$36:$J$37,$I$36:$I$37,$AA16)),IF($AB16="Construction",0,0)))</f>
        <v>0</v>
      </c>
      <c r="AG16" s="45" cm="1">
        <f t="array" ref="AG16">IF($AB16="no",_xlfn.XLOOKUP($AA16,$Q$7:$Q$47,W$7:W$47),IF($AB16="yes",(TREND($I$16:$I$17,$H$16:$H$17,$AA16)*TREND($J$36:$J$37,$I$36:$I$37,$AA16)),IF($AB16="Construction",0,0)))</f>
        <v>0</v>
      </c>
      <c r="AH16" s="59">
        <f>IF(AA16&lt;=Assumptions!$D$15,SUMPRODUCT($I$6:$M$6,AC16:AG16),0)</f>
        <v>0</v>
      </c>
      <c r="AI16" s="212"/>
    </row>
    <row r="17" spans="1:35" ht="15" customHeight="1" x14ac:dyDescent="0.25">
      <c r="B17" s="61">
        <f t="shared" si="2"/>
        <v>2040</v>
      </c>
      <c r="C17" s="98">
        <f t="shared" si="0"/>
        <v>6578501.8181818193</v>
      </c>
      <c r="D17" s="98">
        <f t="shared" si="1"/>
        <v>2956152.031418182</v>
      </c>
      <c r="E17" s="99">
        <f t="shared" si="3"/>
        <v>3622349.7867636373</v>
      </c>
      <c r="F17" s="100">
        <f>E17*(1+Assumptions!$D$24)^-(B17-Assumptions!$D$10)</f>
        <v>2090905.5235356626</v>
      </c>
      <c r="H17" s="21">
        <f>'Traffic Volume and Route Data'!C12</f>
        <v>2040</v>
      </c>
      <c r="I17" s="57">
        <f>'Traffic Volume and Route Data'!D12</f>
        <v>6400</v>
      </c>
      <c r="P17" s="496"/>
      <c r="Q17" s="44">
        <f t="shared" si="4"/>
        <v>2029</v>
      </c>
      <c r="R17" s="21" t="s">
        <v>752</v>
      </c>
      <c r="S17" s="45" cm="1">
        <f t="array" ref="S17">IF($R17="Yes",(TREND($I$16:$I$17,$H$16:$H$17,$Q17)*TREND(J$29:J$30,$I$29:$I$30,$Q17))+(TREND($I$16:$I$17,$H$16:$H$17,$Q17)*TREND(J$31:J$32,$I$31:$I$32,$Q17)),0)</f>
        <v>0.43116883116883165</v>
      </c>
      <c r="T17" s="45" cm="1">
        <f t="array" ref="T17">IF($R17="Yes",(TREND($I$16:$I$17,$H$16:$H$17,$Q17)*TREND(K$29:K$30,$I$29:$I$30,$Q17))+(TREND($I$16:$I$17,$H$16:$H$17,$Q17)*TREND(K$31:K$32,$I$31:$I$32,$Q17)),0)</f>
        <v>0.21558441558441582</v>
      </c>
      <c r="U17" s="45" cm="1">
        <f t="array" ref="U17">IF($R17="Yes",(TREND($I$16:$I$17,$H$16:$H$17,$Q17)*TREND(L$29:L$30,$I$29:$I$30,$Q17))+(TREND($I$16:$I$17,$H$16:$H$17,$Q17)*TREND(L$31:L$32,$I$31:$I$32,$Q17)),0)</f>
        <v>0.86233766233766329</v>
      </c>
      <c r="V17" s="45" cm="1">
        <f t="array" ref="V17">IF($R17="Yes",(TREND($I$16:$I$17,$H$16:$H$17,$Q17)*TREND(M$29:M$30,$I$29:$I$30,$Q17))+(TREND($I$16:$I$17,$H$16:$H$17,$Q17)*TREND(M$31:M$32,$I$31:$I$32,$Q17)),0)</f>
        <v>1.7246753246753266</v>
      </c>
      <c r="W17" s="45" cm="1">
        <f t="array" ref="W17">IF($R17="Yes",(TREND($I$16:$I$17,$H$16:$H$17,$Q17)*TREND(N$29:N$30,$I$29:$I$30,$Q17))+(TREND($I$16:$I$17,$H$16:$H$17,$Q17)*TREND(N$31:N$32,$I$31:$I$32,$Q17)),0)</f>
        <v>10.779220779220791</v>
      </c>
      <c r="X17" s="59">
        <f>IF(Q17&lt;=Assumptions!$D$15,SUMPRODUCT($I$6:$M$6,S17:W17),0)</f>
        <v>6093924.6753246821</v>
      </c>
      <c r="Z17" s="496"/>
      <c r="AA17" s="44">
        <f t="shared" si="5"/>
        <v>2029</v>
      </c>
      <c r="AB17" s="21" t="str">
        <f>IF(AA17&gt;=(Assumptions!$D$45+Assumptions!$D$46),"Yes",IF(OR(AA17=Assumptions!$D$45,AA17=Assumptions!$D$45+Assumptions!$D$46-1),"Construction","No"))</f>
        <v>Yes</v>
      </c>
      <c r="AC17" s="45" cm="1">
        <f t="array" ref="AC17">IF($AB17="no",_xlfn.XLOOKUP($AA17,$Q$7:$Q$47,S$7:S$47),IF($AB17="yes",(TREND($I$16:$I$17,$H$16:$H$17,$AA17)*TREND($J$36:$J$37,$I$36:$I$37,$AA17)),IF($AB17="Construction",0,0)))</f>
        <v>0.19506077922077944</v>
      </c>
      <c r="AD17" s="45" cm="1">
        <f t="array" ref="AD17">IF($AB17="no",_xlfn.XLOOKUP($AA17,$Q$7:$Q$47,T$7:T$47),IF($AB17="yes",(TREND($I$16:$I$17,$H$16:$H$17,$AA17)*TREND($J$36:$J$37,$I$36:$I$37,$AA17)),IF($AB17="Construction",0,0)))</f>
        <v>0.19506077922077944</v>
      </c>
      <c r="AE17" s="45" cm="1">
        <f t="array" ref="AE17">IF($AB17="no",_xlfn.XLOOKUP($AA17,$Q$7:$Q$47,U$7:U$47),IF($AB17="yes",(TREND($I$16:$I$17,$H$16:$H$17,$AA17)*TREND($J$36:$J$37,$I$36:$I$37,$AA17)),IF($AB17="Construction",0,0)))</f>
        <v>0.19506077922077944</v>
      </c>
      <c r="AF17" s="45" cm="1">
        <f t="array" ref="AF17">IF($AB17="no",_xlfn.XLOOKUP($AA17,$Q$7:$Q$47,V$7:V$47),IF($AB17="yes",(TREND($I$16:$I$17,$H$16:$H$17,$AA17)*TREND($J$36:$J$37,$I$36:$I$37,$AA17)),IF($AB17="Construction",0,0)))</f>
        <v>0.19506077922077944</v>
      </c>
      <c r="AG17" s="45" cm="1">
        <f t="array" ref="AG17">IF($AB17="no",_xlfn.XLOOKUP($AA17,$Q$7:$Q$47,W$7:W$47),IF($AB17="yes",(TREND($I$16:$I$17,$H$16:$H$17,$AA17)*TREND($J$36:$J$37,$I$36:$I$37,$AA17)),IF($AB17="Construction",0,0)))</f>
        <v>0.19506077922077944</v>
      </c>
      <c r="AH17" s="59">
        <f>IF(AA17&lt;=Assumptions!$D$15,SUMPRODUCT($I$6:$M$6,AC17:AG17),0)</f>
        <v>2738399.7612467567</v>
      </c>
      <c r="AI17" s="212"/>
    </row>
    <row r="18" spans="1:35" ht="15" customHeight="1" x14ac:dyDescent="0.25">
      <c r="B18" s="61">
        <f t="shared" si="2"/>
        <v>2041</v>
      </c>
      <c r="C18" s="98">
        <f t="shared" si="0"/>
        <v>6622554.2857142873</v>
      </c>
      <c r="D18" s="98">
        <f t="shared" si="1"/>
        <v>2975947.6923428583</v>
      </c>
      <c r="E18" s="99">
        <f t="shared" si="3"/>
        <v>3646606.593371429</v>
      </c>
      <c r="F18" s="100">
        <f>E18*(1+Assumptions!$D$24)^-(B18-Assumptions!$D$10)</f>
        <v>2041616.9961431858</v>
      </c>
      <c r="H18" s="1"/>
      <c r="I18" s="1"/>
      <c r="J18" s="1"/>
      <c r="K18" s="1"/>
      <c r="P18" s="496"/>
      <c r="Q18" s="44">
        <f t="shared" si="4"/>
        <v>2030</v>
      </c>
      <c r="R18" s="21" t="s">
        <v>752</v>
      </c>
      <c r="S18" s="45" cm="1">
        <f t="array" ref="S18">IF($R18="Yes",(TREND($I$16:$I$17,$H$16:$H$17,$Q18)*TREND(J$29:J$30,$I$29:$I$30,$Q18))+(TREND($I$16:$I$17,$H$16:$H$17,$Q18)*TREND(J$31:J$32,$I$31:$I$32,$Q18)),0)</f>
        <v>0.43428571428571489</v>
      </c>
      <c r="T18" s="45" cm="1">
        <f t="array" ref="T18">IF($R18="Yes",(TREND($I$16:$I$17,$H$16:$H$17,$Q18)*TREND(K$29:K$30,$I$29:$I$30,$Q18))+(TREND($I$16:$I$17,$H$16:$H$17,$Q18)*TREND(K$31:K$32,$I$31:$I$32,$Q18)),0)</f>
        <v>0.21714285714285744</v>
      </c>
      <c r="U18" s="45" cm="1">
        <f t="array" ref="U18">IF($R18="Yes",(TREND($I$16:$I$17,$H$16:$H$17,$Q18)*TREND(L$29:L$30,$I$29:$I$30,$Q18))+(TREND($I$16:$I$17,$H$16:$H$17,$Q18)*TREND(L$31:L$32,$I$31:$I$32,$Q18)),0)</f>
        <v>0.86857142857142977</v>
      </c>
      <c r="V18" s="45" cm="1">
        <f t="array" ref="V18">IF($R18="Yes",(TREND($I$16:$I$17,$H$16:$H$17,$Q18)*TREND(M$29:M$30,$I$29:$I$30,$Q18))+(TREND($I$16:$I$17,$H$16:$H$17,$Q18)*TREND(M$31:M$32,$I$31:$I$32,$Q18)),0)</f>
        <v>1.7371428571428595</v>
      </c>
      <c r="W18" s="45" cm="1">
        <f t="array" ref="W18">IF($R18="Yes",(TREND($I$16:$I$17,$H$16:$H$17,$Q18)*TREND(N$29:N$30,$I$29:$I$30,$Q18))+(TREND($I$16:$I$17,$H$16:$H$17,$Q18)*TREND(N$31:N$32,$I$31:$I$32,$Q18)),0)</f>
        <v>10.857142857142872</v>
      </c>
      <c r="X18" s="59">
        <f>IF(Q18&lt;=Assumptions!$D$15,SUMPRODUCT($I$6:$M$6,S18:W18),0)</f>
        <v>6137977.1428571511</v>
      </c>
      <c r="Z18" s="496"/>
      <c r="AA18" s="44">
        <f t="shared" si="5"/>
        <v>2030</v>
      </c>
      <c r="AB18" s="21" t="str">
        <f>IF(AA18&gt;=(Assumptions!$D$45+Assumptions!$D$46),"Yes",IF(OR(AA18=Assumptions!$D$45,AA18=Assumptions!$D$45+Assumptions!$D$46-1),"Construction","No"))</f>
        <v>Yes</v>
      </c>
      <c r="AC18" s="45" cm="1">
        <f t="array" ref="AC18">IF($AB18="no",_xlfn.XLOOKUP($AA18,$Q$7:$Q$47,S$7:S$47),IF($AB18="yes",(TREND($I$16:$I$17,$H$16:$H$17,$AA18)*TREND($J$36:$J$37,$I$36:$I$37,$AA18)),IF($AB18="Construction",0,0)))</f>
        <v>0.19647085714285742</v>
      </c>
      <c r="AD18" s="45" cm="1">
        <f t="array" ref="AD18">IF($AB18="no",_xlfn.XLOOKUP($AA18,$Q$7:$Q$47,T$7:T$47),IF($AB18="yes",(TREND($I$16:$I$17,$H$16:$H$17,$AA18)*TREND($J$36:$J$37,$I$36:$I$37,$AA18)),IF($AB18="Construction",0,0)))</f>
        <v>0.19647085714285742</v>
      </c>
      <c r="AE18" s="45" cm="1">
        <f t="array" ref="AE18">IF($AB18="no",_xlfn.XLOOKUP($AA18,$Q$7:$Q$47,U$7:U$47),IF($AB18="yes",(TREND($I$16:$I$17,$H$16:$H$17,$AA18)*TREND($J$36:$J$37,$I$36:$I$37,$AA18)),IF($AB18="Construction",0,0)))</f>
        <v>0.19647085714285742</v>
      </c>
      <c r="AF18" s="45" cm="1">
        <f t="array" ref="AF18">IF($AB18="no",_xlfn.XLOOKUP($AA18,$Q$7:$Q$47,V$7:V$47),IF($AB18="yes",(TREND($I$16:$I$17,$H$16:$H$17,$AA18)*TREND($J$36:$J$37,$I$36:$I$37,$AA18)),IF($AB18="Construction",0,0)))</f>
        <v>0.19647085714285742</v>
      </c>
      <c r="AG18" s="45" cm="1">
        <f t="array" ref="AG18">IF($AB18="no",_xlfn.XLOOKUP($AA18,$Q$7:$Q$47,W$7:W$47),IF($AB18="yes",(TREND($I$16:$I$17,$H$16:$H$17,$AA18)*TREND($J$36:$J$37,$I$36:$I$37,$AA18)),IF($AB18="Construction",0,0)))</f>
        <v>0.19647085714285742</v>
      </c>
      <c r="AH18" s="59">
        <f>IF(AA18&lt;=Assumptions!$D$15,SUMPRODUCT($I$6:$M$6,AC18:AG18),0)</f>
        <v>2758195.4221714325</v>
      </c>
      <c r="AI18" s="212"/>
    </row>
    <row r="19" spans="1:35" ht="15" customHeight="1" x14ac:dyDescent="0.25">
      <c r="B19" s="61">
        <f t="shared" si="2"/>
        <v>2042</v>
      </c>
      <c r="C19" s="98">
        <f t="shared" si="0"/>
        <v>6666606.7532467572</v>
      </c>
      <c r="D19" s="98">
        <f t="shared" si="1"/>
        <v>2995743.3532675342</v>
      </c>
      <c r="E19" s="99">
        <f>C19-D19</f>
        <v>3670863.399979223</v>
      </c>
      <c r="F19" s="100">
        <f>E19*(1+Assumptions!$D$24)^-(B19-Assumptions!$D$10)</f>
        <v>1993402.13094515</v>
      </c>
      <c r="H19" s="1" t="s">
        <v>247</v>
      </c>
      <c r="I19" s="1"/>
      <c r="J19" s="1"/>
      <c r="K19" s="1"/>
      <c r="P19" s="496"/>
      <c r="Q19" s="44">
        <f t="shared" si="4"/>
        <v>2031</v>
      </c>
      <c r="R19" s="21" t="s">
        <v>752</v>
      </c>
      <c r="S19" s="45" cm="1">
        <f t="array" ref="S19">IF($R19="Yes",(TREND($I$16:$I$17,$H$16:$H$17,$Q19)*TREND(J$29:J$30,$I$29:$I$30,$Q19))+(TREND($I$16:$I$17,$H$16:$H$17,$Q19)*TREND(J$31:J$32,$I$31:$I$32,$Q19)),0)</f>
        <v>0.43740259740259713</v>
      </c>
      <c r="T19" s="45" cm="1">
        <f t="array" ref="T19">IF($R19="Yes",(TREND($I$16:$I$17,$H$16:$H$17,$Q19)*TREND(K$29:K$30,$I$29:$I$30,$Q19))+(TREND($I$16:$I$17,$H$16:$H$17,$Q19)*TREND(K$31:K$32,$I$31:$I$32,$Q19)),0)</f>
        <v>0.21870129870129856</v>
      </c>
      <c r="U19" s="45" cm="1">
        <f t="array" ref="U19">IF($R19="Yes",(TREND($I$16:$I$17,$H$16:$H$17,$Q19)*TREND(L$29:L$30,$I$29:$I$30,$Q19))+(TREND($I$16:$I$17,$H$16:$H$17,$Q19)*TREND(L$31:L$32,$I$31:$I$32,$Q19)),0)</f>
        <v>0.87480519480519425</v>
      </c>
      <c r="V19" s="45" cm="1">
        <f t="array" ref="V19">IF($R19="Yes",(TREND($I$16:$I$17,$H$16:$H$17,$Q19)*TREND(M$29:M$30,$I$29:$I$30,$Q19))+(TREND($I$16:$I$17,$H$16:$H$17,$Q19)*TREND(M$31:M$32,$I$31:$I$32,$Q19)),0)</f>
        <v>1.7496103896103885</v>
      </c>
      <c r="W19" s="45" cm="1">
        <f t="array" ref="W19">IF($R19="Yes",(TREND($I$16:$I$17,$H$16:$H$17,$Q19)*TREND(N$29:N$30,$I$29:$I$30,$Q19))+(TREND($I$16:$I$17,$H$16:$H$17,$Q19)*TREND(N$31:N$32,$I$31:$I$32,$Q19)),0)</f>
        <v>10.935064935064927</v>
      </c>
      <c r="X19" s="59">
        <f>IF(Q19&lt;=Assumptions!$D$15,SUMPRODUCT($I$6:$M$6,S19:W19),0)</f>
        <v>6182029.6103896061</v>
      </c>
      <c r="Z19" s="496"/>
      <c r="AA19" s="44">
        <f t="shared" si="5"/>
        <v>2031</v>
      </c>
      <c r="AB19" s="21" t="str">
        <f>IF(AA19&gt;=(Assumptions!$D$45+Assumptions!$D$46),"Yes",IF(OR(AA19=Assumptions!$D$45,AA19=Assumptions!$D$45+Assumptions!$D$46-1),"Construction","No"))</f>
        <v>Yes</v>
      </c>
      <c r="AC19" s="45" cm="1">
        <f t="array" ref="AC19">IF($AB19="no",_xlfn.XLOOKUP($AA19,$Q$7:$Q$47,S$7:S$47),IF($AB19="yes",(TREND($I$16:$I$17,$H$16:$H$17,$AA19)*TREND($J$36:$J$37,$I$36:$I$37,$AA19)),IF($AB19="Construction",0,0)))</f>
        <v>0.19788093506493493</v>
      </c>
      <c r="AD19" s="45" cm="1">
        <f t="array" ref="AD19">IF($AB19="no",_xlfn.XLOOKUP($AA19,$Q$7:$Q$47,T$7:T$47),IF($AB19="yes",(TREND($I$16:$I$17,$H$16:$H$17,$AA19)*TREND($J$36:$J$37,$I$36:$I$37,$AA19)),IF($AB19="Construction",0,0)))</f>
        <v>0.19788093506493493</v>
      </c>
      <c r="AE19" s="45" cm="1">
        <f t="array" ref="AE19">IF($AB19="no",_xlfn.XLOOKUP($AA19,$Q$7:$Q$47,U$7:U$47),IF($AB19="yes",(TREND($I$16:$I$17,$H$16:$H$17,$AA19)*TREND($J$36:$J$37,$I$36:$I$37,$AA19)),IF($AB19="Construction",0,0)))</f>
        <v>0.19788093506493493</v>
      </c>
      <c r="AF19" s="45" cm="1">
        <f t="array" ref="AF19">IF($AB19="no",_xlfn.XLOOKUP($AA19,$Q$7:$Q$47,V$7:V$47),IF($AB19="yes",(TREND($I$16:$I$17,$H$16:$H$17,$AA19)*TREND($J$36:$J$37,$I$36:$I$37,$AA19)),IF($AB19="Construction",0,0)))</f>
        <v>0.19788093506493493</v>
      </c>
      <c r="AG19" s="45" cm="1">
        <f t="array" ref="AG19">IF($AB19="no",_xlfn.XLOOKUP($AA19,$Q$7:$Q$47,W$7:W$47),IF($AB19="yes",(TREND($I$16:$I$17,$H$16:$H$17,$AA19)*TREND($J$36:$J$37,$I$36:$I$37,$AA19)),IF($AB19="Construction",0,0)))</f>
        <v>0.19788093506493493</v>
      </c>
      <c r="AH19" s="59">
        <f>IF(AA19&lt;=Assumptions!$D$15,SUMPRODUCT($I$6:$M$6,AC19:AG19),0)</f>
        <v>2777991.0830961019</v>
      </c>
      <c r="AI19" s="212"/>
    </row>
    <row r="20" spans="1:35" x14ac:dyDescent="0.25">
      <c r="B20" s="61">
        <f t="shared" si="2"/>
        <v>2043</v>
      </c>
      <c r="C20" s="98">
        <f t="shared" si="0"/>
        <v>6710659.2207792271</v>
      </c>
      <c r="D20" s="98">
        <f t="shared" si="1"/>
        <v>3015539.014192211</v>
      </c>
      <c r="E20" s="99">
        <f t="shared" si="3"/>
        <v>3695120.2065870161</v>
      </c>
      <c r="F20" s="100">
        <f>E20*(1+Assumptions!$D$24)^-(B20-Assumptions!$D$10)</f>
        <v>1946240.9231060341</v>
      </c>
      <c r="H20" s="20" t="s">
        <v>124</v>
      </c>
      <c r="I20" s="21" t="s">
        <v>250</v>
      </c>
      <c r="J20" s="21" t="s">
        <v>249</v>
      </c>
      <c r="P20" s="496"/>
      <c r="Q20" s="44">
        <f t="shared" si="4"/>
        <v>2032</v>
      </c>
      <c r="R20" s="21" t="s">
        <v>752</v>
      </c>
      <c r="S20" s="45" cm="1">
        <f t="array" ref="S20">IF($R20="Yes",(TREND($I$16:$I$17,$H$16:$H$17,$Q20)*TREND(J$29:J$30,$I$29:$I$30,$Q20))+(TREND($I$16:$I$17,$H$16:$H$17,$Q20)*TREND(J$31:J$32,$I$31:$I$32,$Q20)),0)</f>
        <v>0.44051948051948037</v>
      </c>
      <c r="T20" s="45" cm="1">
        <f t="array" ref="T20">IF($R20="Yes",(TREND($I$16:$I$17,$H$16:$H$17,$Q20)*TREND(K$29:K$30,$I$29:$I$30,$Q20))+(TREND($I$16:$I$17,$H$16:$H$17,$Q20)*TREND(K$31:K$32,$I$31:$I$32,$Q20)),0)</f>
        <v>0.22025974025974018</v>
      </c>
      <c r="U20" s="45" cm="1">
        <f t="array" ref="U20">IF($R20="Yes",(TREND($I$16:$I$17,$H$16:$H$17,$Q20)*TREND(L$29:L$30,$I$29:$I$30,$Q20))+(TREND($I$16:$I$17,$H$16:$H$17,$Q20)*TREND(L$31:L$32,$I$31:$I$32,$Q20)),0)</f>
        <v>0.88103896103896073</v>
      </c>
      <c r="V20" s="45" cm="1">
        <f t="array" ref="V20">IF($R20="Yes",(TREND($I$16:$I$17,$H$16:$H$17,$Q20)*TREND(M$29:M$30,$I$29:$I$30,$Q20))+(TREND($I$16:$I$17,$H$16:$H$17,$Q20)*TREND(M$31:M$32,$I$31:$I$32,$Q20)),0)</f>
        <v>1.7620779220779215</v>
      </c>
      <c r="W20" s="45" cm="1">
        <f t="array" ref="W20">IF($R20="Yes",(TREND($I$16:$I$17,$H$16:$H$17,$Q20)*TREND(N$29:N$30,$I$29:$I$30,$Q20))+(TREND($I$16:$I$17,$H$16:$H$17,$Q20)*TREND(N$31:N$32,$I$31:$I$32,$Q20)),0)</f>
        <v>11.01298701298701</v>
      </c>
      <c r="X20" s="59">
        <f>IF(Q20&lt;=Assumptions!$D$15,SUMPRODUCT($I$6:$M$6,S20:W20),0)</f>
        <v>6226082.077922076</v>
      </c>
      <c r="Z20" s="496"/>
      <c r="AA20" s="44">
        <f t="shared" si="5"/>
        <v>2032</v>
      </c>
      <c r="AB20" s="21" t="str">
        <f>IF(AA20&gt;=(Assumptions!$D$45+Assumptions!$D$46),"Yes",IF(OR(AA20=Assumptions!$D$45,AA20=Assumptions!$D$45+Assumptions!$D$46-1),"Construction","No"))</f>
        <v>Yes</v>
      </c>
      <c r="AC20" s="45" cm="1">
        <f t="array" ref="AC20">IF($AB20="no",_xlfn.XLOOKUP($AA20,$Q$7:$Q$47,S$7:S$47),IF($AB20="yes",(TREND($I$16:$I$17,$H$16:$H$17,$AA20)*TREND($J$36:$J$37,$I$36:$I$37,$AA20)),IF($AB20="Construction",0,0)))</f>
        <v>0.19929101298701293</v>
      </c>
      <c r="AD20" s="45" cm="1">
        <f t="array" ref="AD20">IF($AB20="no",_xlfn.XLOOKUP($AA20,$Q$7:$Q$47,T$7:T$47),IF($AB20="yes",(TREND($I$16:$I$17,$H$16:$H$17,$AA20)*TREND($J$36:$J$37,$I$36:$I$37,$AA20)),IF($AB20="Construction",0,0)))</f>
        <v>0.19929101298701293</v>
      </c>
      <c r="AE20" s="45" cm="1">
        <f t="array" ref="AE20">IF($AB20="no",_xlfn.XLOOKUP($AA20,$Q$7:$Q$47,U$7:U$47),IF($AB20="yes",(TREND($I$16:$I$17,$H$16:$H$17,$AA20)*TREND($J$36:$J$37,$I$36:$I$37,$AA20)),IF($AB20="Construction",0,0)))</f>
        <v>0.19929101298701293</v>
      </c>
      <c r="AF20" s="45" cm="1">
        <f t="array" ref="AF20">IF($AB20="no",_xlfn.XLOOKUP($AA20,$Q$7:$Q$47,V$7:V$47),IF($AB20="yes",(TREND($I$16:$I$17,$H$16:$H$17,$AA20)*TREND($J$36:$J$37,$I$36:$I$37,$AA20)),IF($AB20="Construction",0,0)))</f>
        <v>0.19929101298701293</v>
      </c>
      <c r="AG20" s="45" cm="1">
        <f t="array" ref="AG20">IF($AB20="no",_xlfn.XLOOKUP($AA20,$Q$7:$Q$47,W$7:W$47),IF($AB20="yes",(TREND($I$16:$I$17,$H$16:$H$17,$AA20)*TREND($J$36:$J$37,$I$36:$I$37,$AA20)),IF($AB20="Construction",0,0)))</f>
        <v>0.19929101298701293</v>
      </c>
      <c r="AH20" s="59">
        <f>IF(AA20&lt;=Assumptions!$D$15,SUMPRODUCT($I$6:$M$6,AC20:AG20),0)</f>
        <v>2797786.7440207782</v>
      </c>
      <c r="AI20" s="212"/>
    </row>
    <row r="21" spans="1:35" x14ac:dyDescent="0.25">
      <c r="B21" s="61">
        <f t="shared" si="2"/>
        <v>2044</v>
      </c>
      <c r="C21" s="98">
        <f t="shared" si="0"/>
        <v>6754711.688311697</v>
      </c>
      <c r="D21" s="98">
        <f t="shared" si="1"/>
        <v>3035334.6751168878</v>
      </c>
      <c r="E21" s="99">
        <f t="shared" si="3"/>
        <v>3719377.0131948092</v>
      </c>
      <c r="F21" s="100">
        <f>E21*(1+Assumptions!$D$24)^-(B21-Assumptions!$D$10)</f>
        <v>1900113.6001221989</v>
      </c>
      <c r="H21" s="20" t="s">
        <v>106</v>
      </c>
      <c r="I21" s="37">
        <v>5168</v>
      </c>
      <c r="J21" s="37">
        <v>268</v>
      </c>
      <c r="P21" s="496"/>
      <c r="Q21" s="44">
        <f t="shared" si="4"/>
        <v>2033</v>
      </c>
      <c r="R21" s="21" t="s">
        <v>752</v>
      </c>
      <c r="S21" s="45" cm="1">
        <f t="array" ref="S21">IF($R21="Yes",(TREND($I$16:$I$17,$H$16:$H$17,$Q21)*TREND(J$29:J$30,$I$29:$I$30,$Q21))+(TREND($I$16:$I$17,$H$16:$H$17,$Q21)*TREND(J$31:J$32,$I$31:$I$32,$Q21)),0)</f>
        <v>0.44363636363636366</v>
      </c>
      <c r="T21" s="45" cm="1">
        <f t="array" ref="T21">IF($R21="Yes",(TREND($I$16:$I$17,$H$16:$H$17,$Q21)*TREND(K$29:K$30,$I$29:$I$30,$Q21))+(TREND($I$16:$I$17,$H$16:$H$17,$Q21)*TREND(K$31:K$32,$I$31:$I$32,$Q21)),0)</f>
        <v>0.22181818181818183</v>
      </c>
      <c r="U21" s="45" cm="1">
        <f t="array" ref="U21">IF($R21="Yes",(TREND($I$16:$I$17,$H$16:$H$17,$Q21)*TREND(L$29:L$30,$I$29:$I$30,$Q21))+(TREND($I$16:$I$17,$H$16:$H$17,$Q21)*TREND(L$31:L$32,$I$31:$I$32,$Q21)),0)</f>
        <v>0.88727272727272732</v>
      </c>
      <c r="V21" s="45" cm="1">
        <f t="array" ref="V21">IF($R21="Yes",(TREND($I$16:$I$17,$H$16:$H$17,$Q21)*TREND(M$29:M$30,$I$29:$I$30,$Q21))+(TREND($I$16:$I$17,$H$16:$H$17,$Q21)*TREND(M$31:M$32,$I$31:$I$32,$Q21)),0)</f>
        <v>1.7745454545454546</v>
      </c>
      <c r="W21" s="45" cm="1">
        <f t="array" ref="W21">IF($R21="Yes",(TREND($I$16:$I$17,$H$16:$H$17,$Q21)*TREND(N$29:N$30,$I$29:$I$30,$Q21))+(TREND($I$16:$I$17,$H$16:$H$17,$Q21)*TREND(N$31:N$32,$I$31:$I$32,$Q21)),0)</f>
        <v>11.09090909090909</v>
      </c>
      <c r="X21" s="59">
        <f>IF(Q21&lt;=Assumptions!$D$15,SUMPRODUCT($I$6:$M$6,S21:W21),0)</f>
        <v>6270134.5454545459</v>
      </c>
      <c r="Z21" s="496"/>
      <c r="AA21" s="44">
        <f t="shared" si="5"/>
        <v>2033</v>
      </c>
      <c r="AB21" s="21" t="str">
        <f>IF(AA21&gt;=(Assumptions!$D$45+Assumptions!$D$46),"Yes",IF(OR(AA21=Assumptions!$D$45,AA21=Assumptions!$D$45+Assumptions!$D$46-1),"Construction","No"))</f>
        <v>Yes</v>
      </c>
      <c r="AC21" s="45" cm="1">
        <f t="array" ref="AC21">IF($AB21="no",_xlfn.XLOOKUP($AA21,$Q$7:$Q$47,S$7:S$47),IF($AB21="yes",(TREND($I$16:$I$17,$H$16:$H$17,$AA21)*TREND($J$36:$J$37,$I$36:$I$37,$AA21)),IF($AB21="Construction",0,0)))</f>
        <v>0.20070109090909091</v>
      </c>
      <c r="AD21" s="45" cm="1">
        <f t="array" ref="AD21">IF($AB21="no",_xlfn.XLOOKUP($AA21,$Q$7:$Q$47,T$7:T$47),IF($AB21="yes",(TREND($I$16:$I$17,$H$16:$H$17,$AA21)*TREND($J$36:$J$37,$I$36:$I$37,$AA21)),IF($AB21="Construction",0,0)))</f>
        <v>0.20070109090909091</v>
      </c>
      <c r="AE21" s="45" cm="1">
        <f t="array" ref="AE21">IF($AB21="no",_xlfn.XLOOKUP($AA21,$Q$7:$Q$47,U$7:U$47),IF($AB21="yes",(TREND($I$16:$I$17,$H$16:$H$17,$AA21)*TREND($J$36:$J$37,$I$36:$I$37,$AA21)),IF($AB21="Construction",0,0)))</f>
        <v>0.20070109090909091</v>
      </c>
      <c r="AF21" s="45" cm="1">
        <f t="array" ref="AF21">IF($AB21="no",_xlfn.XLOOKUP($AA21,$Q$7:$Q$47,V$7:V$47),IF($AB21="yes",(TREND($I$16:$I$17,$H$16:$H$17,$AA21)*TREND($J$36:$J$37,$I$36:$I$37,$AA21)),IF($AB21="Construction",0,0)))</f>
        <v>0.20070109090909091</v>
      </c>
      <c r="AG21" s="45" cm="1">
        <f t="array" ref="AG21">IF($AB21="no",_xlfn.XLOOKUP($AA21,$Q$7:$Q$47,W$7:W$47),IF($AB21="yes",(TREND($I$16:$I$17,$H$16:$H$17,$AA21)*TREND($J$36:$J$37,$I$36:$I$37,$AA21)),IF($AB21="Construction",0,0)))</f>
        <v>0.20070109090909091</v>
      </c>
      <c r="AH21" s="59">
        <f>IF(AA21&lt;=Assumptions!$D$15,SUMPRODUCT($I$6:$M$6,AC21:AG21),0)</f>
        <v>2817582.4049454541</v>
      </c>
      <c r="AI21" s="212"/>
    </row>
    <row r="22" spans="1:35" x14ac:dyDescent="0.25">
      <c r="B22" s="61">
        <f t="shared" si="2"/>
        <v>2045</v>
      </c>
      <c r="C22" s="98">
        <f t="shared" si="0"/>
        <v>6798764.155844152</v>
      </c>
      <c r="D22" s="98">
        <f t="shared" si="1"/>
        <v>3055130.3360415567</v>
      </c>
      <c r="E22" s="99">
        <f t="shared" si="3"/>
        <v>3743633.8198025953</v>
      </c>
      <c r="F22" s="100">
        <f>E22*(1+Assumptions!$D$24)^-(B22-Assumptions!$D$10)</f>
        <v>1855000.6259363566</v>
      </c>
      <c r="H22" s="20" t="s">
        <v>105</v>
      </c>
      <c r="I22" s="179">
        <v>0.87</v>
      </c>
      <c r="J22" s="179">
        <v>0.52</v>
      </c>
      <c r="M22" s="1"/>
      <c r="N22" s="1"/>
      <c r="O22" s="1"/>
      <c r="P22" s="496"/>
      <c r="Q22" s="44">
        <f t="shared" si="4"/>
        <v>2034</v>
      </c>
      <c r="R22" s="21" t="s">
        <v>752</v>
      </c>
      <c r="S22" s="45" cm="1">
        <f t="array" ref="S22">IF($R22="Yes",(TREND($I$16:$I$17,$H$16:$H$17,$Q22)*TREND(J$29:J$30,$I$29:$I$30,$Q22))+(TREND($I$16:$I$17,$H$16:$H$17,$Q22)*TREND(J$31:J$32,$I$31:$I$32,$Q22)),0)</f>
        <v>0.4467532467532469</v>
      </c>
      <c r="T22" s="45" cm="1">
        <f t="array" ref="T22">IF($R22="Yes",(TREND($I$16:$I$17,$H$16:$H$17,$Q22)*TREND(K$29:K$30,$I$29:$I$30,$Q22))+(TREND($I$16:$I$17,$H$16:$H$17,$Q22)*TREND(K$31:K$32,$I$31:$I$32,$Q22)),0)</f>
        <v>0.22337662337662345</v>
      </c>
      <c r="U22" s="45" cm="1">
        <f t="array" ref="U22">IF($R22="Yes",(TREND($I$16:$I$17,$H$16:$H$17,$Q22)*TREND(L$29:L$30,$I$29:$I$30,$Q22))+(TREND($I$16:$I$17,$H$16:$H$17,$Q22)*TREND(L$31:L$32,$I$31:$I$32,$Q22)),0)</f>
        <v>0.8935064935064938</v>
      </c>
      <c r="V22" s="45" cm="1">
        <f t="array" ref="V22">IF($R22="Yes",(TREND($I$16:$I$17,$H$16:$H$17,$Q22)*TREND(M$29:M$30,$I$29:$I$30,$Q22))+(TREND($I$16:$I$17,$H$16:$H$17,$Q22)*TREND(M$31:M$32,$I$31:$I$32,$Q22)),0)</f>
        <v>1.7870129870129876</v>
      </c>
      <c r="W22" s="45" cm="1">
        <f t="array" ref="W22">IF($R22="Yes",(TREND($I$16:$I$17,$H$16:$H$17,$Q22)*TREND(N$29:N$30,$I$29:$I$30,$Q22))+(TREND($I$16:$I$17,$H$16:$H$17,$Q22)*TREND(N$31:N$32,$I$31:$I$32,$Q22)),0)</f>
        <v>11.168831168831172</v>
      </c>
      <c r="X22" s="59">
        <f>IF(Q22&lt;=Assumptions!$D$15,SUMPRODUCT($I$6:$M$6,S22:W22),0)</f>
        <v>6314187.0129870148</v>
      </c>
      <c r="Z22" s="496"/>
      <c r="AA22" s="44">
        <f t="shared" si="5"/>
        <v>2034</v>
      </c>
      <c r="AB22" s="21" t="str">
        <f>IF(AA22&gt;=(Assumptions!$D$45+Assumptions!$D$46),"Yes",IF(OR(AA22=Assumptions!$D$45,AA22=Assumptions!$D$45+Assumptions!$D$46-1),"Construction","No"))</f>
        <v>Yes</v>
      </c>
      <c r="AC22" s="45" cm="1">
        <f t="array" ref="AC22">IF($AB22="no",_xlfn.XLOOKUP($AA22,$Q$7:$Q$47,S$7:S$47),IF($AB22="yes",(TREND($I$16:$I$17,$H$16:$H$17,$AA22)*TREND($J$36:$J$37,$I$36:$I$37,$AA22)),IF($AB22="Construction",0,0)))</f>
        <v>0.20211116883116892</v>
      </c>
      <c r="AD22" s="45" cm="1">
        <f t="array" ref="AD22">IF($AB22="no",_xlfn.XLOOKUP($AA22,$Q$7:$Q$47,T$7:T$47),IF($AB22="yes",(TREND($I$16:$I$17,$H$16:$H$17,$AA22)*TREND($J$36:$J$37,$I$36:$I$37,$AA22)),IF($AB22="Construction",0,0)))</f>
        <v>0.20211116883116892</v>
      </c>
      <c r="AE22" s="45" cm="1">
        <f t="array" ref="AE22">IF($AB22="no",_xlfn.XLOOKUP($AA22,$Q$7:$Q$47,U$7:U$47),IF($AB22="yes",(TREND($I$16:$I$17,$H$16:$H$17,$AA22)*TREND($J$36:$J$37,$I$36:$I$37,$AA22)),IF($AB22="Construction",0,0)))</f>
        <v>0.20211116883116892</v>
      </c>
      <c r="AF22" s="45" cm="1">
        <f t="array" ref="AF22">IF($AB22="no",_xlfn.XLOOKUP($AA22,$Q$7:$Q$47,V$7:V$47),IF($AB22="yes",(TREND($I$16:$I$17,$H$16:$H$17,$AA22)*TREND($J$36:$J$37,$I$36:$I$37,$AA22)),IF($AB22="Construction",0,0)))</f>
        <v>0.20211116883116892</v>
      </c>
      <c r="AG22" s="45" cm="1">
        <f t="array" ref="AG22">IF($AB22="no",_xlfn.XLOOKUP($AA22,$Q$7:$Q$47,W$7:W$47),IF($AB22="yes",(TREND($I$16:$I$17,$H$16:$H$17,$AA22)*TREND($J$36:$J$37,$I$36:$I$37,$AA22)),IF($AB22="Construction",0,0)))</f>
        <v>0.20211116883116892</v>
      </c>
      <c r="AH22" s="59">
        <f>IF(AA22&lt;=Assumptions!$D$15,SUMPRODUCT($I$6:$M$6,AC22:AG22),0)</f>
        <v>2837378.0658701314</v>
      </c>
      <c r="AI22" s="212"/>
    </row>
    <row r="23" spans="1:35" x14ac:dyDescent="0.25">
      <c r="B23" s="61">
        <f t="shared" si="2"/>
        <v>2046</v>
      </c>
      <c r="C23" s="98">
        <f t="shared" si="0"/>
        <v>6842816.6233766209</v>
      </c>
      <c r="D23" s="98">
        <f t="shared" si="1"/>
        <v>3074925.9969662335</v>
      </c>
      <c r="E23" s="99">
        <f t="shared" si="3"/>
        <v>3767890.6264103875</v>
      </c>
      <c r="F23" s="100">
        <f>E23*(1+Assumptions!$D$24)^-(B23-Assumptions!$D$10)</f>
        <v>1810882.7045945923</v>
      </c>
      <c r="H23" s="20" t="s">
        <v>102</v>
      </c>
      <c r="I23" s="37" t="s">
        <v>251</v>
      </c>
      <c r="J23" s="37" t="s">
        <v>253</v>
      </c>
      <c r="M23" s="1"/>
      <c r="N23" s="1"/>
      <c r="O23" s="1"/>
      <c r="P23" s="496"/>
      <c r="Q23" s="44">
        <f t="shared" si="4"/>
        <v>2035</v>
      </c>
      <c r="R23" s="21" t="s">
        <v>752</v>
      </c>
      <c r="S23" s="45" cm="1">
        <f t="array" ref="S23">IF($R23="Yes",(TREND($I$16:$I$17,$H$16:$H$17,$Q23)*TREND(J$29:J$30,$I$29:$I$30,$Q23))+(TREND($I$16:$I$17,$H$16:$H$17,$Q23)*TREND(J$31:J$32,$I$31:$I$32,$Q23)),0)</f>
        <v>0.4498701298701302</v>
      </c>
      <c r="T23" s="45" cm="1">
        <f t="array" ref="T23">IF($R23="Yes",(TREND($I$16:$I$17,$H$16:$H$17,$Q23)*TREND(K$29:K$30,$I$29:$I$30,$Q23))+(TREND($I$16:$I$17,$H$16:$H$17,$Q23)*TREND(K$31:K$32,$I$31:$I$32,$Q23)),0)</f>
        <v>0.2249350649350651</v>
      </c>
      <c r="U23" s="45" cm="1">
        <f t="array" ref="U23">IF($R23="Yes",(TREND($I$16:$I$17,$H$16:$H$17,$Q23)*TREND(L$29:L$30,$I$29:$I$30,$Q23))+(TREND($I$16:$I$17,$H$16:$H$17,$Q23)*TREND(L$31:L$32,$I$31:$I$32,$Q23)),0)</f>
        <v>0.8997402597402604</v>
      </c>
      <c r="V23" s="45" cm="1">
        <f t="array" ref="V23">IF($R23="Yes",(TREND($I$16:$I$17,$H$16:$H$17,$Q23)*TREND(M$29:M$30,$I$29:$I$30,$Q23))+(TREND($I$16:$I$17,$H$16:$H$17,$Q23)*TREND(M$31:M$32,$I$31:$I$32,$Q23)),0)</f>
        <v>1.7994805194805208</v>
      </c>
      <c r="W23" s="45" cm="1">
        <f t="array" ref="W23">IF($R23="Yes",(TREND($I$16:$I$17,$H$16:$H$17,$Q23)*TREND(N$29:N$30,$I$29:$I$30,$Q23))+(TREND($I$16:$I$17,$H$16:$H$17,$Q23)*TREND(N$31:N$32,$I$31:$I$32,$Q23)),0)</f>
        <v>11.246753246753254</v>
      </c>
      <c r="X23" s="59">
        <f>IF(Q23&lt;=Assumptions!$D$15,SUMPRODUCT($I$6:$M$6,S23:W23),0)</f>
        <v>6358239.4805194847</v>
      </c>
      <c r="Z23" s="496"/>
      <c r="AA23" s="44">
        <f t="shared" si="5"/>
        <v>2035</v>
      </c>
      <c r="AB23" s="21" t="str">
        <f>IF(AA23&gt;=(Assumptions!$D$45+Assumptions!$D$46),"Yes",IF(OR(AA23=Assumptions!$D$45,AA23=Assumptions!$D$45+Assumptions!$D$46-1),"Construction","No"))</f>
        <v>Yes</v>
      </c>
      <c r="AC23" s="45" cm="1">
        <f t="array" ref="AC23">IF($AB23="no",_xlfn.XLOOKUP($AA23,$Q$7:$Q$47,S$7:S$47),IF($AB23="yes",(TREND($I$16:$I$17,$H$16:$H$17,$AA23)*TREND($J$36:$J$37,$I$36:$I$37,$AA23)),IF($AB23="Construction",0,0)))</f>
        <v>0.2035212467532469</v>
      </c>
      <c r="AD23" s="45" cm="1">
        <f t="array" ref="AD23">IF($AB23="no",_xlfn.XLOOKUP($AA23,$Q$7:$Q$47,T$7:T$47),IF($AB23="yes",(TREND($I$16:$I$17,$H$16:$H$17,$AA23)*TREND($J$36:$J$37,$I$36:$I$37,$AA23)),IF($AB23="Construction",0,0)))</f>
        <v>0.2035212467532469</v>
      </c>
      <c r="AE23" s="45" cm="1">
        <f t="array" ref="AE23">IF($AB23="no",_xlfn.XLOOKUP($AA23,$Q$7:$Q$47,U$7:U$47),IF($AB23="yes",(TREND($I$16:$I$17,$H$16:$H$17,$AA23)*TREND($J$36:$J$37,$I$36:$I$37,$AA23)),IF($AB23="Construction",0,0)))</f>
        <v>0.2035212467532469</v>
      </c>
      <c r="AF23" s="45" cm="1">
        <f t="array" ref="AF23">IF($AB23="no",_xlfn.XLOOKUP($AA23,$Q$7:$Q$47,V$7:V$47),IF($AB23="yes",(TREND($I$16:$I$17,$H$16:$H$17,$AA23)*TREND($J$36:$J$37,$I$36:$I$37,$AA23)),IF($AB23="Construction",0,0)))</f>
        <v>0.2035212467532469</v>
      </c>
      <c r="AG23" s="45" cm="1">
        <f t="array" ref="AG23">IF($AB23="no",_xlfn.XLOOKUP($AA23,$Q$7:$Q$47,W$7:W$47),IF($AB23="yes",(TREND($I$16:$I$17,$H$16:$H$17,$AA23)*TREND($J$36:$J$37,$I$36:$I$37,$AA23)),IF($AB23="Construction",0,0)))</f>
        <v>0.2035212467532469</v>
      </c>
      <c r="AH23" s="59">
        <f>IF(AA23&lt;=Assumptions!$D$15,SUMPRODUCT($I$6:$M$6,AC23:AG23),0)</f>
        <v>2857173.7267948072</v>
      </c>
      <c r="AI23" s="212"/>
    </row>
    <row r="24" spans="1:35" x14ac:dyDescent="0.25">
      <c r="B24" s="61">
        <f t="shared" si="2"/>
        <v>2047</v>
      </c>
      <c r="C24" s="98">
        <f t="shared" si="0"/>
        <v>6886869.0909090908</v>
      </c>
      <c r="D24" s="98">
        <f t="shared" si="1"/>
        <v>3094721.6578909094</v>
      </c>
      <c r="E24" s="99">
        <f t="shared" si="3"/>
        <v>3792147.4330181815</v>
      </c>
      <c r="F24" s="100">
        <f>E24*(1+Assumptions!$D$24)^-(B24-Assumptions!$D$10)</f>
        <v>1767740.7834696597</v>
      </c>
      <c r="H24" s="20" t="s">
        <v>103</v>
      </c>
      <c r="I24" s="37" t="s">
        <v>104</v>
      </c>
      <c r="J24" s="37" t="s">
        <v>104</v>
      </c>
      <c r="M24" s="1"/>
      <c r="N24" s="1"/>
      <c r="O24" s="1"/>
      <c r="P24" s="496"/>
      <c r="Q24" s="44">
        <f t="shared" si="4"/>
        <v>2036</v>
      </c>
      <c r="R24" s="21" t="s">
        <v>752</v>
      </c>
      <c r="S24" s="45" cm="1">
        <f t="array" ref="S24">IF($R24="Yes",(TREND($I$16:$I$17,$H$16:$H$17,$Q24)*TREND(J$29:J$30,$I$29:$I$30,$Q24))+(TREND($I$16:$I$17,$H$16:$H$17,$Q24)*TREND(J$31:J$32,$I$31:$I$32,$Q24)),0)</f>
        <v>0.45298701298701344</v>
      </c>
      <c r="T24" s="45" cm="1">
        <f t="array" ref="T24">IF($R24="Yes",(TREND($I$16:$I$17,$H$16:$H$17,$Q24)*TREND(K$29:K$30,$I$29:$I$30,$Q24))+(TREND($I$16:$I$17,$H$16:$H$17,$Q24)*TREND(K$31:K$32,$I$31:$I$32,$Q24)),0)</f>
        <v>0.22649350649350672</v>
      </c>
      <c r="U24" s="45" cm="1">
        <f t="array" ref="U24">IF($R24="Yes",(TREND($I$16:$I$17,$H$16:$H$17,$Q24)*TREND(L$29:L$30,$I$29:$I$30,$Q24))+(TREND($I$16:$I$17,$H$16:$H$17,$Q24)*TREND(L$31:L$32,$I$31:$I$32,$Q24)),0)</f>
        <v>0.90597402597402688</v>
      </c>
      <c r="V24" s="45" cm="1">
        <f t="array" ref="V24">IF($R24="Yes",(TREND($I$16:$I$17,$H$16:$H$17,$Q24)*TREND(M$29:M$30,$I$29:$I$30,$Q24))+(TREND($I$16:$I$17,$H$16:$H$17,$Q24)*TREND(M$31:M$32,$I$31:$I$32,$Q24)),0)</f>
        <v>1.8119480519480538</v>
      </c>
      <c r="W24" s="45" cm="1">
        <f t="array" ref="W24">IF($R24="Yes",(TREND($I$16:$I$17,$H$16:$H$17,$Q24)*TREND(N$29:N$30,$I$29:$I$30,$Q24))+(TREND($I$16:$I$17,$H$16:$H$17,$Q24)*TREND(N$31:N$32,$I$31:$I$32,$Q24)),0)</f>
        <v>11.324675324675336</v>
      </c>
      <c r="X24" s="59">
        <f>IF(Q24&lt;=Assumptions!$D$15,SUMPRODUCT($I$6:$M$6,S24:W24),0)</f>
        <v>6402291.9480519546</v>
      </c>
      <c r="Z24" s="496"/>
      <c r="AA24" s="44">
        <f t="shared" si="5"/>
        <v>2036</v>
      </c>
      <c r="AB24" s="21" t="str">
        <f>IF(AA24&gt;=(Assumptions!$D$45+Assumptions!$D$46),"Yes",IF(OR(AA24=Assumptions!$D$45,AA24=Assumptions!$D$45+Assumptions!$D$46-1),"Construction","No"))</f>
        <v>Yes</v>
      </c>
      <c r="AC24" s="45" cm="1">
        <f t="array" ref="AC24">IF($AB24="no",_xlfn.XLOOKUP($AA24,$Q$7:$Q$47,S$7:S$47),IF($AB24="yes",(TREND($I$16:$I$17,$H$16:$H$17,$AA24)*TREND($J$36:$J$37,$I$36:$I$37,$AA24)),IF($AB24="Construction",0,0)))</f>
        <v>0.20493132467532488</v>
      </c>
      <c r="AD24" s="45" cm="1">
        <f t="array" ref="AD24">IF($AB24="no",_xlfn.XLOOKUP($AA24,$Q$7:$Q$47,T$7:T$47),IF($AB24="yes",(TREND($I$16:$I$17,$H$16:$H$17,$AA24)*TREND($J$36:$J$37,$I$36:$I$37,$AA24)),IF($AB24="Construction",0,0)))</f>
        <v>0.20493132467532488</v>
      </c>
      <c r="AE24" s="45" cm="1">
        <f t="array" ref="AE24">IF($AB24="no",_xlfn.XLOOKUP($AA24,$Q$7:$Q$47,U$7:U$47),IF($AB24="yes",(TREND($I$16:$I$17,$H$16:$H$17,$AA24)*TREND($J$36:$J$37,$I$36:$I$37,$AA24)),IF($AB24="Construction",0,0)))</f>
        <v>0.20493132467532488</v>
      </c>
      <c r="AF24" s="45" cm="1">
        <f t="array" ref="AF24">IF($AB24="no",_xlfn.XLOOKUP($AA24,$Q$7:$Q$47,V$7:V$47),IF($AB24="yes",(TREND($I$16:$I$17,$H$16:$H$17,$AA24)*TREND($J$36:$J$37,$I$36:$I$37,$AA24)),IF($AB24="Construction",0,0)))</f>
        <v>0.20493132467532488</v>
      </c>
      <c r="AG24" s="45" cm="1">
        <f t="array" ref="AG24">IF($AB24="no",_xlfn.XLOOKUP($AA24,$Q$7:$Q$47,W$7:W$47),IF($AB24="yes",(TREND($I$16:$I$17,$H$16:$H$17,$AA24)*TREND($J$36:$J$37,$I$36:$I$37,$AA24)),IF($AB24="Construction",0,0)))</f>
        <v>0.20493132467532488</v>
      </c>
      <c r="AH24" s="59">
        <f>IF(AA24&lt;=Assumptions!$D$15,SUMPRODUCT($I$6:$M$6,AC24:AG24),0)</f>
        <v>2876969.3877194836</v>
      </c>
      <c r="AI24" s="212"/>
    </row>
    <row r="25" spans="1:35" ht="15.75" thickBot="1" x14ac:dyDescent="0.3">
      <c r="B25" s="62">
        <f t="shared" si="2"/>
        <v>2048</v>
      </c>
      <c r="C25" s="279">
        <f t="shared" si="0"/>
        <v>6930921.5584415607</v>
      </c>
      <c r="D25" s="279">
        <f t="shared" si="1"/>
        <v>3114517.3188155852</v>
      </c>
      <c r="E25" s="280">
        <f t="shared" si="3"/>
        <v>3816404.2396259755</v>
      </c>
      <c r="F25" s="281">
        <f>E25*(1+Assumptions!$D$24)^-(B25-Assumptions!$D$10)</f>
        <v>1725556.0560734088</v>
      </c>
      <c r="H25" s="20" t="s">
        <v>110</v>
      </c>
      <c r="I25" s="37" t="s">
        <v>104</v>
      </c>
      <c r="J25" s="37" t="s">
        <v>104</v>
      </c>
      <c r="M25" s="1"/>
      <c r="N25" s="1"/>
      <c r="O25" s="1"/>
      <c r="P25" s="496"/>
      <c r="Q25" s="44">
        <f t="shared" si="4"/>
        <v>2037</v>
      </c>
      <c r="R25" s="21" t="s">
        <v>752</v>
      </c>
      <c r="S25" s="45" cm="1">
        <f t="array" ref="S25">IF($R25="Yes",(TREND($I$16:$I$17,$H$16:$H$17,$Q25)*TREND(J$29:J$30,$I$29:$I$30,$Q25))+(TREND($I$16:$I$17,$H$16:$H$17,$Q25)*TREND(J$31:J$32,$I$31:$I$32,$Q25)),0)</f>
        <v>0.45610389610389673</v>
      </c>
      <c r="T25" s="45" cm="1">
        <f t="array" ref="T25">IF($R25="Yes",(TREND($I$16:$I$17,$H$16:$H$17,$Q25)*TREND(K$29:K$30,$I$29:$I$30,$Q25))+(TREND($I$16:$I$17,$H$16:$H$17,$Q25)*TREND(K$31:K$32,$I$31:$I$32,$Q25)),0)</f>
        <v>0.22805194805194837</v>
      </c>
      <c r="U25" s="45" cm="1">
        <f t="array" ref="U25">IF($R25="Yes",(TREND($I$16:$I$17,$H$16:$H$17,$Q25)*TREND(L$29:L$30,$I$29:$I$30,$Q25))+(TREND($I$16:$I$17,$H$16:$H$17,$Q25)*TREND(L$31:L$32,$I$31:$I$32,$Q25)),0)</f>
        <v>0.91220779220779347</v>
      </c>
      <c r="V25" s="45" cm="1">
        <f t="array" ref="V25">IF($R25="Yes",(TREND($I$16:$I$17,$H$16:$H$17,$Q25)*TREND(M$29:M$30,$I$29:$I$30,$Q25))+(TREND($I$16:$I$17,$H$16:$H$17,$Q25)*TREND(M$31:M$32,$I$31:$I$32,$Q25)),0)</f>
        <v>1.8244155844155869</v>
      </c>
      <c r="W25" s="45" cm="1">
        <f t="array" ref="W25">IF($R25="Yes",(TREND($I$16:$I$17,$H$16:$H$17,$Q25)*TREND(N$29:N$30,$I$29:$I$30,$Q25))+(TREND($I$16:$I$17,$H$16:$H$17,$Q25)*TREND(N$31:N$32,$I$31:$I$32,$Q25)),0)</f>
        <v>11.402597402597417</v>
      </c>
      <c r="X25" s="59">
        <f>IF(Q25&lt;=Assumptions!$D$15,SUMPRODUCT($I$6:$M$6,S25:W25),0)</f>
        <v>6446344.4155844254</v>
      </c>
      <c r="Z25" s="496"/>
      <c r="AA25" s="44">
        <f t="shared" si="5"/>
        <v>2037</v>
      </c>
      <c r="AB25" s="21" t="str">
        <f>IF(AA25&gt;=(Assumptions!$D$45+Assumptions!$D$46),"Yes",IF(OR(AA25=Assumptions!$D$45,AA25=Assumptions!$D$45+Assumptions!$D$46-1),"Construction","No"))</f>
        <v>Yes</v>
      </c>
      <c r="AC25" s="45" cm="1">
        <f t="array" ref="AC25">IF($AB25="no",_xlfn.XLOOKUP($AA25,$Q$7:$Q$47,S$7:S$47),IF($AB25="yes",(TREND($I$16:$I$17,$H$16:$H$17,$AA25)*TREND($J$36:$J$37,$I$36:$I$37,$AA25)),IF($AB25="Construction",0,0)))</f>
        <v>0.20634140259740288</v>
      </c>
      <c r="AD25" s="45" cm="1">
        <f t="array" ref="AD25">IF($AB25="no",_xlfn.XLOOKUP($AA25,$Q$7:$Q$47,T$7:T$47),IF($AB25="yes",(TREND($I$16:$I$17,$H$16:$H$17,$AA25)*TREND($J$36:$J$37,$I$36:$I$37,$AA25)),IF($AB25="Construction",0,0)))</f>
        <v>0.20634140259740288</v>
      </c>
      <c r="AE25" s="45" cm="1">
        <f t="array" ref="AE25">IF($AB25="no",_xlfn.XLOOKUP($AA25,$Q$7:$Q$47,U$7:U$47),IF($AB25="yes",(TREND($I$16:$I$17,$H$16:$H$17,$AA25)*TREND($J$36:$J$37,$I$36:$I$37,$AA25)),IF($AB25="Construction",0,0)))</f>
        <v>0.20634140259740288</v>
      </c>
      <c r="AF25" s="45" cm="1">
        <f t="array" ref="AF25">IF($AB25="no",_xlfn.XLOOKUP($AA25,$Q$7:$Q$47,V$7:V$47),IF($AB25="yes",(TREND($I$16:$I$17,$H$16:$H$17,$AA25)*TREND($J$36:$J$37,$I$36:$I$37,$AA25)),IF($AB25="Construction",0,0)))</f>
        <v>0.20634140259740288</v>
      </c>
      <c r="AG25" s="45" cm="1">
        <f t="array" ref="AG25">IF($AB25="no",_xlfn.XLOOKUP($AA25,$Q$7:$Q$47,W$7:W$47),IF($AB25="yes",(TREND($I$16:$I$17,$H$16:$H$17,$AA25)*TREND($J$36:$J$37,$I$36:$I$37,$AA25)),IF($AB25="Construction",0,0)))</f>
        <v>0.20634140259740288</v>
      </c>
      <c r="AH25" s="59">
        <f>IF(AA25&lt;=Assumptions!$D$15,SUMPRODUCT($I$6:$M$6,AC25:AG25),0)</f>
        <v>2896765.0486441599</v>
      </c>
      <c r="AI25" s="212"/>
    </row>
    <row r="26" spans="1:35" ht="15.75" thickBot="1" x14ac:dyDescent="0.3">
      <c r="E26" s="67" t="s">
        <v>1</v>
      </c>
      <c r="F26" s="112">
        <f>SUM(F6:F25)</f>
        <v>43712209.842775583</v>
      </c>
      <c r="J26" s="1"/>
      <c r="K26" s="1"/>
      <c r="L26" s="1"/>
      <c r="M26" s="1"/>
      <c r="N26" s="1"/>
      <c r="O26" s="1"/>
      <c r="P26" s="496"/>
      <c r="Q26" s="44">
        <f t="shared" si="4"/>
        <v>2038</v>
      </c>
      <c r="R26" s="21" t="s">
        <v>752</v>
      </c>
      <c r="S26" s="45" cm="1">
        <f t="array" ref="S26">IF($R26="Yes",(TREND($I$16:$I$17,$H$16:$H$17,$Q26)*TREND(J$29:J$30,$I$29:$I$30,$Q26))+(TREND($I$16:$I$17,$H$16:$H$17,$Q26)*TREND(J$31:J$32,$I$31:$I$32,$Q26)),0)</f>
        <v>0.45922077922077892</v>
      </c>
      <c r="T26" s="45" cm="1">
        <f t="array" ref="T26">IF($R26="Yes",(TREND($I$16:$I$17,$H$16:$H$17,$Q26)*TREND(K$29:K$30,$I$29:$I$30,$Q26))+(TREND($I$16:$I$17,$H$16:$H$17,$Q26)*TREND(K$31:K$32,$I$31:$I$32,$Q26)),0)</f>
        <v>0.22961038961038946</v>
      </c>
      <c r="U26" s="45" cm="1">
        <f t="array" ref="U26">IF($R26="Yes",(TREND($I$16:$I$17,$H$16:$H$17,$Q26)*TREND(L$29:L$30,$I$29:$I$30,$Q26))+(TREND($I$16:$I$17,$H$16:$H$17,$Q26)*TREND(L$31:L$32,$I$31:$I$32,$Q26)),0)</f>
        <v>0.91844155844155784</v>
      </c>
      <c r="V26" s="45" cm="1">
        <f t="array" ref="V26">IF($R26="Yes",(TREND($I$16:$I$17,$H$16:$H$17,$Q26)*TREND(M$29:M$30,$I$29:$I$30,$Q26))+(TREND($I$16:$I$17,$H$16:$H$17,$Q26)*TREND(M$31:M$32,$I$31:$I$32,$Q26)),0)</f>
        <v>1.8368831168831157</v>
      </c>
      <c r="W26" s="45" cm="1">
        <f t="array" ref="W26">IF($R26="Yes",(TREND($I$16:$I$17,$H$16:$H$17,$Q26)*TREND(N$29:N$30,$I$29:$I$30,$Q26))+(TREND($I$16:$I$17,$H$16:$H$17,$Q26)*TREND(N$31:N$32,$I$31:$I$32,$Q26)),0)</f>
        <v>11.480519480519472</v>
      </c>
      <c r="X26" s="59">
        <f>IF(Q26&lt;=Assumptions!$D$15,SUMPRODUCT($I$6:$M$6,S26:W26),0)</f>
        <v>6490396.8831168795</v>
      </c>
      <c r="Z26" s="496"/>
      <c r="AA26" s="44">
        <f t="shared" si="5"/>
        <v>2038</v>
      </c>
      <c r="AB26" s="21" t="str">
        <f>IF(AA26&gt;=(Assumptions!$D$45+Assumptions!$D$46),"Yes",IF(OR(AA26=Assumptions!$D$45,AA26=Assumptions!$D$45+Assumptions!$D$46-1),"Construction","No"))</f>
        <v>Yes</v>
      </c>
      <c r="AC26" s="45" cm="1">
        <f t="array" ref="AC26">IF($AB26="no",_xlfn.XLOOKUP($AA26,$Q$7:$Q$47,S$7:S$47),IF($AB26="yes",(TREND($I$16:$I$17,$H$16:$H$17,$AA26)*TREND($J$36:$J$37,$I$36:$I$37,$AA26)),IF($AB26="Construction",0,0)))</f>
        <v>0.20775148051948039</v>
      </c>
      <c r="AD26" s="45" cm="1">
        <f t="array" ref="AD26">IF($AB26="no",_xlfn.XLOOKUP($AA26,$Q$7:$Q$47,T$7:T$47),IF($AB26="yes",(TREND($I$16:$I$17,$H$16:$H$17,$AA26)*TREND($J$36:$J$37,$I$36:$I$37,$AA26)),IF($AB26="Construction",0,0)))</f>
        <v>0.20775148051948039</v>
      </c>
      <c r="AE26" s="45" cm="1">
        <f t="array" ref="AE26">IF($AB26="no",_xlfn.XLOOKUP($AA26,$Q$7:$Q$47,U$7:U$47),IF($AB26="yes",(TREND($I$16:$I$17,$H$16:$H$17,$AA26)*TREND($J$36:$J$37,$I$36:$I$37,$AA26)),IF($AB26="Construction",0,0)))</f>
        <v>0.20775148051948039</v>
      </c>
      <c r="AF26" s="45" cm="1">
        <f t="array" ref="AF26">IF($AB26="no",_xlfn.XLOOKUP($AA26,$Q$7:$Q$47,V$7:V$47),IF($AB26="yes",(TREND($I$16:$I$17,$H$16:$H$17,$AA26)*TREND($J$36:$J$37,$I$36:$I$37,$AA26)),IF($AB26="Construction",0,0)))</f>
        <v>0.20775148051948039</v>
      </c>
      <c r="AG26" s="45" cm="1">
        <f t="array" ref="AG26">IF($AB26="no",_xlfn.XLOOKUP($AA26,$Q$7:$Q$47,W$7:W$47),IF($AB26="yes",(TREND($I$16:$I$17,$H$16:$H$17,$AA26)*TREND($J$36:$J$37,$I$36:$I$37,$AA26)),IF($AB26="Construction",0,0)))</f>
        <v>0.20775148051948039</v>
      </c>
      <c r="AH26" s="59">
        <f>IF(AA26&lt;=Assumptions!$D$15,SUMPRODUCT($I$6:$M$6,AC26:AG26),0)</f>
        <v>2916560.7095688297</v>
      </c>
      <c r="AI26" s="212"/>
    </row>
    <row r="27" spans="1:35" x14ac:dyDescent="0.25">
      <c r="A27" s="2"/>
      <c r="H27" s="1" t="s">
        <v>227</v>
      </c>
      <c r="K27" s="1"/>
      <c r="L27" s="1"/>
      <c r="M27" s="1"/>
      <c r="N27" s="1"/>
      <c r="O27" s="1"/>
      <c r="P27" s="496"/>
      <c r="Q27" s="44">
        <f t="shared" si="4"/>
        <v>2039</v>
      </c>
      <c r="R27" s="21" t="s">
        <v>752</v>
      </c>
      <c r="S27" s="45" cm="1">
        <f t="array" ref="S27">IF($R27="Yes",(TREND($I$16:$I$17,$H$16:$H$17,$Q27)*TREND(J$29:J$30,$I$29:$I$30,$Q27))+(TREND($I$16:$I$17,$H$16:$H$17,$Q27)*TREND(J$31:J$32,$I$31:$I$32,$Q27)),0)</f>
        <v>0.46233766233766221</v>
      </c>
      <c r="T27" s="45" cm="1">
        <f t="array" ref="T27">IF($R27="Yes",(TREND($I$16:$I$17,$H$16:$H$17,$Q27)*TREND(K$29:K$30,$I$29:$I$30,$Q27))+(TREND($I$16:$I$17,$H$16:$H$17,$Q27)*TREND(K$31:K$32,$I$31:$I$32,$Q27)),0)</f>
        <v>0.23116883116883111</v>
      </c>
      <c r="U27" s="45" cm="1">
        <f t="array" ref="U27">IF($R27="Yes",(TREND($I$16:$I$17,$H$16:$H$17,$Q27)*TREND(L$29:L$30,$I$29:$I$30,$Q27))+(TREND($I$16:$I$17,$H$16:$H$17,$Q27)*TREND(L$31:L$32,$I$31:$I$32,$Q27)),0)</f>
        <v>0.92467532467532443</v>
      </c>
      <c r="V27" s="45" cm="1">
        <f t="array" ref="V27">IF($R27="Yes",(TREND($I$16:$I$17,$H$16:$H$17,$Q27)*TREND(M$29:M$30,$I$29:$I$30,$Q27))+(TREND($I$16:$I$17,$H$16:$H$17,$Q27)*TREND(M$31:M$32,$I$31:$I$32,$Q27)),0)</f>
        <v>1.8493506493506489</v>
      </c>
      <c r="W27" s="45" cm="1">
        <f t="array" ref="W27">IF($R27="Yes",(TREND($I$16:$I$17,$H$16:$H$17,$Q27)*TREND(N$29:N$30,$I$29:$I$30,$Q27))+(TREND($I$16:$I$17,$H$16:$H$17,$Q27)*TREND(N$31:N$32,$I$31:$I$32,$Q27)),0)</f>
        <v>11.558441558441555</v>
      </c>
      <c r="X27" s="59">
        <f>IF(Q27&lt;=Assumptions!$D$15,SUMPRODUCT($I$6:$M$6,S27:W27),0)</f>
        <v>6534449.3506493485</v>
      </c>
      <c r="Z27" s="496"/>
      <c r="AA27" s="44">
        <f t="shared" si="5"/>
        <v>2039</v>
      </c>
      <c r="AB27" s="21" t="str">
        <f>IF(AA27&gt;=(Assumptions!$D$45+Assumptions!$D$46),"Yes",IF(OR(AA27=Assumptions!$D$45,AA27=Assumptions!$D$45+Assumptions!$D$46-1),"Construction","No"))</f>
        <v>Yes</v>
      </c>
      <c r="AC27" s="45" cm="1">
        <f t="array" ref="AC27">IF($AB27="no",_xlfn.XLOOKUP($AA27,$Q$7:$Q$47,S$7:S$47),IF($AB27="yes",(TREND($I$16:$I$17,$H$16:$H$17,$AA27)*TREND($J$36:$J$37,$I$36:$I$37,$AA27)),IF($AB27="Construction",0,0)))</f>
        <v>0.20916155844155837</v>
      </c>
      <c r="AD27" s="45" cm="1">
        <f t="array" ref="AD27">IF($AB27="no",_xlfn.XLOOKUP($AA27,$Q$7:$Q$47,T$7:T$47),IF($AB27="yes",(TREND($I$16:$I$17,$H$16:$H$17,$AA27)*TREND($J$36:$J$37,$I$36:$I$37,$AA27)),IF($AB27="Construction",0,0)))</f>
        <v>0.20916155844155837</v>
      </c>
      <c r="AE27" s="45" cm="1">
        <f t="array" ref="AE27">IF($AB27="no",_xlfn.XLOOKUP($AA27,$Q$7:$Q$47,U$7:U$47),IF($AB27="yes",(TREND($I$16:$I$17,$H$16:$H$17,$AA27)*TREND($J$36:$J$37,$I$36:$I$37,$AA27)),IF($AB27="Construction",0,0)))</f>
        <v>0.20916155844155837</v>
      </c>
      <c r="AF27" s="45" cm="1">
        <f t="array" ref="AF27">IF($AB27="no",_xlfn.XLOOKUP($AA27,$Q$7:$Q$47,V$7:V$47),IF($AB27="yes",(TREND($I$16:$I$17,$H$16:$H$17,$AA27)*TREND($J$36:$J$37,$I$36:$I$37,$AA27)),IF($AB27="Construction",0,0)))</f>
        <v>0.20916155844155837</v>
      </c>
      <c r="AG27" s="45" cm="1">
        <f t="array" ref="AG27">IF($AB27="no",_xlfn.XLOOKUP($AA27,$Q$7:$Q$47,W$7:W$47),IF($AB27="yes",(TREND($I$16:$I$17,$H$16:$H$17,$AA27)*TREND($J$36:$J$37,$I$36:$I$37,$AA27)),IF($AB27="Construction",0,0)))</f>
        <v>0.20916155844155837</v>
      </c>
      <c r="AH27" s="59">
        <f>IF(AA27&lt;=Assumptions!$D$15,SUMPRODUCT($I$6:$M$6,AC27:AG27),0)</f>
        <v>2936356.3704935056</v>
      </c>
      <c r="AI27" s="212"/>
    </row>
    <row r="28" spans="1:35" x14ac:dyDescent="0.25">
      <c r="F28" s="17"/>
      <c r="H28" s="21" t="s">
        <v>129</v>
      </c>
      <c r="I28" s="21" t="s">
        <v>22</v>
      </c>
      <c r="J28" s="21" t="s">
        <v>234</v>
      </c>
      <c r="K28" s="21" t="s">
        <v>235</v>
      </c>
      <c r="L28" s="21" t="s">
        <v>236</v>
      </c>
      <c r="M28" s="21" t="s">
        <v>237</v>
      </c>
      <c r="N28" s="21" t="s">
        <v>220</v>
      </c>
      <c r="O28" s="3"/>
      <c r="P28" s="496"/>
      <c r="Q28" s="44">
        <f t="shared" si="4"/>
        <v>2040</v>
      </c>
      <c r="R28" s="21" t="s">
        <v>752</v>
      </c>
      <c r="S28" s="45" cm="1">
        <f t="array" ref="S28">IF($R28="Yes",(TREND($I$16:$I$17,$H$16:$H$17,$Q28)*TREND(J$29:J$30,$I$29:$I$30,$Q28))+(TREND($I$16:$I$17,$H$16:$H$17,$Q28)*TREND(J$31:J$32,$I$31:$I$32,$Q28)),0)</f>
        <v>0.46545454545454545</v>
      </c>
      <c r="T28" s="45" cm="1">
        <f t="array" ref="T28">IF($R28="Yes",(TREND($I$16:$I$17,$H$16:$H$17,$Q28)*TREND(K$29:K$30,$I$29:$I$30,$Q28))+(TREND($I$16:$I$17,$H$16:$H$17,$Q28)*TREND(K$31:K$32,$I$31:$I$32,$Q28)),0)</f>
        <v>0.23272727272727273</v>
      </c>
      <c r="U28" s="45" cm="1">
        <f t="array" ref="U28">IF($R28="Yes",(TREND($I$16:$I$17,$H$16:$H$17,$Q28)*TREND(L$29:L$30,$I$29:$I$30,$Q28))+(TREND($I$16:$I$17,$H$16:$H$17,$Q28)*TREND(L$31:L$32,$I$31:$I$32,$Q28)),0)</f>
        <v>0.93090909090909091</v>
      </c>
      <c r="V28" s="45" cm="1">
        <f t="array" ref="V28">IF($R28="Yes",(TREND($I$16:$I$17,$H$16:$H$17,$Q28)*TREND(M$29:M$30,$I$29:$I$30,$Q28))+(TREND($I$16:$I$17,$H$16:$H$17,$Q28)*TREND(M$31:M$32,$I$31:$I$32,$Q28)),0)</f>
        <v>1.8618181818181818</v>
      </c>
      <c r="W28" s="45" cm="1">
        <f t="array" ref="W28">IF($R28="Yes",(TREND($I$16:$I$17,$H$16:$H$17,$Q28)*TREND(N$29:N$30,$I$29:$I$30,$Q28))+(TREND($I$16:$I$17,$H$16:$H$17,$Q28)*TREND(N$31:N$32,$I$31:$I$32,$Q28)),0)</f>
        <v>11.636363636363637</v>
      </c>
      <c r="X28" s="59">
        <f>IF(Q28&lt;=Assumptions!$D$15,SUMPRODUCT($I$6:$M$6,S28:W28),0)</f>
        <v>6578501.8181818193</v>
      </c>
      <c r="Z28" s="496"/>
      <c r="AA28" s="44">
        <f t="shared" si="5"/>
        <v>2040</v>
      </c>
      <c r="AB28" s="21" t="str">
        <f>IF(AA28&gt;=(Assumptions!$D$45+Assumptions!$D$46),"Yes",IF(OR(AA28=Assumptions!$D$45,AA28=Assumptions!$D$45+Assumptions!$D$46-1),"Construction","No"))</f>
        <v>Yes</v>
      </c>
      <c r="AC28" s="45" cm="1">
        <f t="array" ref="AC28">IF($AB28="no",_xlfn.XLOOKUP($AA28,$Q$7:$Q$47,S$7:S$47),IF($AB28="yes",(TREND($I$16:$I$17,$H$16:$H$17,$AA28)*TREND($J$36:$J$37,$I$36:$I$37,$AA28)),IF($AB28="Construction",0,0)))</f>
        <v>0.21057163636363638</v>
      </c>
      <c r="AD28" s="45" cm="1">
        <f t="array" ref="AD28">IF($AB28="no",_xlfn.XLOOKUP($AA28,$Q$7:$Q$47,T$7:T$47),IF($AB28="yes",(TREND($I$16:$I$17,$H$16:$H$17,$AA28)*TREND($J$36:$J$37,$I$36:$I$37,$AA28)),IF($AB28="Construction",0,0)))</f>
        <v>0.21057163636363638</v>
      </c>
      <c r="AE28" s="45" cm="1">
        <f t="array" ref="AE28">IF($AB28="no",_xlfn.XLOOKUP($AA28,$Q$7:$Q$47,U$7:U$47),IF($AB28="yes",(TREND($I$16:$I$17,$H$16:$H$17,$AA28)*TREND($J$36:$J$37,$I$36:$I$37,$AA28)),IF($AB28="Construction",0,0)))</f>
        <v>0.21057163636363638</v>
      </c>
      <c r="AF28" s="45" cm="1">
        <f t="array" ref="AF28">IF($AB28="no",_xlfn.XLOOKUP($AA28,$Q$7:$Q$47,V$7:V$47),IF($AB28="yes",(TREND($I$16:$I$17,$H$16:$H$17,$AA28)*TREND($J$36:$J$37,$I$36:$I$37,$AA28)),IF($AB28="Construction",0,0)))</f>
        <v>0.21057163636363638</v>
      </c>
      <c r="AG28" s="45" cm="1">
        <f t="array" ref="AG28">IF($AB28="no",_xlfn.XLOOKUP($AA28,$Q$7:$Q$47,W$7:W$47),IF($AB28="yes",(TREND($I$16:$I$17,$H$16:$H$17,$AA28)*TREND($J$36:$J$37,$I$36:$I$37,$AA28)),IF($AB28="Construction",0,0)))</f>
        <v>0.21057163636363638</v>
      </c>
      <c r="AH28" s="59">
        <f>IF(AA28&lt;=Assumptions!$D$15,SUMPRODUCT($I$6:$M$6,AC28:AG28),0)</f>
        <v>2956152.031418182</v>
      </c>
      <c r="AI28" s="212"/>
    </row>
    <row r="29" spans="1:35" ht="15" customHeight="1" x14ac:dyDescent="0.25">
      <c r="B29" s="1" t="s">
        <v>2</v>
      </c>
      <c r="C29" s="1"/>
      <c r="D29" s="1"/>
      <c r="F29" s="17"/>
      <c r="H29" s="498" t="s">
        <v>950</v>
      </c>
      <c r="I29" s="57">
        <f>'Traffic Volume and Route Data'!$C$11</f>
        <v>2019</v>
      </c>
      <c r="J29" s="248">
        <f>I10/($I$12*$I16)</f>
        <v>0</v>
      </c>
      <c r="K29" s="258">
        <f>J10/($I$12*$I16)</f>
        <v>3.6363636363636364E-5</v>
      </c>
      <c r="L29" s="248">
        <f>K10/($I$12*$I16)</f>
        <v>7.2727272727272728E-5</v>
      </c>
      <c r="M29" s="248">
        <f>L10/($I$12*$I16)</f>
        <v>2.9090909090909091E-4</v>
      </c>
      <c r="N29" s="248">
        <f>M10/($I$12*$I16)</f>
        <v>1.4909090909090909E-3</v>
      </c>
      <c r="P29" s="496"/>
      <c r="Q29" s="44">
        <f t="shared" si="4"/>
        <v>2041</v>
      </c>
      <c r="R29" s="21" t="s">
        <v>752</v>
      </c>
      <c r="S29" s="45" cm="1">
        <f t="array" ref="S29">IF($R29="Yes",(TREND($I$16:$I$17,$H$16:$H$17,$Q29)*TREND(J$29:J$30,$I$29:$I$30,$Q29))+(TREND($I$16:$I$17,$H$16:$H$17,$Q29)*TREND(J$31:J$32,$I$31:$I$32,$Q29)),0)</f>
        <v>0.46857142857142875</v>
      </c>
      <c r="T29" s="45" cm="1">
        <f t="array" ref="T29">IF($R29="Yes",(TREND($I$16:$I$17,$H$16:$H$17,$Q29)*TREND(K$29:K$30,$I$29:$I$30,$Q29))+(TREND($I$16:$I$17,$H$16:$H$17,$Q29)*TREND(K$31:K$32,$I$31:$I$32,$Q29)),0)</f>
        <v>0.23428571428571437</v>
      </c>
      <c r="U29" s="45" cm="1">
        <f t="array" ref="U29">IF($R29="Yes",(TREND($I$16:$I$17,$H$16:$H$17,$Q29)*TREND(L$29:L$30,$I$29:$I$30,$Q29))+(TREND($I$16:$I$17,$H$16:$H$17,$Q29)*TREND(L$31:L$32,$I$31:$I$32,$Q29)),0)</f>
        <v>0.9371428571428575</v>
      </c>
      <c r="V29" s="45" cm="1">
        <f t="array" ref="V29">IF($R29="Yes",(TREND($I$16:$I$17,$H$16:$H$17,$Q29)*TREND(M$29:M$30,$I$29:$I$30,$Q29))+(TREND($I$16:$I$17,$H$16:$H$17,$Q29)*TREND(M$31:M$32,$I$31:$I$32,$Q29)),0)</f>
        <v>1.874285714285715</v>
      </c>
      <c r="W29" s="45" cm="1">
        <f t="array" ref="W29">IF($R29="Yes",(TREND($I$16:$I$17,$H$16:$H$17,$Q29)*TREND(N$29:N$30,$I$29:$I$30,$Q29))+(TREND($I$16:$I$17,$H$16:$H$17,$Q29)*TREND(N$31:N$32,$I$31:$I$32,$Q29)),0)</f>
        <v>11.714285714285717</v>
      </c>
      <c r="X29" s="59">
        <f>IF(Q29&lt;=Assumptions!$D$15,SUMPRODUCT($I$6:$M$6,S29:W29),0)</f>
        <v>6622554.2857142873</v>
      </c>
      <c r="Z29" s="496"/>
      <c r="AA29" s="44">
        <f t="shared" si="5"/>
        <v>2041</v>
      </c>
      <c r="AB29" s="21" t="str">
        <f>IF(AA29&gt;=(Assumptions!$D$45+Assumptions!$D$46),"Yes",IF(OR(AA29=Assumptions!$D$45,AA29=Assumptions!$D$45+Assumptions!$D$46-1),"Construction","No"))</f>
        <v>Yes</v>
      </c>
      <c r="AC29" s="45" cm="1">
        <f t="array" ref="AC29">IF($AB29="no",_xlfn.XLOOKUP($AA29,$Q$7:$Q$47,S$7:S$47),IF($AB29="yes",(TREND($I$16:$I$17,$H$16:$H$17,$AA29)*TREND($J$36:$J$37,$I$36:$I$37,$AA29)),IF($AB29="Construction",0,0)))</f>
        <v>0.21198171428571436</v>
      </c>
      <c r="AD29" s="45" cm="1">
        <f t="array" ref="AD29">IF($AB29="no",_xlfn.XLOOKUP($AA29,$Q$7:$Q$47,T$7:T$47),IF($AB29="yes",(TREND($I$16:$I$17,$H$16:$H$17,$AA29)*TREND($J$36:$J$37,$I$36:$I$37,$AA29)),IF($AB29="Construction",0,0)))</f>
        <v>0.21198171428571436</v>
      </c>
      <c r="AE29" s="45" cm="1">
        <f t="array" ref="AE29">IF($AB29="no",_xlfn.XLOOKUP($AA29,$Q$7:$Q$47,U$7:U$47),IF($AB29="yes",(TREND($I$16:$I$17,$H$16:$H$17,$AA29)*TREND($J$36:$J$37,$I$36:$I$37,$AA29)),IF($AB29="Construction",0,0)))</f>
        <v>0.21198171428571436</v>
      </c>
      <c r="AF29" s="45" cm="1">
        <f t="array" ref="AF29">IF($AB29="no",_xlfn.XLOOKUP($AA29,$Q$7:$Q$47,V$7:V$47),IF($AB29="yes",(TREND($I$16:$I$17,$H$16:$H$17,$AA29)*TREND($J$36:$J$37,$I$36:$I$37,$AA29)),IF($AB29="Construction",0,0)))</f>
        <v>0.21198171428571436</v>
      </c>
      <c r="AG29" s="45" cm="1">
        <f t="array" ref="AG29">IF($AB29="no",_xlfn.XLOOKUP($AA29,$Q$7:$Q$47,W$7:W$47),IF($AB29="yes",(TREND($I$16:$I$17,$H$16:$H$17,$AA29)*TREND($J$36:$J$37,$I$36:$I$37,$AA29)),IF($AB29="Construction",0,0)))</f>
        <v>0.21198171428571436</v>
      </c>
      <c r="AH29" s="59">
        <f>IF(AA29&lt;=Assumptions!$D$15,SUMPRODUCT($I$6:$M$6,AC29:AG29),0)</f>
        <v>2975947.6923428583</v>
      </c>
      <c r="AI29" s="212"/>
    </row>
    <row r="30" spans="1:35" ht="15.75" customHeight="1" x14ac:dyDescent="0.25">
      <c r="A30" s="2" t="s">
        <v>14</v>
      </c>
      <c r="B30" s="441" t="s">
        <v>896</v>
      </c>
      <c r="C30" s="441"/>
      <c r="D30" s="441"/>
      <c r="E30" s="441"/>
      <c r="F30" s="441"/>
      <c r="H30" s="499"/>
      <c r="I30" s="57">
        <f>'Traffic Volume and Route Data'!$C$12</f>
        <v>2040</v>
      </c>
      <c r="J30" s="248">
        <f>J29</f>
        <v>0</v>
      </c>
      <c r="K30" s="258">
        <f>K29</f>
        <v>3.6363636363636364E-5</v>
      </c>
      <c r="L30" s="248">
        <f t="shared" ref="L30:N30" si="6">L29</f>
        <v>7.2727272727272728E-5</v>
      </c>
      <c r="M30" s="248">
        <f t="shared" si="6"/>
        <v>2.9090909090909091E-4</v>
      </c>
      <c r="N30" s="248">
        <f t="shared" si="6"/>
        <v>1.4909090909090909E-3</v>
      </c>
      <c r="P30" s="496"/>
      <c r="Q30" s="44">
        <f t="shared" si="4"/>
        <v>2042</v>
      </c>
      <c r="R30" s="21" t="s">
        <v>752</v>
      </c>
      <c r="S30" s="45" cm="1">
        <f t="array" ref="S30">IF($R30="Yes",(TREND($I$16:$I$17,$H$16:$H$17,$Q30)*TREND(J$29:J$30,$I$29:$I$30,$Q30))+(TREND($I$16:$I$17,$H$16:$H$17,$Q30)*TREND(J$31:J$32,$I$31:$I$32,$Q30)),0)</f>
        <v>0.47168831168831199</v>
      </c>
      <c r="T30" s="45" cm="1">
        <f t="array" ref="T30">IF($R30="Yes",(TREND($I$16:$I$17,$H$16:$H$17,$Q30)*TREND(K$29:K$30,$I$29:$I$30,$Q30))+(TREND($I$16:$I$17,$H$16:$H$17,$Q30)*TREND(K$31:K$32,$I$31:$I$32,$Q30)),0)</f>
        <v>0.23584415584415599</v>
      </c>
      <c r="U30" s="45" cm="1">
        <f t="array" ref="U30">IF($R30="Yes",(TREND($I$16:$I$17,$H$16:$H$17,$Q30)*TREND(L$29:L$30,$I$29:$I$30,$Q30))+(TREND($I$16:$I$17,$H$16:$H$17,$Q30)*TREND(L$31:L$32,$I$31:$I$32,$Q30)),0)</f>
        <v>0.94337662337662398</v>
      </c>
      <c r="V30" s="45" cm="1">
        <f t="array" ref="V30">IF($R30="Yes",(TREND($I$16:$I$17,$H$16:$H$17,$Q30)*TREND(M$29:M$30,$I$29:$I$30,$Q30))+(TREND($I$16:$I$17,$H$16:$H$17,$Q30)*TREND(M$31:M$32,$I$31:$I$32,$Q30)),0)</f>
        <v>1.886753246753248</v>
      </c>
      <c r="W30" s="45" cm="1">
        <f t="array" ref="W30">IF($R30="Yes",(TREND($I$16:$I$17,$H$16:$H$17,$Q30)*TREND(N$29:N$30,$I$29:$I$30,$Q30))+(TREND($I$16:$I$17,$H$16:$H$17,$Q30)*TREND(N$31:N$32,$I$31:$I$32,$Q30)),0)</f>
        <v>11.792207792207799</v>
      </c>
      <c r="X30" s="59">
        <f>IF(Q30&lt;=Assumptions!$D$15,SUMPRODUCT($I$6:$M$6,S30:W30),0)</f>
        <v>6666606.7532467572</v>
      </c>
      <c r="Z30" s="496"/>
      <c r="AA30" s="44">
        <f t="shared" si="5"/>
        <v>2042</v>
      </c>
      <c r="AB30" s="21" t="str">
        <f>IF(AA30&gt;=(Assumptions!$D$45+Assumptions!$D$46),"Yes",IF(OR(AA30=Assumptions!$D$45,AA30=Assumptions!$D$45+Assumptions!$D$46-1),"Construction","No"))</f>
        <v>Yes</v>
      </c>
      <c r="AC30" s="45" cm="1">
        <f t="array" ref="AC30">IF($AB30="no",_xlfn.XLOOKUP($AA30,$Q$7:$Q$47,S$7:S$47),IF($AB30="yes",(TREND($I$16:$I$17,$H$16:$H$17,$AA30)*TREND($J$36:$J$37,$I$36:$I$37,$AA30)),IF($AB30="Construction",0,0)))</f>
        <v>0.21339179220779236</v>
      </c>
      <c r="AD30" s="45" cm="1">
        <f t="array" ref="AD30">IF($AB30="no",_xlfn.XLOOKUP($AA30,$Q$7:$Q$47,T$7:T$47),IF($AB30="yes",(TREND($I$16:$I$17,$H$16:$H$17,$AA30)*TREND($J$36:$J$37,$I$36:$I$37,$AA30)),IF($AB30="Construction",0,0)))</f>
        <v>0.21339179220779236</v>
      </c>
      <c r="AE30" s="45" cm="1">
        <f t="array" ref="AE30">IF($AB30="no",_xlfn.XLOOKUP($AA30,$Q$7:$Q$47,U$7:U$47),IF($AB30="yes",(TREND($I$16:$I$17,$H$16:$H$17,$AA30)*TREND($J$36:$J$37,$I$36:$I$37,$AA30)),IF($AB30="Construction",0,0)))</f>
        <v>0.21339179220779236</v>
      </c>
      <c r="AF30" s="45" cm="1">
        <f t="array" ref="AF30">IF($AB30="no",_xlfn.XLOOKUP($AA30,$Q$7:$Q$47,V$7:V$47),IF($AB30="yes",(TREND($I$16:$I$17,$H$16:$H$17,$AA30)*TREND($J$36:$J$37,$I$36:$I$37,$AA30)),IF($AB30="Construction",0,0)))</f>
        <v>0.21339179220779236</v>
      </c>
      <c r="AG30" s="45" cm="1">
        <f t="array" ref="AG30">IF($AB30="no",_xlfn.XLOOKUP($AA30,$Q$7:$Q$47,W$7:W$47),IF($AB30="yes",(TREND($I$16:$I$17,$H$16:$H$17,$AA30)*TREND($J$36:$J$37,$I$36:$I$37,$AA30)),IF($AB30="Construction",0,0)))</f>
        <v>0.21339179220779236</v>
      </c>
      <c r="AH30" s="59">
        <f>IF(AA30&lt;=Assumptions!$D$15,SUMPRODUCT($I$6:$M$6,AC30:AG30),0)</f>
        <v>2995743.3532675342</v>
      </c>
      <c r="AI30" s="212"/>
    </row>
    <row r="31" spans="1:35" ht="15" customHeight="1" x14ac:dyDescent="0.25">
      <c r="B31" s="441"/>
      <c r="C31" s="441"/>
      <c r="D31" s="441"/>
      <c r="E31" s="441"/>
      <c r="F31" s="441"/>
      <c r="H31" s="498" t="s">
        <v>951</v>
      </c>
      <c r="I31" s="57">
        <f>'Traffic Volume and Route Data'!$C$11</f>
        <v>2019</v>
      </c>
      <c r="J31" s="248">
        <f>I11/($I$12*$I16)</f>
        <v>7.2727272727272728E-5</v>
      </c>
      <c r="K31" s="248">
        <f>J11/($I$12*$I16)</f>
        <v>0</v>
      </c>
      <c r="L31" s="248">
        <f>K11/($I$12*$I16)</f>
        <v>7.2727272727272728E-5</v>
      </c>
      <c r="M31" s="248">
        <f>L11/($I$12*$I16)</f>
        <v>0</v>
      </c>
      <c r="N31" s="248">
        <f>M11/($I$12*$I16)</f>
        <v>3.2727272727272726E-4</v>
      </c>
      <c r="P31" s="496"/>
      <c r="Q31" s="44">
        <f t="shared" si="4"/>
        <v>2043</v>
      </c>
      <c r="R31" s="21" t="s">
        <v>752</v>
      </c>
      <c r="S31" s="45" cm="1">
        <f t="array" ref="S31">IF($R31="Yes",(TREND($I$16:$I$17,$H$16:$H$17,$Q31)*TREND(J$29:J$30,$I$29:$I$30,$Q31))+(TREND($I$16:$I$17,$H$16:$H$17,$Q31)*TREND(J$31:J$32,$I$31:$I$32,$Q31)),0)</f>
        <v>0.47480519480519529</v>
      </c>
      <c r="T31" s="45" cm="1">
        <f t="array" ref="T31">IF($R31="Yes",(TREND($I$16:$I$17,$H$16:$H$17,$Q31)*TREND(K$29:K$30,$I$29:$I$30,$Q31))+(TREND($I$16:$I$17,$H$16:$H$17,$Q31)*TREND(K$31:K$32,$I$31:$I$32,$Q31)),0)</f>
        <v>0.23740259740259764</v>
      </c>
      <c r="U31" s="45" cm="1">
        <f t="array" ref="U31">IF($R31="Yes",(TREND($I$16:$I$17,$H$16:$H$17,$Q31)*TREND(L$29:L$30,$I$29:$I$30,$Q31))+(TREND($I$16:$I$17,$H$16:$H$17,$Q31)*TREND(L$31:L$32,$I$31:$I$32,$Q31)),0)</f>
        <v>0.94961038961039057</v>
      </c>
      <c r="V31" s="45" cm="1">
        <f t="array" ref="V31">IF($R31="Yes",(TREND($I$16:$I$17,$H$16:$H$17,$Q31)*TREND(M$29:M$30,$I$29:$I$30,$Q31))+(TREND($I$16:$I$17,$H$16:$H$17,$Q31)*TREND(M$31:M$32,$I$31:$I$32,$Q31)),0)</f>
        <v>1.8992207792207811</v>
      </c>
      <c r="W31" s="45" cm="1">
        <f t="array" ref="W31">IF($R31="Yes",(TREND($I$16:$I$17,$H$16:$H$17,$Q31)*TREND(N$29:N$30,$I$29:$I$30,$Q31))+(TREND($I$16:$I$17,$H$16:$H$17,$Q31)*TREND(N$31:N$32,$I$31:$I$32,$Q31)),0)</f>
        <v>11.870129870129881</v>
      </c>
      <c r="X31" s="59">
        <f>IF(Q31&lt;=Assumptions!$D$15,SUMPRODUCT($I$6:$M$6,S31:W31),0)</f>
        <v>6710659.2207792271</v>
      </c>
      <c r="Z31" s="496"/>
      <c r="AA31" s="44">
        <f t="shared" si="5"/>
        <v>2043</v>
      </c>
      <c r="AB31" s="21" t="str">
        <f>IF(AA31&gt;=(Assumptions!$D$45+Assumptions!$D$46),"Yes",IF(OR(AA31=Assumptions!$D$45,AA31=Assumptions!$D$45+Assumptions!$D$46-1),"Construction","No"))</f>
        <v>Yes</v>
      </c>
      <c r="AC31" s="45" cm="1">
        <f t="array" ref="AC31">IF($AB31="no",_xlfn.XLOOKUP($AA31,$Q$7:$Q$47,S$7:S$47),IF($AB31="yes",(TREND($I$16:$I$17,$H$16:$H$17,$AA31)*TREND($J$36:$J$37,$I$36:$I$37,$AA31)),IF($AB31="Construction",0,0)))</f>
        <v>0.21480187012987034</v>
      </c>
      <c r="AD31" s="45" cm="1">
        <f t="array" ref="AD31">IF($AB31="no",_xlfn.XLOOKUP($AA31,$Q$7:$Q$47,T$7:T$47),IF($AB31="yes",(TREND($I$16:$I$17,$H$16:$H$17,$AA31)*TREND($J$36:$J$37,$I$36:$I$37,$AA31)),IF($AB31="Construction",0,0)))</f>
        <v>0.21480187012987034</v>
      </c>
      <c r="AE31" s="45" cm="1">
        <f t="array" ref="AE31">IF($AB31="no",_xlfn.XLOOKUP($AA31,$Q$7:$Q$47,U$7:U$47),IF($AB31="yes",(TREND($I$16:$I$17,$H$16:$H$17,$AA31)*TREND($J$36:$J$37,$I$36:$I$37,$AA31)),IF($AB31="Construction",0,0)))</f>
        <v>0.21480187012987034</v>
      </c>
      <c r="AF31" s="45" cm="1">
        <f t="array" ref="AF31">IF($AB31="no",_xlfn.XLOOKUP($AA31,$Q$7:$Q$47,V$7:V$47),IF($AB31="yes",(TREND($I$16:$I$17,$H$16:$H$17,$AA31)*TREND($J$36:$J$37,$I$36:$I$37,$AA31)),IF($AB31="Construction",0,0)))</f>
        <v>0.21480187012987034</v>
      </c>
      <c r="AG31" s="45" cm="1">
        <f t="array" ref="AG31">IF($AB31="no",_xlfn.XLOOKUP($AA31,$Q$7:$Q$47,W$7:W$47),IF($AB31="yes",(TREND($I$16:$I$17,$H$16:$H$17,$AA31)*TREND($J$36:$J$37,$I$36:$I$37,$AA31)),IF($AB31="Construction",0,0)))</f>
        <v>0.21480187012987034</v>
      </c>
      <c r="AH31" s="59">
        <f>IF(AA31&lt;=Assumptions!$D$15,SUMPRODUCT($I$6:$M$6,AC31:AG31),0)</f>
        <v>3015539.014192211</v>
      </c>
      <c r="AI31" s="212"/>
    </row>
    <row r="32" spans="1:35" ht="15" customHeight="1" x14ac:dyDescent="0.25">
      <c r="B32" s="441"/>
      <c r="C32" s="441"/>
      <c r="D32" s="441"/>
      <c r="E32" s="441"/>
      <c r="F32" s="441"/>
      <c r="H32" s="499"/>
      <c r="I32" s="57">
        <f>'Traffic Volume and Route Data'!$C$12</f>
        <v>2040</v>
      </c>
      <c r="J32" s="248">
        <f>J31</f>
        <v>7.2727272727272728E-5</v>
      </c>
      <c r="K32" s="248">
        <f t="shared" ref="K32:N32" si="7">K31</f>
        <v>0</v>
      </c>
      <c r="L32" s="248">
        <f t="shared" si="7"/>
        <v>7.2727272727272728E-5</v>
      </c>
      <c r="M32" s="248">
        <f t="shared" si="7"/>
        <v>0</v>
      </c>
      <c r="N32" s="248">
        <f t="shared" si="7"/>
        <v>3.2727272727272726E-4</v>
      </c>
      <c r="P32" s="496"/>
      <c r="Q32" s="44">
        <f t="shared" si="4"/>
        <v>2044</v>
      </c>
      <c r="R32" s="21" t="s">
        <v>752</v>
      </c>
      <c r="S32" s="45" cm="1">
        <f t="array" ref="S32">IF($R32="Yes",(TREND($I$16:$I$17,$H$16:$H$17,$Q32)*TREND(J$29:J$30,$I$29:$I$30,$Q32))+(TREND($I$16:$I$17,$H$16:$H$17,$Q32)*TREND(J$31:J$32,$I$31:$I$32,$Q32)),0)</f>
        <v>0.47792207792207853</v>
      </c>
      <c r="T32" s="45" cm="1">
        <f t="array" ref="T32">IF($R32="Yes",(TREND($I$16:$I$17,$H$16:$H$17,$Q32)*TREND(K$29:K$30,$I$29:$I$30,$Q32))+(TREND($I$16:$I$17,$H$16:$H$17,$Q32)*TREND(K$31:K$32,$I$31:$I$32,$Q32)),0)</f>
        <v>0.23896103896103926</v>
      </c>
      <c r="U32" s="45" cm="1">
        <f t="array" ref="U32">IF($R32="Yes",(TREND($I$16:$I$17,$H$16:$H$17,$Q32)*TREND(L$29:L$30,$I$29:$I$30,$Q32))+(TREND($I$16:$I$17,$H$16:$H$17,$Q32)*TREND(L$31:L$32,$I$31:$I$32,$Q32)),0)</f>
        <v>0.95584415584415705</v>
      </c>
      <c r="V32" s="45" cm="1">
        <f t="array" ref="V32">IF($R32="Yes",(TREND($I$16:$I$17,$H$16:$H$17,$Q32)*TREND(M$29:M$30,$I$29:$I$30,$Q32))+(TREND($I$16:$I$17,$H$16:$H$17,$Q32)*TREND(M$31:M$32,$I$31:$I$32,$Q32)),0)</f>
        <v>1.9116883116883141</v>
      </c>
      <c r="W32" s="45" cm="1">
        <f t="array" ref="W32">IF($R32="Yes",(TREND($I$16:$I$17,$H$16:$H$17,$Q32)*TREND(N$29:N$30,$I$29:$I$30,$Q32))+(TREND($I$16:$I$17,$H$16:$H$17,$Q32)*TREND(N$31:N$32,$I$31:$I$32,$Q32)),0)</f>
        <v>11.948051948051962</v>
      </c>
      <c r="X32" s="59">
        <f>IF(Q32&lt;=Assumptions!$D$15,SUMPRODUCT($I$6:$M$6,S32:W32),0)</f>
        <v>6754711.688311697</v>
      </c>
      <c r="Z32" s="496"/>
      <c r="AA32" s="44">
        <f t="shared" si="5"/>
        <v>2044</v>
      </c>
      <c r="AB32" s="21" t="str">
        <f>IF(AA32&gt;=(Assumptions!$D$45+Assumptions!$D$46),"Yes",IF(OR(AA32=Assumptions!$D$45,AA32=Assumptions!$D$45+Assumptions!$D$46-1),"Construction","No"))</f>
        <v>Yes</v>
      </c>
      <c r="AC32" s="45" cm="1">
        <f t="array" ref="AC32">IF($AB32="no",_xlfn.XLOOKUP($AA32,$Q$7:$Q$47,S$7:S$47),IF($AB32="yes",(TREND($I$16:$I$17,$H$16:$H$17,$AA32)*TREND($J$36:$J$37,$I$36:$I$37,$AA32)),IF($AB32="Construction",0,0)))</f>
        <v>0.21621194805194835</v>
      </c>
      <c r="AD32" s="45" cm="1">
        <f t="array" ref="AD32">IF($AB32="no",_xlfn.XLOOKUP($AA32,$Q$7:$Q$47,T$7:T$47),IF($AB32="yes",(TREND($I$16:$I$17,$H$16:$H$17,$AA32)*TREND($J$36:$J$37,$I$36:$I$37,$AA32)),IF($AB32="Construction",0,0)))</f>
        <v>0.21621194805194835</v>
      </c>
      <c r="AE32" s="45" cm="1">
        <f t="array" ref="AE32">IF($AB32="no",_xlfn.XLOOKUP($AA32,$Q$7:$Q$47,U$7:U$47),IF($AB32="yes",(TREND($I$16:$I$17,$H$16:$H$17,$AA32)*TREND($J$36:$J$37,$I$36:$I$37,$AA32)),IF($AB32="Construction",0,0)))</f>
        <v>0.21621194805194835</v>
      </c>
      <c r="AF32" s="45" cm="1">
        <f t="array" ref="AF32">IF($AB32="no",_xlfn.XLOOKUP($AA32,$Q$7:$Q$47,V$7:V$47),IF($AB32="yes",(TREND($I$16:$I$17,$H$16:$H$17,$AA32)*TREND($J$36:$J$37,$I$36:$I$37,$AA32)),IF($AB32="Construction",0,0)))</f>
        <v>0.21621194805194835</v>
      </c>
      <c r="AG32" s="45" cm="1">
        <f t="array" ref="AG32">IF($AB32="no",_xlfn.XLOOKUP($AA32,$Q$7:$Q$47,W$7:W$47),IF($AB32="yes",(TREND($I$16:$I$17,$H$16:$H$17,$AA32)*TREND($J$36:$J$37,$I$36:$I$37,$AA32)),IF($AB32="Construction",0,0)))</f>
        <v>0.21621194805194835</v>
      </c>
      <c r="AH32" s="59">
        <f>IF(AA32&lt;=Assumptions!$D$15,SUMPRODUCT($I$6:$M$6,AC32:AG32),0)</f>
        <v>3035334.6751168878</v>
      </c>
      <c r="AI32" s="212"/>
    </row>
    <row r="33" spans="1:35" ht="15" customHeight="1" x14ac:dyDescent="0.25">
      <c r="B33" s="441"/>
      <c r="C33" s="441"/>
      <c r="D33" s="441"/>
      <c r="E33" s="441"/>
      <c r="F33" s="441"/>
      <c r="P33" s="496"/>
      <c r="Q33" s="44">
        <f t="shared" si="4"/>
        <v>2045</v>
      </c>
      <c r="R33" s="21" t="s">
        <v>752</v>
      </c>
      <c r="S33" s="45" cm="1">
        <f t="array" ref="S33">IF($R33="Yes",(TREND($I$16:$I$17,$H$16:$H$17,$Q33)*TREND(J$29:J$30,$I$29:$I$30,$Q33))+(TREND($I$16:$I$17,$H$16:$H$17,$Q33)*TREND(J$31:J$32,$I$31:$I$32,$Q33)),0)</f>
        <v>0.48103896103896077</v>
      </c>
      <c r="T33" s="45" cm="1">
        <f t="array" ref="T33">IF($R33="Yes",(TREND($I$16:$I$17,$H$16:$H$17,$Q33)*TREND(K$29:K$30,$I$29:$I$30,$Q33))+(TREND($I$16:$I$17,$H$16:$H$17,$Q33)*TREND(K$31:K$32,$I$31:$I$32,$Q33)),0)</f>
        <v>0.24051948051948038</v>
      </c>
      <c r="U33" s="45" cm="1">
        <f t="array" ref="U33">IF($R33="Yes",(TREND($I$16:$I$17,$H$16:$H$17,$Q33)*TREND(L$29:L$30,$I$29:$I$30,$Q33))+(TREND($I$16:$I$17,$H$16:$H$17,$Q33)*TREND(L$31:L$32,$I$31:$I$32,$Q33)),0)</f>
        <v>0.96207792207792153</v>
      </c>
      <c r="V33" s="45" cm="1">
        <f t="array" ref="V33">IF($R33="Yes",(TREND($I$16:$I$17,$H$16:$H$17,$Q33)*TREND(M$29:M$30,$I$29:$I$30,$Q33))+(TREND($I$16:$I$17,$H$16:$H$17,$Q33)*TREND(M$31:M$32,$I$31:$I$32,$Q33)),0)</f>
        <v>1.9241558441558431</v>
      </c>
      <c r="W33" s="45" cm="1">
        <f t="array" ref="W33">IF($R33="Yes",(TREND($I$16:$I$17,$H$16:$H$17,$Q33)*TREND(N$29:N$30,$I$29:$I$30,$Q33))+(TREND($I$16:$I$17,$H$16:$H$17,$Q33)*TREND(N$31:N$32,$I$31:$I$32,$Q33)),0)</f>
        <v>12.025974025974019</v>
      </c>
      <c r="X33" s="59">
        <f>IF(Q33&lt;=Assumptions!$D$15,SUMPRODUCT($I$6:$M$6,S33:W33),0)</f>
        <v>6798764.155844152</v>
      </c>
      <c r="Z33" s="496"/>
      <c r="AA33" s="44">
        <f t="shared" si="5"/>
        <v>2045</v>
      </c>
      <c r="AB33" s="21" t="str">
        <f>IF(AA33&gt;=(Assumptions!$D$45+Assumptions!$D$46),"Yes",IF(OR(AA33=Assumptions!$D$45,AA33=Assumptions!$D$45+Assumptions!$D$46-1),"Construction","No"))</f>
        <v>Yes</v>
      </c>
      <c r="AC33" s="45" cm="1">
        <f t="array" ref="AC33">IF($AB33="no",_xlfn.XLOOKUP($AA33,$Q$7:$Q$47,S$7:S$47),IF($AB33="yes",(TREND($I$16:$I$17,$H$16:$H$17,$AA33)*TREND($J$36:$J$37,$I$36:$I$37,$AA33)),IF($AB33="Construction",0,0)))</f>
        <v>0.21762202597402586</v>
      </c>
      <c r="AD33" s="45" cm="1">
        <f t="array" ref="AD33">IF($AB33="no",_xlfn.XLOOKUP($AA33,$Q$7:$Q$47,T$7:T$47),IF($AB33="yes",(TREND($I$16:$I$17,$H$16:$H$17,$AA33)*TREND($J$36:$J$37,$I$36:$I$37,$AA33)),IF($AB33="Construction",0,0)))</f>
        <v>0.21762202597402586</v>
      </c>
      <c r="AE33" s="45" cm="1">
        <f t="array" ref="AE33">IF($AB33="no",_xlfn.XLOOKUP($AA33,$Q$7:$Q$47,U$7:U$47),IF($AB33="yes",(TREND($I$16:$I$17,$H$16:$H$17,$AA33)*TREND($J$36:$J$37,$I$36:$I$37,$AA33)),IF($AB33="Construction",0,0)))</f>
        <v>0.21762202597402586</v>
      </c>
      <c r="AF33" s="45" cm="1">
        <f t="array" ref="AF33">IF($AB33="no",_xlfn.XLOOKUP($AA33,$Q$7:$Q$47,V$7:V$47),IF($AB33="yes",(TREND($I$16:$I$17,$H$16:$H$17,$AA33)*TREND($J$36:$J$37,$I$36:$I$37,$AA33)),IF($AB33="Construction",0,0)))</f>
        <v>0.21762202597402586</v>
      </c>
      <c r="AG33" s="45" cm="1">
        <f t="array" ref="AG33">IF($AB33="no",_xlfn.XLOOKUP($AA33,$Q$7:$Q$47,W$7:W$47),IF($AB33="yes",(TREND($I$16:$I$17,$H$16:$H$17,$AA33)*TREND($J$36:$J$37,$I$36:$I$37,$AA33)),IF($AB33="Construction",0,0)))</f>
        <v>0.21762202597402586</v>
      </c>
      <c r="AH33" s="59">
        <f>IF(AA33&lt;=Assumptions!$D$15,SUMPRODUCT($I$6:$M$6,AC33:AG33),0)</f>
        <v>3055130.3360415567</v>
      </c>
      <c r="AI33" s="212"/>
    </row>
    <row r="34" spans="1:35" ht="15" customHeight="1" x14ac:dyDescent="0.25">
      <c r="B34" s="441"/>
      <c r="C34" s="441"/>
      <c r="D34" s="441"/>
      <c r="E34" s="441"/>
      <c r="F34" s="441"/>
      <c r="H34" s="1" t="s">
        <v>228</v>
      </c>
      <c r="K34" s="1"/>
      <c r="L34" s="1"/>
      <c r="M34" s="1"/>
      <c r="N34" s="1"/>
      <c r="P34" s="496"/>
      <c r="Q34" s="44">
        <f t="shared" si="4"/>
        <v>2046</v>
      </c>
      <c r="R34" s="21" t="s">
        <v>752</v>
      </c>
      <c r="S34" s="45" cm="1">
        <f t="array" ref="S34">IF($R34="Yes",(TREND($I$16:$I$17,$H$16:$H$17,$Q34)*TREND(J$29:J$30,$I$29:$I$30,$Q34))+(TREND($I$16:$I$17,$H$16:$H$17,$Q34)*TREND(J$31:J$32,$I$31:$I$32,$Q34)),0)</f>
        <v>0.48415584415584401</v>
      </c>
      <c r="T34" s="45" cm="1">
        <f t="array" ref="T34">IF($R34="Yes",(TREND($I$16:$I$17,$H$16:$H$17,$Q34)*TREND(K$29:K$30,$I$29:$I$30,$Q34))+(TREND($I$16:$I$17,$H$16:$H$17,$Q34)*TREND(K$31:K$32,$I$31:$I$32,$Q34)),0)</f>
        <v>0.242077922077922</v>
      </c>
      <c r="U34" s="45" cm="1">
        <f t="array" ref="U34">IF($R34="Yes",(TREND($I$16:$I$17,$H$16:$H$17,$Q34)*TREND(L$29:L$30,$I$29:$I$30,$Q34))+(TREND($I$16:$I$17,$H$16:$H$17,$Q34)*TREND(L$31:L$32,$I$31:$I$32,$Q34)),0)</f>
        <v>0.96831168831168801</v>
      </c>
      <c r="V34" s="45" cm="1">
        <f t="array" ref="V34">IF($R34="Yes",(TREND($I$16:$I$17,$H$16:$H$17,$Q34)*TREND(M$29:M$30,$I$29:$I$30,$Q34))+(TREND($I$16:$I$17,$H$16:$H$17,$Q34)*TREND(M$31:M$32,$I$31:$I$32,$Q34)),0)</f>
        <v>1.936623376623376</v>
      </c>
      <c r="W34" s="45" cm="1">
        <f t="array" ref="W34">IF($R34="Yes",(TREND($I$16:$I$17,$H$16:$H$17,$Q34)*TREND(N$29:N$30,$I$29:$I$30,$Q34))+(TREND($I$16:$I$17,$H$16:$H$17,$Q34)*TREND(N$31:N$32,$I$31:$I$32,$Q34)),0)</f>
        <v>12.103896103896101</v>
      </c>
      <c r="X34" s="59">
        <f>IF(Q34&lt;=Assumptions!$D$15,SUMPRODUCT($I$6:$M$6,S34:W34),0)</f>
        <v>6842816.6233766209</v>
      </c>
      <c r="Z34" s="496"/>
      <c r="AA34" s="44">
        <f t="shared" si="5"/>
        <v>2046</v>
      </c>
      <c r="AB34" s="21" t="str">
        <f>IF(AA34&gt;=(Assumptions!$D$45+Assumptions!$D$46),"Yes",IF(OR(AA34=Assumptions!$D$45,AA34=Assumptions!$D$45+Assumptions!$D$46-1),"Construction","No"))</f>
        <v>Yes</v>
      </c>
      <c r="AC34" s="45" cm="1">
        <f t="array" ref="AC34">IF($AB34="no",_xlfn.XLOOKUP($AA34,$Q$7:$Q$47,S$7:S$47),IF($AB34="yes",(TREND($I$16:$I$17,$H$16:$H$17,$AA34)*TREND($J$36:$J$37,$I$36:$I$37,$AA34)),IF($AB34="Construction",0,0)))</f>
        <v>0.21903210389610384</v>
      </c>
      <c r="AD34" s="45" cm="1">
        <f t="array" ref="AD34">IF($AB34="no",_xlfn.XLOOKUP($AA34,$Q$7:$Q$47,T$7:T$47),IF($AB34="yes",(TREND($I$16:$I$17,$H$16:$H$17,$AA34)*TREND($J$36:$J$37,$I$36:$I$37,$AA34)),IF($AB34="Construction",0,0)))</f>
        <v>0.21903210389610384</v>
      </c>
      <c r="AE34" s="45" cm="1">
        <f t="array" ref="AE34">IF($AB34="no",_xlfn.XLOOKUP($AA34,$Q$7:$Q$47,U$7:U$47),IF($AB34="yes",(TREND($I$16:$I$17,$H$16:$H$17,$AA34)*TREND($J$36:$J$37,$I$36:$I$37,$AA34)),IF($AB34="Construction",0,0)))</f>
        <v>0.21903210389610384</v>
      </c>
      <c r="AF34" s="45" cm="1">
        <f t="array" ref="AF34">IF($AB34="no",_xlfn.XLOOKUP($AA34,$Q$7:$Q$47,V$7:V$47),IF($AB34="yes",(TREND($I$16:$I$17,$H$16:$H$17,$AA34)*TREND($J$36:$J$37,$I$36:$I$37,$AA34)),IF($AB34="Construction",0,0)))</f>
        <v>0.21903210389610384</v>
      </c>
      <c r="AG34" s="45" cm="1">
        <f t="array" ref="AG34">IF($AB34="no",_xlfn.XLOOKUP($AA34,$Q$7:$Q$47,W$7:W$47),IF($AB34="yes",(TREND($I$16:$I$17,$H$16:$H$17,$AA34)*TREND($J$36:$J$37,$I$36:$I$37,$AA34)),IF($AB34="Construction",0,0)))</f>
        <v>0.21903210389610384</v>
      </c>
      <c r="AH34" s="59">
        <f>IF(AA34&lt;=Assumptions!$D$15,SUMPRODUCT($I$6:$M$6,AC34:AG34),0)</f>
        <v>3074925.9969662335</v>
      </c>
      <c r="AI34" s="212"/>
    </row>
    <row r="35" spans="1:35" ht="15" customHeight="1" x14ac:dyDescent="0.25">
      <c r="H35" s="21" t="s">
        <v>129</v>
      </c>
      <c r="I35" s="21" t="s">
        <v>22</v>
      </c>
      <c r="J35" s="21" t="s">
        <v>234</v>
      </c>
      <c r="K35" s="21" t="s">
        <v>235</v>
      </c>
      <c r="L35" s="21" t="s">
        <v>236</v>
      </c>
      <c r="M35" s="21" t="s">
        <v>237</v>
      </c>
      <c r="N35" s="21" t="s">
        <v>220</v>
      </c>
      <c r="P35" s="496"/>
      <c r="Q35" s="44">
        <f t="shared" si="4"/>
        <v>2047</v>
      </c>
      <c r="R35" s="21" t="s">
        <v>752</v>
      </c>
      <c r="S35" s="45" cm="1">
        <f t="array" ref="S35">IF($R35="Yes",(TREND($I$16:$I$17,$H$16:$H$17,$Q35)*TREND(J$29:J$30,$I$29:$I$30,$Q35))+(TREND($I$16:$I$17,$H$16:$H$17,$Q35)*TREND(J$31:J$32,$I$31:$I$32,$Q35)),0)</f>
        <v>0.4872727272727273</v>
      </c>
      <c r="T35" s="45" cm="1">
        <f t="array" ref="T35">IF($R35="Yes",(TREND($I$16:$I$17,$H$16:$H$17,$Q35)*TREND(K$29:K$30,$I$29:$I$30,$Q35))+(TREND($I$16:$I$17,$H$16:$H$17,$Q35)*TREND(K$31:K$32,$I$31:$I$32,$Q35)),0)</f>
        <v>0.24363636363636365</v>
      </c>
      <c r="U35" s="45" cm="1">
        <f t="array" ref="U35">IF($R35="Yes",(TREND($I$16:$I$17,$H$16:$H$17,$Q35)*TREND(L$29:L$30,$I$29:$I$30,$Q35))+(TREND($I$16:$I$17,$H$16:$H$17,$Q35)*TREND(L$31:L$32,$I$31:$I$32,$Q35)),0)</f>
        <v>0.9745454545454546</v>
      </c>
      <c r="V35" s="45" cm="1">
        <f t="array" ref="V35">IF($R35="Yes",(TREND($I$16:$I$17,$H$16:$H$17,$Q35)*TREND(M$29:M$30,$I$29:$I$30,$Q35))+(TREND($I$16:$I$17,$H$16:$H$17,$Q35)*TREND(M$31:M$32,$I$31:$I$32,$Q35)),0)</f>
        <v>1.9490909090909092</v>
      </c>
      <c r="W35" s="45" cm="1">
        <f t="array" ref="W35">IF($R35="Yes",(TREND($I$16:$I$17,$H$16:$H$17,$Q35)*TREND(N$29:N$30,$I$29:$I$30,$Q35))+(TREND($I$16:$I$17,$H$16:$H$17,$Q35)*TREND(N$31:N$32,$I$31:$I$32,$Q35)),0)</f>
        <v>12.181818181818182</v>
      </c>
      <c r="X35" s="59">
        <f>IF(Q35&lt;=Assumptions!$D$15,SUMPRODUCT($I$6:$M$6,S35:W35),0)</f>
        <v>6886869.0909090908</v>
      </c>
      <c r="Z35" s="496"/>
      <c r="AA35" s="44">
        <f t="shared" si="5"/>
        <v>2047</v>
      </c>
      <c r="AB35" s="21" t="str">
        <f>IF(AA35&gt;=(Assumptions!$D$45+Assumptions!$D$46),"Yes",IF(OR(AA35=Assumptions!$D$45,AA35=Assumptions!$D$45+Assumptions!$D$46-1),"Construction","No"))</f>
        <v>Yes</v>
      </c>
      <c r="AC35" s="45" cm="1">
        <f t="array" ref="AC35">IF($AB35="no",_xlfn.XLOOKUP($AA35,$Q$7:$Q$47,S$7:S$47),IF($AB35="yes",(TREND($I$16:$I$17,$H$16:$H$17,$AA35)*TREND($J$36:$J$37,$I$36:$I$37,$AA35)),IF($AB35="Construction",0,0)))</f>
        <v>0.22044218181818184</v>
      </c>
      <c r="AD35" s="45" cm="1">
        <f t="array" ref="AD35">IF($AB35="no",_xlfn.XLOOKUP($AA35,$Q$7:$Q$47,T$7:T$47),IF($AB35="yes",(TREND($I$16:$I$17,$H$16:$H$17,$AA35)*TREND($J$36:$J$37,$I$36:$I$37,$AA35)),IF($AB35="Construction",0,0)))</f>
        <v>0.22044218181818184</v>
      </c>
      <c r="AE35" s="45" cm="1">
        <f t="array" ref="AE35">IF($AB35="no",_xlfn.XLOOKUP($AA35,$Q$7:$Q$47,U$7:U$47),IF($AB35="yes",(TREND($I$16:$I$17,$H$16:$H$17,$AA35)*TREND($J$36:$J$37,$I$36:$I$37,$AA35)),IF($AB35="Construction",0,0)))</f>
        <v>0.22044218181818184</v>
      </c>
      <c r="AF35" s="45" cm="1">
        <f t="array" ref="AF35">IF($AB35="no",_xlfn.XLOOKUP($AA35,$Q$7:$Q$47,V$7:V$47),IF($AB35="yes",(TREND($I$16:$I$17,$H$16:$H$17,$AA35)*TREND($J$36:$J$37,$I$36:$I$37,$AA35)),IF($AB35="Construction",0,0)))</f>
        <v>0.22044218181818184</v>
      </c>
      <c r="AG35" s="45" cm="1">
        <f t="array" ref="AG35">IF($AB35="no",_xlfn.XLOOKUP($AA35,$Q$7:$Q$47,W$7:W$47),IF($AB35="yes",(TREND($I$16:$I$17,$H$16:$H$17,$AA35)*TREND($J$36:$J$37,$I$36:$I$37,$AA35)),IF($AB35="Construction",0,0)))</f>
        <v>0.22044218181818184</v>
      </c>
      <c r="AH35" s="59">
        <f>IF(AA35&lt;=Assumptions!$D$15,SUMPRODUCT($I$6:$M$6,AC35:AG35),0)</f>
        <v>3094721.6578909094</v>
      </c>
      <c r="AI35" s="212"/>
    </row>
    <row r="36" spans="1:35" ht="15" customHeight="1" x14ac:dyDescent="0.25">
      <c r="A36" s="2" t="s">
        <v>15</v>
      </c>
      <c r="B36" s="441" t="s">
        <v>252</v>
      </c>
      <c r="C36" s="441"/>
      <c r="D36" s="441"/>
      <c r="E36" s="441"/>
      <c r="F36" s="441"/>
      <c r="H36" s="22" t="s">
        <v>130</v>
      </c>
      <c r="I36" s="57">
        <f>'Traffic Volume and Route Data'!$C$11</f>
        <v>2019</v>
      </c>
      <c r="J36" s="249">
        <f>J29*$I$22+J31*$I$22*$J$22</f>
        <v>3.2901818181818183E-5</v>
      </c>
      <c r="K36" s="249">
        <f>K29*$I$22+K31*$I$22*$J$22</f>
        <v>3.1636363636363635E-5</v>
      </c>
      <c r="L36" s="249">
        <f t="shared" ref="L36:N37" si="8">L29*$I$22+L31*$I$22*$J$22</f>
        <v>9.6174545454545454E-5</v>
      </c>
      <c r="M36" s="249">
        <f t="shared" si="8"/>
        <v>2.5309090909090908E-4</v>
      </c>
      <c r="N36" s="249">
        <f t="shared" si="8"/>
        <v>1.445149090909091E-3</v>
      </c>
      <c r="O36" s="1"/>
      <c r="P36" s="496"/>
      <c r="Q36" s="44">
        <f t="shared" si="4"/>
        <v>2048</v>
      </c>
      <c r="R36" s="21" t="s">
        <v>752</v>
      </c>
      <c r="S36" s="45" cm="1">
        <f t="array" ref="S36">IF($R36="Yes",(TREND($I$16:$I$17,$H$16:$H$17,$Q36)*TREND(J$29:J$30,$I$29:$I$30,$Q36))+(TREND($I$16:$I$17,$H$16:$H$17,$Q36)*TREND(J$31:J$32,$I$31:$I$32,$Q36)),0)</f>
        <v>0.49038961038961054</v>
      </c>
      <c r="T36" s="45" cm="1">
        <f t="array" ref="T36">IF($R36="Yes",(TREND($I$16:$I$17,$H$16:$H$17,$Q36)*TREND(K$29:K$30,$I$29:$I$30,$Q36))+(TREND($I$16:$I$17,$H$16:$H$17,$Q36)*TREND(K$31:K$32,$I$31:$I$32,$Q36)),0)</f>
        <v>0.24519480519480527</v>
      </c>
      <c r="U36" s="45" cm="1">
        <f t="array" ref="U36">IF($R36="Yes",(TREND($I$16:$I$17,$H$16:$H$17,$Q36)*TREND(L$29:L$30,$I$29:$I$30,$Q36))+(TREND($I$16:$I$17,$H$16:$H$17,$Q36)*TREND(L$31:L$32,$I$31:$I$32,$Q36)),0)</f>
        <v>0.98077922077922108</v>
      </c>
      <c r="V36" s="45" cm="1">
        <f t="array" ref="V36">IF($R36="Yes",(TREND($I$16:$I$17,$H$16:$H$17,$Q36)*TREND(M$29:M$30,$I$29:$I$30,$Q36))+(TREND($I$16:$I$17,$H$16:$H$17,$Q36)*TREND(M$31:M$32,$I$31:$I$32,$Q36)),0)</f>
        <v>1.9615584415584422</v>
      </c>
      <c r="W36" s="45" cm="1">
        <f t="array" ref="W36">IF($R36="Yes",(TREND($I$16:$I$17,$H$16:$H$17,$Q36)*TREND(N$29:N$30,$I$29:$I$30,$Q36))+(TREND($I$16:$I$17,$H$16:$H$17,$Q36)*TREND(N$31:N$32,$I$31:$I$32,$Q36)),0)</f>
        <v>12.259740259740264</v>
      </c>
      <c r="X36" s="59">
        <f>IF(Q36&lt;=Assumptions!$D$15,SUMPRODUCT($I$6:$M$6,S36:W36),0)</f>
        <v>6930921.5584415607</v>
      </c>
      <c r="Z36" s="496"/>
      <c r="AA36" s="44">
        <f t="shared" si="5"/>
        <v>2048</v>
      </c>
      <c r="AB36" s="21" t="str">
        <f>IF(AA36&gt;=(Assumptions!$D$45+Assumptions!$D$46),"Yes",IF(OR(AA36=Assumptions!$D$45,AA36=Assumptions!$D$45+Assumptions!$D$46-1),"Construction","No"))</f>
        <v>Yes</v>
      </c>
      <c r="AC36" s="45" cm="1">
        <f t="array" ref="AC36">IF($AB36="no",_xlfn.XLOOKUP($AA36,$Q$7:$Q$47,S$7:S$47),IF($AB36="yes",(TREND($I$16:$I$17,$H$16:$H$17,$AA36)*TREND($J$36:$J$37,$I$36:$I$37,$AA36)),IF($AB36="Construction",0,0)))</f>
        <v>0.22185225974025982</v>
      </c>
      <c r="AD36" s="45" cm="1">
        <f t="array" ref="AD36">IF($AB36="no",_xlfn.XLOOKUP($AA36,$Q$7:$Q$47,T$7:T$47),IF($AB36="yes",(TREND($I$16:$I$17,$H$16:$H$17,$AA36)*TREND($J$36:$J$37,$I$36:$I$37,$AA36)),IF($AB36="Construction",0,0)))</f>
        <v>0.22185225974025982</v>
      </c>
      <c r="AE36" s="45" cm="1">
        <f t="array" ref="AE36">IF($AB36="no",_xlfn.XLOOKUP($AA36,$Q$7:$Q$47,U$7:U$47),IF($AB36="yes",(TREND($I$16:$I$17,$H$16:$H$17,$AA36)*TREND($J$36:$J$37,$I$36:$I$37,$AA36)),IF($AB36="Construction",0,0)))</f>
        <v>0.22185225974025982</v>
      </c>
      <c r="AF36" s="45" cm="1">
        <f t="array" ref="AF36">IF($AB36="no",_xlfn.XLOOKUP($AA36,$Q$7:$Q$47,V$7:V$47),IF($AB36="yes",(TREND($I$16:$I$17,$H$16:$H$17,$AA36)*TREND($J$36:$J$37,$I$36:$I$37,$AA36)),IF($AB36="Construction",0,0)))</f>
        <v>0.22185225974025982</v>
      </c>
      <c r="AG36" s="45" cm="1">
        <f t="array" ref="AG36">IF($AB36="no",_xlfn.XLOOKUP($AA36,$Q$7:$Q$47,W$7:W$47),IF($AB36="yes",(TREND($I$16:$I$17,$H$16:$H$17,$AA36)*TREND($J$36:$J$37,$I$36:$I$37,$AA36)),IF($AB36="Construction",0,0)))</f>
        <v>0.22185225974025982</v>
      </c>
      <c r="AH36" s="59">
        <f>IF(AA36&lt;=Assumptions!$D$15,SUMPRODUCT($I$6:$M$6,AC36:AG36),0)</f>
        <v>3114517.3188155852</v>
      </c>
      <c r="AI36" s="212"/>
    </row>
    <row r="37" spans="1:35" ht="15" customHeight="1" x14ac:dyDescent="0.25">
      <c r="B37" s="441"/>
      <c r="C37" s="441"/>
      <c r="D37" s="441"/>
      <c r="E37" s="441"/>
      <c r="F37" s="441"/>
      <c r="H37" s="22" t="str">
        <f>Assumptions!$C$12</f>
        <v>Year for Traffic Volume Forecast</v>
      </c>
      <c r="I37" s="57">
        <f>'Traffic Volume and Route Data'!$C$12</f>
        <v>2040</v>
      </c>
      <c r="J37" s="249">
        <f>J30*$I$22+J32*$I$22*$J$22</f>
        <v>3.2901818181818183E-5</v>
      </c>
      <c r="K37" s="249">
        <f>K30*$I$22+K32*$I$22*$J$22</f>
        <v>3.1636363636363635E-5</v>
      </c>
      <c r="L37" s="249">
        <f t="shared" si="8"/>
        <v>9.6174545454545454E-5</v>
      </c>
      <c r="M37" s="249">
        <f t="shared" si="8"/>
        <v>2.5309090909090908E-4</v>
      </c>
      <c r="N37" s="249">
        <f t="shared" si="8"/>
        <v>1.445149090909091E-3</v>
      </c>
      <c r="O37" s="1"/>
      <c r="P37" s="496"/>
      <c r="Q37" s="44">
        <f t="shared" si="4"/>
        <v>2049</v>
      </c>
      <c r="R37" s="21" t="s">
        <v>752</v>
      </c>
      <c r="S37" s="45" cm="1">
        <f t="array" ref="S37">IF($R37="Yes",(TREND($I$16:$I$17,$H$16:$H$17,$Q37)*TREND(J$29:J$30,$I$29:$I$30,$Q37))+(TREND($I$16:$I$17,$H$16:$H$17,$Q37)*TREND(J$31:J$32,$I$31:$I$32,$Q37)),0)</f>
        <v>0.49350649350649384</v>
      </c>
      <c r="T37" s="45" cm="1">
        <f t="array" ref="T37">IF($R37="Yes",(TREND($I$16:$I$17,$H$16:$H$17,$Q37)*TREND(K$29:K$30,$I$29:$I$30,$Q37))+(TREND($I$16:$I$17,$H$16:$H$17,$Q37)*TREND(K$31:K$32,$I$31:$I$32,$Q37)),0)</f>
        <v>0.24675324675324692</v>
      </c>
      <c r="U37" s="45" cm="1">
        <f t="array" ref="U37">IF($R37="Yes",(TREND($I$16:$I$17,$H$16:$H$17,$Q37)*TREND(L$29:L$30,$I$29:$I$30,$Q37))+(TREND($I$16:$I$17,$H$16:$H$17,$Q37)*TREND(L$31:L$32,$I$31:$I$32,$Q37)),0)</f>
        <v>0.98701298701298767</v>
      </c>
      <c r="V37" s="45" cm="1">
        <f t="array" ref="V37">IF($R37="Yes",(TREND($I$16:$I$17,$H$16:$H$17,$Q37)*TREND(M$29:M$30,$I$29:$I$30,$Q37))+(TREND($I$16:$I$17,$H$16:$H$17,$Q37)*TREND(M$31:M$32,$I$31:$I$32,$Q37)),0)</f>
        <v>1.9740259740259753</v>
      </c>
      <c r="W37" s="45" cm="1">
        <f t="array" ref="W37">IF($R37="Yes",(TREND($I$16:$I$17,$H$16:$H$17,$Q37)*TREND(N$29:N$30,$I$29:$I$30,$Q37))+(TREND($I$16:$I$17,$H$16:$H$17,$Q37)*TREND(N$31:N$32,$I$31:$I$32,$Q37)),0)</f>
        <v>12.337662337662346</v>
      </c>
      <c r="X37" s="59">
        <f>IF(Q37&lt;=Assumptions!$D$15,SUMPRODUCT($I$6:$M$6,S37:W37),0)</f>
        <v>0</v>
      </c>
      <c r="Z37" s="496"/>
      <c r="AA37" s="44">
        <f t="shared" si="5"/>
        <v>2049</v>
      </c>
      <c r="AB37" s="21" t="str">
        <f>IF(AA37&gt;=(Assumptions!$D$45+Assumptions!$D$46),"Yes",IF(OR(AA37=Assumptions!$D$45,AA37=Assumptions!$D$45+Assumptions!$D$46-1),"Construction","No"))</f>
        <v>Yes</v>
      </c>
      <c r="AC37" s="45" cm="1">
        <f t="array" ref="AC37">IF($AB37="no",_xlfn.XLOOKUP($AA37,$Q$7:$Q$47,S$7:S$47),IF($AB37="yes",(TREND($I$16:$I$17,$H$16:$H$17,$AA37)*TREND($J$36:$J$37,$I$36:$I$37,$AA37)),IF($AB37="Construction",0,0)))</f>
        <v>0.2232623376623378</v>
      </c>
      <c r="AD37" s="45" cm="1">
        <f t="array" ref="AD37">IF($AB37="no",_xlfn.XLOOKUP($AA37,$Q$7:$Q$47,T$7:T$47),IF($AB37="yes",(TREND($I$16:$I$17,$H$16:$H$17,$AA37)*TREND($J$36:$J$37,$I$36:$I$37,$AA37)),IF($AB37="Construction",0,0)))</f>
        <v>0.2232623376623378</v>
      </c>
      <c r="AE37" s="45" cm="1">
        <f t="array" ref="AE37">IF($AB37="no",_xlfn.XLOOKUP($AA37,$Q$7:$Q$47,U$7:U$47),IF($AB37="yes",(TREND($I$16:$I$17,$H$16:$H$17,$AA37)*TREND($J$36:$J$37,$I$36:$I$37,$AA37)),IF($AB37="Construction",0,0)))</f>
        <v>0.2232623376623378</v>
      </c>
      <c r="AF37" s="45" cm="1">
        <f t="array" ref="AF37">IF($AB37="no",_xlfn.XLOOKUP($AA37,$Q$7:$Q$47,V$7:V$47),IF($AB37="yes",(TREND($I$16:$I$17,$H$16:$H$17,$AA37)*TREND($J$36:$J$37,$I$36:$I$37,$AA37)),IF($AB37="Construction",0,0)))</f>
        <v>0.2232623376623378</v>
      </c>
      <c r="AG37" s="45" cm="1">
        <f t="array" ref="AG37">IF($AB37="no",_xlfn.XLOOKUP($AA37,$Q$7:$Q$47,W$7:W$47),IF($AB37="yes",(TREND($I$16:$I$17,$H$16:$H$17,$AA37)*TREND($J$36:$J$37,$I$36:$I$37,$AA37)),IF($AB37="Construction",0,0)))</f>
        <v>0.2232623376623378</v>
      </c>
      <c r="AH37" s="59">
        <f>IF(AA37&lt;=Assumptions!$D$15,SUMPRODUCT($I$6:$M$6,AC37:AG37),0)</f>
        <v>0</v>
      </c>
      <c r="AI37" s="212"/>
    </row>
    <row r="38" spans="1:35" x14ac:dyDescent="0.25">
      <c r="A38" s="2"/>
      <c r="B38" s="441"/>
      <c r="C38" s="441"/>
      <c r="D38" s="441"/>
      <c r="E38" s="441"/>
      <c r="F38" s="441"/>
      <c r="M38" s="1"/>
      <c r="N38" s="1"/>
      <c r="O38" s="1"/>
      <c r="P38" s="496"/>
      <c r="Q38" s="44">
        <f t="shared" si="4"/>
        <v>2050</v>
      </c>
      <c r="R38" s="21" t="s">
        <v>752</v>
      </c>
      <c r="S38" s="45" cm="1">
        <f t="array" ref="S38">IF($R38="Yes",(TREND($I$16:$I$17,$H$16:$H$17,$Q38)*TREND(J$29:J$30,$I$29:$I$30,$Q38))+(TREND($I$16:$I$17,$H$16:$H$17,$Q38)*TREND(J$31:J$32,$I$31:$I$32,$Q38)),0)</f>
        <v>0.49662337662337708</v>
      </c>
      <c r="T38" s="45" cm="1">
        <f t="array" ref="T38">IF($R38="Yes",(TREND($I$16:$I$17,$H$16:$H$17,$Q38)*TREND(K$29:K$30,$I$29:$I$30,$Q38))+(TREND($I$16:$I$17,$H$16:$H$17,$Q38)*TREND(K$31:K$32,$I$31:$I$32,$Q38)),0)</f>
        <v>0.24831168831168854</v>
      </c>
      <c r="U38" s="45" cm="1">
        <f t="array" ref="U38">IF($R38="Yes",(TREND($I$16:$I$17,$H$16:$H$17,$Q38)*TREND(L$29:L$30,$I$29:$I$30,$Q38))+(TREND($I$16:$I$17,$H$16:$H$17,$Q38)*TREND(L$31:L$32,$I$31:$I$32,$Q38)),0)</f>
        <v>0.99324675324675415</v>
      </c>
      <c r="V38" s="45" cm="1">
        <f t="array" ref="V38">IF($R38="Yes",(TREND($I$16:$I$17,$H$16:$H$17,$Q38)*TREND(M$29:M$30,$I$29:$I$30,$Q38))+(TREND($I$16:$I$17,$H$16:$H$17,$Q38)*TREND(M$31:M$32,$I$31:$I$32,$Q38)),0)</f>
        <v>1.9864935064935083</v>
      </c>
      <c r="W38" s="45" cm="1">
        <f t="array" ref="W38">IF($R38="Yes",(TREND($I$16:$I$17,$H$16:$H$17,$Q38)*TREND(N$29:N$30,$I$29:$I$30,$Q38))+(TREND($I$16:$I$17,$H$16:$H$17,$Q38)*TREND(N$31:N$32,$I$31:$I$32,$Q38)),0)</f>
        <v>12.415584415584426</v>
      </c>
      <c r="X38" s="59">
        <f>IF(Q38&lt;=Assumptions!$D$15,SUMPRODUCT($I$6:$M$6,S38:W38),0)</f>
        <v>0</v>
      </c>
      <c r="Z38" s="496"/>
      <c r="AA38" s="44">
        <f t="shared" si="5"/>
        <v>2050</v>
      </c>
      <c r="AB38" s="21" t="str">
        <f>IF(AA38&gt;=(Assumptions!$D$45+Assumptions!$D$46),"Yes",IF(OR(AA38=Assumptions!$D$45,AA38=Assumptions!$D$45+Assumptions!$D$46-1),"Construction","No"))</f>
        <v>Yes</v>
      </c>
      <c r="AC38" s="45" cm="1">
        <f t="array" ref="AC38">IF($AB38="no",_xlfn.XLOOKUP($AA38,$Q$7:$Q$47,S$7:S$47),IF($AB38="yes",(TREND($I$16:$I$17,$H$16:$H$17,$AA38)*TREND($J$36:$J$37,$I$36:$I$37,$AA38)),IF($AB38="Construction",0,0)))</f>
        <v>0.22467241558441581</v>
      </c>
      <c r="AD38" s="45" cm="1">
        <f t="array" ref="AD38">IF($AB38="no",_xlfn.XLOOKUP($AA38,$Q$7:$Q$47,T$7:T$47),IF($AB38="yes",(TREND($I$16:$I$17,$H$16:$H$17,$AA38)*TREND($J$36:$J$37,$I$36:$I$37,$AA38)),IF($AB38="Construction",0,0)))</f>
        <v>0.22467241558441581</v>
      </c>
      <c r="AE38" s="45" cm="1">
        <f t="array" ref="AE38">IF($AB38="no",_xlfn.XLOOKUP($AA38,$Q$7:$Q$47,U$7:U$47),IF($AB38="yes",(TREND($I$16:$I$17,$H$16:$H$17,$AA38)*TREND($J$36:$J$37,$I$36:$I$37,$AA38)),IF($AB38="Construction",0,0)))</f>
        <v>0.22467241558441581</v>
      </c>
      <c r="AF38" s="45" cm="1">
        <f t="array" ref="AF38">IF($AB38="no",_xlfn.XLOOKUP($AA38,$Q$7:$Q$47,V$7:V$47),IF($AB38="yes",(TREND($I$16:$I$17,$H$16:$H$17,$AA38)*TREND($J$36:$J$37,$I$36:$I$37,$AA38)),IF($AB38="Construction",0,0)))</f>
        <v>0.22467241558441581</v>
      </c>
      <c r="AG38" s="45" cm="1">
        <f t="array" ref="AG38">IF($AB38="no",_xlfn.XLOOKUP($AA38,$Q$7:$Q$47,W$7:W$47),IF($AB38="yes",(TREND($I$16:$I$17,$H$16:$H$17,$AA38)*TREND($J$36:$J$37,$I$36:$I$37,$AA38)),IF($AB38="Construction",0,0)))</f>
        <v>0.22467241558441581</v>
      </c>
      <c r="AH38" s="59">
        <f>IF(AA38&lt;=Assumptions!$D$15,SUMPRODUCT($I$6:$M$6,AC38:AG38),0)</f>
        <v>0</v>
      </c>
      <c r="AI38" s="212"/>
    </row>
    <row r="39" spans="1:35" ht="15" customHeight="1" x14ac:dyDescent="0.25">
      <c r="B39" s="441"/>
      <c r="C39" s="441"/>
      <c r="D39" s="441"/>
      <c r="E39" s="441"/>
      <c r="F39" s="441"/>
      <c r="H39" s="28" t="s">
        <v>231</v>
      </c>
      <c r="M39" s="1"/>
      <c r="N39" s="1"/>
      <c r="O39" s="1"/>
      <c r="P39" s="496"/>
      <c r="Q39" s="44">
        <f t="shared" si="4"/>
        <v>2051</v>
      </c>
      <c r="R39" s="21" t="s">
        <v>752</v>
      </c>
      <c r="S39" s="45" cm="1">
        <f t="array" ref="S39">IF($R39="Yes",(TREND($I$16:$I$17,$H$16:$H$17,$Q39)*TREND(J$29:J$30,$I$29:$I$30,$Q39))+(TREND($I$16:$I$17,$H$16:$H$17,$Q39)*TREND(J$31:J$32,$I$31:$I$32,$Q39)),0)</f>
        <v>0.49974025974026037</v>
      </c>
      <c r="T39" s="45" cm="1">
        <f t="array" ref="T39">IF($R39="Yes",(TREND($I$16:$I$17,$H$16:$H$17,$Q39)*TREND(K$29:K$30,$I$29:$I$30,$Q39))+(TREND($I$16:$I$17,$H$16:$H$17,$Q39)*TREND(K$31:K$32,$I$31:$I$32,$Q39)),0)</f>
        <v>0.24987012987013019</v>
      </c>
      <c r="U39" s="45" cm="1">
        <f t="array" ref="U39">IF($R39="Yes",(TREND($I$16:$I$17,$H$16:$H$17,$Q39)*TREND(L$29:L$30,$I$29:$I$30,$Q39))+(TREND($I$16:$I$17,$H$16:$H$17,$Q39)*TREND(L$31:L$32,$I$31:$I$32,$Q39)),0)</f>
        <v>0.99948051948052075</v>
      </c>
      <c r="V39" s="45" cm="1">
        <f t="array" ref="V39">IF($R39="Yes",(TREND($I$16:$I$17,$H$16:$H$17,$Q39)*TREND(M$29:M$30,$I$29:$I$30,$Q39))+(TREND($I$16:$I$17,$H$16:$H$17,$Q39)*TREND(M$31:M$32,$I$31:$I$32,$Q39)),0)</f>
        <v>1.9989610389610415</v>
      </c>
      <c r="W39" s="45" cm="1">
        <f t="array" ref="W39">IF($R39="Yes",(TREND($I$16:$I$17,$H$16:$H$17,$Q39)*TREND(N$29:N$30,$I$29:$I$30,$Q39))+(TREND($I$16:$I$17,$H$16:$H$17,$Q39)*TREND(N$31:N$32,$I$31:$I$32,$Q39)),0)</f>
        <v>12.493506493506509</v>
      </c>
      <c r="X39" s="59">
        <f>IF(Q39&lt;=Assumptions!$D$15,SUMPRODUCT($I$6:$M$6,S39:W39),0)</f>
        <v>0</v>
      </c>
      <c r="Z39" s="496"/>
      <c r="AA39" s="44">
        <f t="shared" si="5"/>
        <v>2051</v>
      </c>
      <c r="AB39" s="21" t="str">
        <f>IF(AA39&gt;=(Assumptions!$D$45+Assumptions!$D$46),"Yes",IF(OR(AA39=Assumptions!$D$45,AA39=Assumptions!$D$45+Assumptions!$D$46-1),"Construction","No"))</f>
        <v>Yes</v>
      </c>
      <c r="AC39" s="45" cm="1">
        <f t="array" ref="AC39">IF($AB39="no",_xlfn.XLOOKUP($AA39,$Q$7:$Q$47,S$7:S$47),IF($AB39="yes",(TREND($I$16:$I$17,$H$16:$H$17,$AA39)*TREND($J$36:$J$37,$I$36:$I$37,$AA39)),IF($AB39="Construction",0,0)))</f>
        <v>0.22608249350649379</v>
      </c>
      <c r="AD39" s="45" cm="1">
        <f t="array" ref="AD39">IF($AB39="no",_xlfn.XLOOKUP($AA39,$Q$7:$Q$47,T$7:T$47),IF($AB39="yes",(TREND($I$16:$I$17,$H$16:$H$17,$AA39)*TREND($J$36:$J$37,$I$36:$I$37,$AA39)),IF($AB39="Construction",0,0)))</f>
        <v>0.22608249350649379</v>
      </c>
      <c r="AE39" s="45" cm="1">
        <f t="array" ref="AE39">IF($AB39="no",_xlfn.XLOOKUP($AA39,$Q$7:$Q$47,U$7:U$47),IF($AB39="yes",(TREND($I$16:$I$17,$H$16:$H$17,$AA39)*TREND($J$36:$J$37,$I$36:$I$37,$AA39)),IF($AB39="Construction",0,0)))</f>
        <v>0.22608249350649379</v>
      </c>
      <c r="AF39" s="45" cm="1">
        <f t="array" ref="AF39">IF($AB39="no",_xlfn.XLOOKUP($AA39,$Q$7:$Q$47,V$7:V$47),IF($AB39="yes",(TREND($I$16:$I$17,$H$16:$H$17,$AA39)*TREND($J$36:$J$37,$I$36:$I$37,$AA39)),IF($AB39="Construction",0,0)))</f>
        <v>0.22608249350649379</v>
      </c>
      <c r="AG39" s="45" cm="1">
        <f t="array" ref="AG39">IF($AB39="no",_xlfn.XLOOKUP($AA39,$Q$7:$Q$47,W$7:W$47),IF($AB39="yes",(TREND($I$16:$I$17,$H$16:$H$17,$AA39)*TREND($J$36:$J$37,$I$36:$I$37,$AA39)),IF($AB39="Construction",0,0)))</f>
        <v>0.22608249350649379</v>
      </c>
      <c r="AH39" s="59">
        <f>IF(AA39&lt;=Assumptions!$D$15,SUMPRODUCT($I$6:$M$6,AC39:AG39),0)</f>
        <v>0</v>
      </c>
      <c r="AI39" s="212"/>
    </row>
    <row r="40" spans="1:35" ht="15" customHeight="1" x14ac:dyDescent="0.25">
      <c r="B40" s="441"/>
      <c r="C40" s="441"/>
      <c r="D40" s="441"/>
      <c r="E40" s="441"/>
      <c r="F40" s="441"/>
      <c r="M40" s="1"/>
      <c r="N40" s="1"/>
      <c r="O40" s="1"/>
      <c r="P40" s="496"/>
      <c r="Q40" s="44">
        <f t="shared" si="4"/>
        <v>2052</v>
      </c>
      <c r="R40" s="21" t="s">
        <v>752</v>
      </c>
      <c r="S40" s="45" cm="1">
        <f t="array" ref="S40">IF($R40="Yes",(TREND($I$16:$I$17,$H$16:$H$17,$Q40)*TREND(J$29:J$30,$I$29:$I$30,$Q40))+(TREND($I$16:$I$17,$H$16:$H$17,$Q40)*TREND(J$31:J$32,$I$31:$I$32,$Q40)),0)</f>
        <v>0.50285714285714256</v>
      </c>
      <c r="T40" s="45" cm="1">
        <f t="array" ref="T40">IF($R40="Yes",(TREND($I$16:$I$17,$H$16:$H$17,$Q40)*TREND(K$29:K$30,$I$29:$I$30,$Q40))+(TREND($I$16:$I$17,$H$16:$H$17,$Q40)*TREND(K$31:K$32,$I$31:$I$32,$Q40)),0)</f>
        <v>0.25142857142857128</v>
      </c>
      <c r="U40" s="45" cm="1">
        <f t="array" ref="U40">IF($R40="Yes",(TREND($I$16:$I$17,$H$16:$H$17,$Q40)*TREND(L$29:L$30,$I$29:$I$30,$Q40))+(TREND($I$16:$I$17,$H$16:$H$17,$Q40)*TREND(L$31:L$32,$I$31:$I$32,$Q40)),0)</f>
        <v>1.0057142857142851</v>
      </c>
      <c r="V40" s="45" cm="1">
        <f t="array" ref="V40">IF($R40="Yes",(TREND($I$16:$I$17,$H$16:$H$17,$Q40)*TREND(M$29:M$30,$I$29:$I$30,$Q40))+(TREND($I$16:$I$17,$H$16:$H$17,$Q40)*TREND(M$31:M$32,$I$31:$I$32,$Q40)),0)</f>
        <v>2.0114285714285702</v>
      </c>
      <c r="W40" s="45" cm="1">
        <f t="array" ref="W40">IF($R40="Yes",(TREND($I$16:$I$17,$H$16:$H$17,$Q40)*TREND(N$29:N$30,$I$29:$I$30,$Q40))+(TREND($I$16:$I$17,$H$16:$H$17,$Q40)*TREND(N$31:N$32,$I$31:$I$32,$Q40)),0)</f>
        <v>12.571428571428564</v>
      </c>
      <c r="X40" s="59">
        <f>IF(Q40&lt;=Assumptions!$D$15,SUMPRODUCT($I$6:$M$6,S40:W40),0)</f>
        <v>0</v>
      </c>
      <c r="Z40" s="496"/>
      <c r="AA40" s="44">
        <f t="shared" si="5"/>
        <v>2052</v>
      </c>
      <c r="AB40" s="21" t="str">
        <f>IF(AA40&gt;=(Assumptions!$D$45+Assumptions!$D$46),"Yes",IF(OR(AA40=Assumptions!$D$45,AA40=Assumptions!$D$45+Assumptions!$D$46-1),"Construction","No"))</f>
        <v>Yes</v>
      </c>
      <c r="AC40" s="45" cm="1">
        <f t="array" ref="AC40">IF($AB40="no",_xlfn.XLOOKUP($AA40,$Q$7:$Q$47,S$7:S$47),IF($AB40="yes",(TREND($I$16:$I$17,$H$16:$H$17,$AA40)*TREND($J$36:$J$37,$I$36:$I$37,$AA40)),IF($AB40="Construction",0,0)))</f>
        <v>0.22749257142857129</v>
      </c>
      <c r="AD40" s="45" cm="1">
        <f t="array" ref="AD40">IF($AB40="no",_xlfn.XLOOKUP($AA40,$Q$7:$Q$47,T$7:T$47),IF($AB40="yes",(TREND($I$16:$I$17,$H$16:$H$17,$AA40)*TREND($J$36:$J$37,$I$36:$I$37,$AA40)),IF($AB40="Construction",0,0)))</f>
        <v>0.22749257142857129</v>
      </c>
      <c r="AE40" s="45" cm="1">
        <f t="array" ref="AE40">IF($AB40="no",_xlfn.XLOOKUP($AA40,$Q$7:$Q$47,U$7:U$47),IF($AB40="yes",(TREND($I$16:$I$17,$H$16:$H$17,$AA40)*TREND($J$36:$J$37,$I$36:$I$37,$AA40)),IF($AB40="Construction",0,0)))</f>
        <v>0.22749257142857129</v>
      </c>
      <c r="AF40" s="45" cm="1">
        <f t="array" ref="AF40">IF($AB40="no",_xlfn.XLOOKUP($AA40,$Q$7:$Q$47,V$7:V$47),IF($AB40="yes",(TREND($I$16:$I$17,$H$16:$H$17,$AA40)*TREND($J$36:$J$37,$I$36:$I$37,$AA40)),IF($AB40="Construction",0,0)))</f>
        <v>0.22749257142857129</v>
      </c>
      <c r="AG40" s="45" cm="1">
        <f t="array" ref="AG40">IF($AB40="no",_xlfn.XLOOKUP($AA40,$Q$7:$Q$47,W$7:W$47),IF($AB40="yes",(TREND($I$16:$I$17,$H$16:$H$17,$AA40)*TREND($J$36:$J$37,$I$36:$I$37,$AA40)),IF($AB40="Construction",0,0)))</f>
        <v>0.22749257142857129</v>
      </c>
      <c r="AH40" s="59">
        <f>IF(AA40&lt;=Assumptions!$D$15,SUMPRODUCT($I$6:$M$6,AC40:AG40),0)</f>
        <v>0</v>
      </c>
      <c r="AI40" s="212"/>
    </row>
    <row r="41" spans="1:35" ht="15" customHeight="1" x14ac:dyDescent="0.25">
      <c r="B41" s="441"/>
      <c r="C41" s="441"/>
      <c r="D41" s="441"/>
      <c r="E41" s="441"/>
      <c r="F41" s="441"/>
      <c r="M41" s="1"/>
      <c r="N41" s="1"/>
      <c r="O41" s="1"/>
      <c r="P41" s="496"/>
      <c r="Q41" s="44">
        <f t="shared" si="4"/>
        <v>2053</v>
      </c>
      <c r="R41" s="21" t="s">
        <v>752</v>
      </c>
      <c r="S41" s="45" cm="1">
        <f t="array" ref="S41">IF($R41="Yes",(TREND($I$16:$I$17,$H$16:$H$17,$Q41)*TREND(J$29:J$30,$I$29:$I$30,$Q41))+(TREND($I$16:$I$17,$H$16:$H$17,$Q41)*TREND(J$31:J$32,$I$31:$I$32,$Q41)),0)</f>
        <v>0.50597402597402585</v>
      </c>
      <c r="T41" s="45" cm="1">
        <f t="array" ref="T41">IF($R41="Yes",(TREND($I$16:$I$17,$H$16:$H$17,$Q41)*TREND(K$29:K$30,$I$29:$I$30,$Q41))+(TREND($I$16:$I$17,$H$16:$H$17,$Q41)*TREND(K$31:K$32,$I$31:$I$32,$Q41)),0)</f>
        <v>0.25298701298701293</v>
      </c>
      <c r="U41" s="45" cm="1">
        <f t="array" ref="U41">IF($R41="Yes",(TREND($I$16:$I$17,$H$16:$H$17,$Q41)*TREND(L$29:L$30,$I$29:$I$30,$Q41))+(TREND($I$16:$I$17,$H$16:$H$17,$Q41)*TREND(L$31:L$32,$I$31:$I$32,$Q41)),0)</f>
        <v>1.0119480519480517</v>
      </c>
      <c r="V41" s="45" cm="1">
        <f t="array" ref="V41">IF($R41="Yes",(TREND($I$16:$I$17,$H$16:$H$17,$Q41)*TREND(M$29:M$30,$I$29:$I$30,$Q41))+(TREND($I$16:$I$17,$H$16:$H$17,$Q41)*TREND(M$31:M$32,$I$31:$I$32,$Q41)),0)</f>
        <v>2.0238961038961034</v>
      </c>
      <c r="W41" s="45" cm="1">
        <f t="array" ref="W41">IF($R41="Yes",(TREND($I$16:$I$17,$H$16:$H$17,$Q41)*TREND(N$29:N$30,$I$29:$I$30,$Q41))+(TREND($I$16:$I$17,$H$16:$H$17,$Q41)*TREND(N$31:N$32,$I$31:$I$32,$Q41)),0)</f>
        <v>12.649350649350646</v>
      </c>
      <c r="X41" s="59">
        <f>IF(Q41&lt;=Assumptions!$D$15,SUMPRODUCT($I$6:$M$6,S41:W41),0)</f>
        <v>0</v>
      </c>
      <c r="Z41" s="496"/>
      <c r="AA41" s="44">
        <f t="shared" si="5"/>
        <v>2053</v>
      </c>
      <c r="AB41" s="21" t="str">
        <f>IF(AA41&gt;=(Assumptions!$D$45+Assumptions!$D$46),"Yes",IF(OR(AA41=Assumptions!$D$45,AA41=Assumptions!$D$45+Assumptions!$D$46-1),"Construction","No"))</f>
        <v>Yes</v>
      </c>
      <c r="AC41" s="45" cm="1">
        <f t="array" ref="AC41">IF($AB41="no",_xlfn.XLOOKUP($AA41,$Q$7:$Q$47,S$7:S$47),IF($AB41="yes",(TREND($I$16:$I$17,$H$16:$H$17,$AA41)*TREND($J$36:$J$37,$I$36:$I$37,$AA41)),IF($AB41="Construction",0,0)))</f>
        <v>0.2289026493506493</v>
      </c>
      <c r="AD41" s="45" cm="1">
        <f t="array" ref="AD41">IF($AB41="no",_xlfn.XLOOKUP($AA41,$Q$7:$Q$47,T$7:T$47),IF($AB41="yes",(TREND($I$16:$I$17,$H$16:$H$17,$AA41)*TREND($J$36:$J$37,$I$36:$I$37,$AA41)),IF($AB41="Construction",0,0)))</f>
        <v>0.2289026493506493</v>
      </c>
      <c r="AE41" s="45" cm="1">
        <f t="array" ref="AE41">IF($AB41="no",_xlfn.XLOOKUP($AA41,$Q$7:$Q$47,U$7:U$47),IF($AB41="yes",(TREND($I$16:$I$17,$H$16:$H$17,$AA41)*TREND($J$36:$J$37,$I$36:$I$37,$AA41)),IF($AB41="Construction",0,0)))</f>
        <v>0.2289026493506493</v>
      </c>
      <c r="AF41" s="45" cm="1">
        <f t="array" ref="AF41">IF($AB41="no",_xlfn.XLOOKUP($AA41,$Q$7:$Q$47,V$7:V$47),IF($AB41="yes",(TREND($I$16:$I$17,$H$16:$H$17,$AA41)*TREND($J$36:$J$37,$I$36:$I$37,$AA41)),IF($AB41="Construction",0,0)))</f>
        <v>0.2289026493506493</v>
      </c>
      <c r="AG41" s="45" cm="1">
        <f t="array" ref="AG41">IF($AB41="no",_xlfn.XLOOKUP($AA41,$Q$7:$Q$47,W$7:W$47),IF($AB41="yes",(TREND($I$16:$I$17,$H$16:$H$17,$AA41)*TREND($J$36:$J$37,$I$36:$I$37,$AA41)),IF($AB41="Construction",0,0)))</f>
        <v>0.2289026493506493</v>
      </c>
      <c r="AH41" s="59">
        <f>IF(AA41&lt;=Assumptions!$D$15,SUMPRODUCT($I$6:$M$6,AC41:AG41),0)</f>
        <v>0</v>
      </c>
      <c r="AI41" s="212"/>
    </row>
    <row r="42" spans="1:35" ht="15" customHeight="1" x14ac:dyDescent="0.25">
      <c r="M42" s="1"/>
      <c r="N42" s="1"/>
      <c r="O42" s="1"/>
      <c r="P42" s="496"/>
      <c r="Q42" s="44">
        <f t="shared" si="4"/>
        <v>2054</v>
      </c>
      <c r="R42" s="21" t="s">
        <v>752</v>
      </c>
      <c r="S42" s="45" cm="1">
        <f t="array" ref="S42">IF($R42="Yes",(TREND($I$16:$I$17,$H$16:$H$17,$Q42)*TREND(J$29:J$30,$I$29:$I$30,$Q42))+(TREND($I$16:$I$17,$H$16:$H$17,$Q42)*TREND(J$31:J$32,$I$31:$I$32,$Q42)),0)</f>
        <v>0.50909090909090915</v>
      </c>
      <c r="T42" s="45" cm="1">
        <f t="array" ref="T42">IF($R42="Yes",(TREND($I$16:$I$17,$H$16:$H$17,$Q42)*TREND(K$29:K$30,$I$29:$I$30,$Q42))+(TREND($I$16:$I$17,$H$16:$H$17,$Q42)*TREND(K$31:K$32,$I$31:$I$32,$Q42)),0)</f>
        <v>0.25454545454545457</v>
      </c>
      <c r="U42" s="45" cm="1">
        <f t="array" ref="U42">IF($R42="Yes",(TREND($I$16:$I$17,$H$16:$H$17,$Q42)*TREND(L$29:L$30,$I$29:$I$30,$Q42))+(TREND($I$16:$I$17,$H$16:$H$17,$Q42)*TREND(L$31:L$32,$I$31:$I$32,$Q42)),0)</f>
        <v>1.0181818181818183</v>
      </c>
      <c r="V42" s="45" cm="1">
        <f t="array" ref="V42">IF($R42="Yes",(TREND($I$16:$I$17,$H$16:$H$17,$Q42)*TREND(M$29:M$30,$I$29:$I$30,$Q42))+(TREND($I$16:$I$17,$H$16:$H$17,$Q42)*TREND(M$31:M$32,$I$31:$I$32,$Q42)),0)</f>
        <v>2.0363636363636366</v>
      </c>
      <c r="W42" s="45" cm="1">
        <f t="array" ref="W42">IF($R42="Yes",(TREND($I$16:$I$17,$H$16:$H$17,$Q42)*TREND(N$29:N$30,$I$29:$I$30,$Q42))+(TREND($I$16:$I$17,$H$16:$H$17,$Q42)*TREND(N$31:N$32,$I$31:$I$32,$Q42)),0)</f>
        <v>12.727272727272727</v>
      </c>
      <c r="X42" s="59">
        <f>IF(Q42&lt;=Assumptions!$D$15,SUMPRODUCT($I$6:$M$6,S42:W42),0)</f>
        <v>0</v>
      </c>
      <c r="Z42" s="496"/>
      <c r="AA42" s="44">
        <f t="shared" si="5"/>
        <v>2054</v>
      </c>
      <c r="AB42" s="21" t="str">
        <f>IF(AA42&gt;=(Assumptions!$D$45+Assumptions!$D$46),"Yes",IF(OR(AA42=Assumptions!$D$45,AA42=Assumptions!$D$45+Assumptions!$D$46-1),"Construction","No"))</f>
        <v>Yes</v>
      </c>
      <c r="AC42" s="45" cm="1">
        <f t="array" ref="AC42">IF($AB42="no",_xlfn.XLOOKUP($AA42,$Q$7:$Q$47,S$7:S$47),IF($AB42="yes",(TREND($I$16:$I$17,$H$16:$H$17,$AA42)*TREND($J$36:$J$37,$I$36:$I$37,$AA42)),IF($AB42="Construction",0,0)))</f>
        <v>0.23031272727272728</v>
      </c>
      <c r="AD42" s="45" cm="1">
        <f t="array" ref="AD42">IF($AB42="no",_xlfn.XLOOKUP($AA42,$Q$7:$Q$47,T$7:T$47),IF($AB42="yes",(TREND($I$16:$I$17,$H$16:$H$17,$AA42)*TREND($J$36:$J$37,$I$36:$I$37,$AA42)),IF($AB42="Construction",0,0)))</f>
        <v>0.23031272727272728</v>
      </c>
      <c r="AE42" s="45" cm="1">
        <f t="array" ref="AE42">IF($AB42="no",_xlfn.XLOOKUP($AA42,$Q$7:$Q$47,U$7:U$47),IF($AB42="yes",(TREND($I$16:$I$17,$H$16:$H$17,$AA42)*TREND($J$36:$J$37,$I$36:$I$37,$AA42)),IF($AB42="Construction",0,0)))</f>
        <v>0.23031272727272728</v>
      </c>
      <c r="AF42" s="45" cm="1">
        <f t="array" ref="AF42">IF($AB42="no",_xlfn.XLOOKUP($AA42,$Q$7:$Q$47,V$7:V$47),IF($AB42="yes",(TREND($I$16:$I$17,$H$16:$H$17,$AA42)*TREND($J$36:$J$37,$I$36:$I$37,$AA42)),IF($AB42="Construction",0,0)))</f>
        <v>0.23031272727272728</v>
      </c>
      <c r="AG42" s="45" cm="1">
        <f t="array" ref="AG42">IF($AB42="no",_xlfn.XLOOKUP($AA42,$Q$7:$Q$47,W$7:W$47),IF($AB42="yes",(TREND($I$16:$I$17,$H$16:$H$17,$AA42)*TREND($J$36:$J$37,$I$36:$I$37,$AA42)),IF($AB42="Construction",0,0)))</f>
        <v>0.23031272727272728</v>
      </c>
      <c r="AH42" s="59">
        <f>IF(AA42&lt;=Assumptions!$D$15,SUMPRODUCT($I$6:$M$6,AC42:AG42),0)</f>
        <v>0</v>
      </c>
      <c r="AI42" s="212"/>
    </row>
    <row r="43" spans="1:35" ht="15" customHeight="1" x14ac:dyDescent="0.25">
      <c r="A43" s="2" t="s">
        <v>16</v>
      </c>
      <c r="B43" s="441" t="s">
        <v>952</v>
      </c>
      <c r="C43" s="441"/>
      <c r="D43" s="441"/>
      <c r="E43" s="441"/>
      <c r="F43" s="441"/>
      <c r="M43" s="1"/>
      <c r="N43" s="1"/>
      <c r="O43" s="1"/>
      <c r="P43" s="496"/>
      <c r="Q43" s="44">
        <f t="shared" si="4"/>
        <v>2055</v>
      </c>
      <c r="R43" s="21" t="s">
        <v>752</v>
      </c>
      <c r="S43" s="45" cm="1">
        <f t="array" ref="S43">IF($R43="Yes",(TREND($I$16:$I$17,$H$16:$H$17,$Q43)*TREND(J$29:J$30,$I$29:$I$30,$Q43))+(TREND($I$16:$I$17,$H$16:$H$17,$Q43)*TREND(J$31:J$32,$I$31:$I$32,$Q43)),0)</f>
        <v>0.51220779220779233</v>
      </c>
      <c r="T43" s="45" cm="1">
        <f t="array" ref="T43">IF($R43="Yes",(TREND($I$16:$I$17,$H$16:$H$17,$Q43)*TREND(K$29:K$30,$I$29:$I$30,$Q43))+(TREND($I$16:$I$17,$H$16:$H$17,$Q43)*TREND(K$31:K$32,$I$31:$I$32,$Q43)),0)</f>
        <v>0.25610389610389617</v>
      </c>
      <c r="U43" s="45" cm="1">
        <f t="array" ref="U43">IF($R43="Yes",(TREND($I$16:$I$17,$H$16:$H$17,$Q43)*TREND(L$29:L$30,$I$29:$I$30,$Q43))+(TREND($I$16:$I$17,$H$16:$H$17,$Q43)*TREND(L$31:L$32,$I$31:$I$32,$Q43)),0)</f>
        <v>1.0244155844155847</v>
      </c>
      <c r="V43" s="45" cm="1">
        <f t="array" ref="V43">IF($R43="Yes",(TREND($I$16:$I$17,$H$16:$H$17,$Q43)*TREND(M$29:M$30,$I$29:$I$30,$Q43))+(TREND($I$16:$I$17,$H$16:$H$17,$Q43)*TREND(M$31:M$32,$I$31:$I$32,$Q43)),0)</f>
        <v>2.0488311688311693</v>
      </c>
      <c r="W43" s="45" cm="1">
        <f t="array" ref="W43">IF($R43="Yes",(TREND($I$16:$I$17,$H$16:$H$17,$Q43)*TREND(N$29:N$30,$I$29:$I$30,$Q43))+(TREND($I$16:$I$17,$H$16:$H$17,$Q43)*TREND(N$31:N$32,$I$31:$I$32,$Q43)),0)</f>
        <v>12.805194805194809</v>
      </c>
      <c r="X43" s="59">
        <f>IF(Q43&lt;=Assumptions!$D$15,SUMPRODUCT($I$6:$M$6,S43:W43),0)</f>
        <v>0</v>
      </c>
      <c r="Z43" s="496"/>
      <c r="AA43" s="44">
        <f t="shared" si="5"/>
        <v>2055</v>
      </c>
      <c r="AB43" s="21" t="str">
        <f>IF(AA43&gt;=(Assumptions!$D$45+Assumptions!$D$46),"Yes",IF(OR(AA43=Assumptions!$D$45,AA43=Assumptions!$D$45+Assumptions!$D$46-1),"Construction","No"))</f>
        <v>Yes</v>
      </c>
      <c r="AC43" s="45" cm="1">
        <f t="array" ref="AC43">IF($AB43="no",_xlfn.XLOOKUP($AA43,$Q$7:$Q$47,S$7:S$47),IF($AB43="yes",(TREND($I$16:$I$17,$H$16:$H$17,$AA43)*TREND($J$36:$J$37,$I$36:$I$37,$AA43)),IF($AB43="Construction",0,0)))</f>
        <v>0.23172280519480529</v>
      </c>
      <c r="AD43" s="45" cm="1">
        <f t="array" ref="AD43">IF($AB43="no",_xlfn.XLOOKUP($AA43,$Q$7:$Q$47,T$7:T$47),IF($AB43="yes",(TREND($I$16:$I$17,$H$16:$H$17,$AA43)*TREND($J$36:$J$37,$I$36:$I$37,$AA43)),IF($AB43="Construction",0,0)))</f>
        <v>0.23172280519480529</v>
      </c>
      <c r="AE43" s="45" cm="1">
        <f t="array" ref="AE43">IF($AB43="no",_xlfn.XLOOKUP($AA43,$Q$7:$Q$47,U$7:U$47),IF($AB43="yes",(TREND($I$16:$I$17,$H$16:$H$17,$AA43)*TREND($J$36:$J$37,$I$36:$I$37,$AA43)),IF($AB43="Construction",0,0)))</f>
        <v>0.23172280519480529</v>
      </c>
      <c r="AF43" s="45" cm="1">
        <f t="array" ref="AF43">IF($AB43="no",_xlfn.XLOOKUP($AA43,$Q$7:$Q$47,V$7:V$47),IF($AB43="yes",(TREND($I$16:$I$17,$H$16:$H$17,$AA43)*TREND($J$36:$J$37,$I$36:$I$37,$AA43)),IF($AB43="Construction",0,0)))</f>
        <v>0.23172280519480529</v>
      </c>
      <c r="AG43" s="45" cm="1">
        <f t="array" ref="AG43">IF($AB43="no",_xlfn.XLOOKUP($AA43,$Q$7:$Q$47,W$7:W$47),IF($AB43="yes",(TREND($I$16:$I$17,$H$16:$H$17,$AA43)*TREND($J$36:$J$37,$I$36:$I$37,$AA43)),IF($AB43="Construction",0,0)))</f>
        <v>0.23172280519480529</v>
      </c>
      <c r="AH43" s="59">
        <f>IF(AA43&lt;=Assumptions!$D$15,SUMPRODUCT($I$6:$M$6,AC43:AG43),0)</f>
        <v>0</v>
      </c>
      <c r="AI43" s="212"/>
    </row>
    <row r="44" spans="1:35" ht="15" customHeight="1" x14ac:dyDescent="0.25">
      <c r="B44" s="441"/>
      <c r="C44" s="441"/>
      <c r="D44" s="441"/>
      <c r="E44" s="441"/>
      <c r="F44" s="441"/>
      <c r="M44" s="1"/>
      <c r="N44" s="1"/>
      <c r="O44" s="1"/>
      <c r="P44" s="496"/>
      <c r="Q44" s="44">
        <f t="shared" si="4"/>
        <v>2056</v>
      </c>
      <c r="R44" s="21" t="s">
        <v>752</v>
      </c>
      <c r="S44" s="45" cm="1">
        <f t="array" ref="S44">IF($R44="Yes",(TREND($I$16:$I$17,$H$16:$H$17,$Q44)*TREND(J$29:J$30,$I$29:$I$30,$Q44))+(TREND($I$16:$I$17,$H$16:$H$17,$Q44)*TREND(J$31:J$32,$I$31:$I$32,$Q44)),0)</f>
        <v>0.51532467532467563</v>
      </c>
      <c r="T44" s="45" cm="1">
        <f t="array" ref="T44">IF($R44="Yes",(TREND($I$16:$I$17,$H$16:$H$17,$Q44)*TREND(K$29:K$30,$I$29:$I$30,$Q44))+(TREND($I$16:$I$17,$H$16:$H$17,$Q44)*TREND(K$31:K$32,$I$31:$I$32,$Q44)),0)</f>
        <v>0.25766233766233781</v>
      </c>
      <c r="U44" s="45" cm="1">
        <f t="array" ref="U44">IF($R44="Yes",(TREND($I$16:$I$17,$H$16:$H$17,$Q44)*TREND(L$29:L$30,$I$29:$I$30,$Q44))+(TREND($I$16:$I$17,$H$16:$H$17,$Q44)*TREND(L$31:L$32,$I$31:$I$32,$Q44)),0)</f>
        <v>1.0306493506493513</v>
      </c>
      <c r="V44" s="45" cm="1">
        <f t="array" ref="V44">IF($R44="Yes",(TREND($I$16:$I$17,$H$16:$H$17,$Q44)*TREND(M$29:M$30,$I$29:$I$30,$Q44))+(TREND($I$16:$I$17,$H$16:$H$17,$Q44)*TREND(M$31:M$32,$I$31:$I$32,$Q44)),0)</f>
        <v>2.0612987012987025</v>
      </c>
      <c r="W44" s="45" cm="1">
        <f t="array" ref="W44">IF($R44="Yes",(TREND($I$16:$I$17,$H$16:$H$17,$Q44)*TREND(N$29:N$30,$I$29:$I$30,$Q44))+(TREND($I$16:$I$17,$H$16:$H$17,$Q44)*TREND(N$31:N$32,$I$31:$I$32,$Q44)),0)</f>
        <v>12.883116883116891</v>
      </c>
      <c r="X44" s="59">
        <f>IF(Q44&lt;=Assumptions!$D$15,SUMPRODUCT($I$6:$M$6,S44:W44),0)</f>
        <v>0</v>
      </c>
      <c r="Z44" s="496"/>
      <c r="AA44" s="44">
        <f t="shared" si="5"/>
        <v>2056</v>
      </c>
      <c r="AB44" s="21" t="str">
        <f>IF(AA44&gt;=(Assumptions!$D$45+Assumptions!$D$46),"Yes",IF(OR(AA44=Assumptions!$D$45,AA44=Assumptions!$D$45+Assumptions!$D$46-1),"Construction","No"))</f>
        <v>Yes</v>
      </c>
      <c r="AC44" s="45" cm="1">
        <f t="array" ref="AC44">IF($AB44="no",_xlfn.XLOOKUP($AA44,$Q$7:$Q$47,S$7:S$47),IF($AB44="yes",(TREND($I$16:$I$17,$H$16:$H$17,$AA44)*TREND($J$36:$J$37,$I$36:$I$37,$AA44)),IF($AB44="Construction",0,0)))</f>
        <v>0.23313288311688327</v>
      </c>
      <c r="AD44" s="45" cm="1">
        <f t="array" ref="AD44">IF($AB44="no",_xlfn.XLOOKUP($AA44,$Q$7:$Q$47,T$7:T$47),IF($AB44="yes",(TREND($I$16:$I$17,$H$16:$H$17,$AA44)*TREND($J$36:$J$37,$I$36:$I$37,$AA44)),IF($AB44="Construction",0,0)))</f>
        <v>0.23313288311688327</v>
      </c>
      <c r="AE44" s="45" cm="1">
        <f t="array" ref="AE44">IF($AB44="no",_xlfn.XLOOKUP($AA44,$Q$7:$Q$47,U$7:U$47),IF($AB44="yes",(TREND($I$16:$I$17,$H$16:$H$17,$AA44)*TREND($J$36:$J$37,$I$36:$I$37,$AA44)),IF($AB44="Construction",0,0)))</f>
        <v>0.23313288311688327</v>
      </c>
      <c r="AF44" s="45" cm="1">
        <f t="array" ref="AF44">IF($AB44="no",_xlfn.XLOOKUP($AA44,$Q$7:$Q$47,V$7:V$47),IF($AB44="yes",(TREND($I$16:$I$17,$H$16:$H$17,$AA44)*TREND($J$36:$J$37,$I$36:$I$37,$AA44)),IF($AB44="Construction",0,0)))</f>
        <v>0.23313288311688327</v>
      </c>
      <c r="AG44" s="45" cm="1">
        <f t="array" ref="AG44">IF($AB44="no",_xlfn.XLOOKUP($AA44,$Q$7:$Q$47,W$7:W$47),IF($AB44="yes",(TREND($I$16:$I$17,$H$16:$H$17,$AA44)*TREND($J$36:$J$37,$I$36:$I$37,$AA44)),IF($AB44="Construction",0,0)))</f>
        <v>0.23313288311688327</v>
      </c>
      <c r="AH44" s="59">
        <f>IF(AA44&lt;=Assumptions!$D$15,SUMPRODUCT($I$6:$M$6,AC44:AG44),0)</f>
        <v>0</v>
      </c>
      <c r="AI44" s="212"/>
    </row>
    <row r="45" spans="1:35" ht="15" customHeight="1" x14ac:dyDescent="0.25">
      <c r="A45" s="2"/>
      <c r="B45" s="441"/>
      <c r="C45" s="441"/>
      <c r="D45" s="441"/>
      <c r="E45" s="441"/>
      <c r="F45" s="441"/>
      <c r="M45" s="1"/>
      <c r="N45" s="1"/>
      <c r="O45" s="1"/>
      <c r="P45" s="496"/>
      <c r="Q45" s="44">
        <f t="shared" si="4"/>
        <v>2057</v>
      </c>
      <c r="R45" s="21" t="s">
        <v>752</v>
      </c>
      <c r="S45" s="45" cm="1">
        <f t="array" ref="S45">IF($R45="Yes",(TREND($I$16:$I$17,$H$16:$H$17,$Q45)*TREND(J$29:J$30,$I$29:$I$30,$Q45))+(TREND($I$16:$I$17,$H$16:$H$17,$Q45)*TREND(J$31:J$32,$I$31:$I$32,$Q45)),0)</f>
        <v>0.51844155844155893</v>
      </c>
      <c r="T45" s="45" cm="1">
        <f t="array" ref="T45">IF($R45="Yes",(TREND($I$16:$I$17,$H$16:$H$17,$Q45)*TREND(K$29:K$30,$I$29:$I$30,$Q45))+(TREND($I$16:$I$17,$H$16:$H$17,$Q45)*TREND(K$31:K$32,$I$31:$I$32,$Q45)),0)</f>
        <v>0.25922077922077946</v>
      </c>
      <c r="U45" s="45" cm="1">
        <f t="array" ref="U45">IF($R45="Yes",(TREND($I$16:$I$17,$H$16:$H$17,$Q45)*TREND(L$29:L$30,$I$29:$I$30,$Q45))+(TREND($I$16:$I$17,$H$16:$H$17,$Q45)*TREND(L$31:L$32,$I$31:$I$32,$Q45)),0)</f>
        <v>1.0368831168831179</v>
      </c>
      <c r="V45" s="45" cm="1">
        <f t="array" ref="V45">IF($R45="Yes",(TREND($I$16:$I$17,$H$16:$H$17,$Q45)*TREND(M$29:M$30,$I$29:$I$30,$Q45))+(TREND($I$16:$I$17,$H$16:$H$17,$Q45)*TREND(M$31:M$32,$I$31:$I$32,$Q45)),0)</f>
        <v>2.0737662337662357</v>
      </c>
      <c r="W45" s="45" cm="1">
        <f t="array" ref="W45">IF($R45="Yes",(TREND($I$16:$I$17,$H$16:$H$17,$Q45)*TREND(N$29:N$30,$I$29:$I$30,$Q45))+(TREND($I$16:$I$17,$H$16:$H$17,$Q45)*TREND(N$31:N$32,$I$31:$I$32,$Q45)),0)</f>
        <v>12.961038961038973</v>
      </c>
      <c r="X45" s="59">
        <f>IF(Q45&lt;=Assumptions!$D$15,SUMPRODUCT($I$6:$M$6,S45:W45),0)</f>
        <v>0</v>
      </c>
      <c r="Z45" s="496"/>
      <c r="AA45" s="44">
        <f t="shared" si="5"/>
        <v>2057</v>
      </c>
      <c r="AB45" s="21" t="str">
        <f>IF(AA45&gt;=(Assumptions!$D$45+Assumptions!$D$46),"Yes",IF(OR(AA45=Assumptions!$D$45,AA45=Assumptions!$D$45+Assumptions!$D$46-1),"Construction","No"))</f>
        <v>Yes</v>
      </c>
      <c r="AC45" s="45" cm="1">
        <f t="array" ref="AC45">IF($AB45="no",_xlfn.XLOOKUP($AA45,$Q$7:$Q$47,S$7:S$47),IF($AB45="yes",(TREND($I$16:$I$17,$H$16:$H$17,$AA45)*TREND($J$36:$J$37,$I$36:$I$37,$AA45)),IF($AB45="Construction",0,0)))</f>
        <v>0.23454296103896125</v>
      </c>
      <c r="AD45" s="45" cm="1">
        <f t="array" ref="AD45">IF($AB45="no",_xlfn.XLOOKUP($AA45,$Q$7:$Q$47,T$7:T$47),IF($AB45="yes",(TREND($I$16:$I$17,$H$16:$H$17,$AA45)*TREND($J$36:$J$37,$I$36:$I$37,$AA45)),IF($AB45="Construction",0,0)))</f>
        <v>0.23454296103896125</v>
      </c>
      <c r="AE45" s="45" cm="1">
        <f t="array" ref="AE45">IF($AB45="no",_xlfn.XLOOKUP($AA45,$Q$7:$Q$47,U$7:U$47),IF($AB45="yes",(TREND($I$16:$I$17,$H$16:$H$17,$AA45)*TREND($J$36:$J$37,$I$36:$I$37,$AA45)),IF($AB45="Construction",0,0)))</f>
        <v>0.23454296103896125</v>
      </c>
      <c r="AF45" s="45" cm="1">
        <f t="array" ref="AF45">IF($AB45="no",_xlfn.XLOOKUP($AA45,$Q$7:$Q$47,V$7:V$47),IF($AB45="yes",(TREND($I$16:$I$17,$H$16:$H$17,$AA45)*TREND($J$36:$J$37,$I$36:$I$37,$AA45)),IF($AB45="Construction",0,0)))</f>
        <v>0.23454296103896125</v>
      </c>
      <c r="AG45" s="45" cm="1">
        <f t="array" ref="AG45">IF($AB45="no",_xlfn.XLOOKUP($AA45,$Q$7:$Q$47,W$7:W$47),IF($AB45="yes",(TREND($I$16:$I$17,$H$16:$H$17,$AA45)*TREND($J$36:$J$37,$I$36:$I$37,$AA45)),IF($AB45="Construction",0,0)))</f>
        <v>0.23454296103896125</v>
      </c>
      <c r="AH45" s="59">
        <f>IF(AA45&lt;=Assumptions!$D$15,SUMPRODUCT($I$6:$M$6,AC45:AG45),0)</f>
        <v>0</v>
      </c>
      <c r="AI45" s="212"/>
    </row>
    <row r="46" spans="1:35" x14ac:dyDescent="0.25">
      <c r="B46" s="441"/>
      <c r="C46" s="441"/>
      <c r="D46" s="441"/>
      <c r="E46" s="441"/>
      <c r="F46" s="441"/>
      <c r="M46" s="1"/>
      <c r="N46" s="1"/>
      <c r="P46" s="496"/>
      <c r="Q46" s="44">
        <f t="shared" si="4"/>
        <v>2058</v>
      </c>
      <c r="R46" s="21" t="s">
        <v>752</v>
      </c>
      <c r="S46" s="45" cm="1">
        <f t="array" ref="S46">IF($R46="Yes",(TREND($I$16:$I$17,$H$16:$H$17,$Q46)*TREND(J$29:J$30,$I$29:$I$30,$Q46))+(TREND($I$16:$I$17,$H$16:$H$17,$Q46)*TREND(J$31:J$32,$I$31:$I$32,$Q46)),0)</f>
        <v>0.52155844155844222</v>
      </c>
      <c r="T46" s="45" cm="1">
        <f t="array" ref="T46">IF($R46="Yes",(TREND($I$16:$I$17,$H$16:$H$17,$Q46)*TREND(K$29:K$30,$I$29:$I$30,$Q46))+(TREND($I$16:$I$17,$H$16:$H$17,$Q46)*TREND(K$31:K$32,$I$31:$I$32,$Q46)),0)</f>
        <v>0.26077922077922111</v>
      </c>
      <c r="U46" s="45" cm="1">
        <f t="array" ref="U46">IF($R46="Yes",(TREND($I$16:$I$17,$H$16:$H$17,$Q46)*TREND(L$29:L$30,$I$29:$I$30,$Q46))+(TREND($I$16:$I$17,$H$16:$H$17,$Q46)*TREND(L$31:L$32,$I$31:$I$32,$Q46)),0)</f>
        <v>1.0431168831168844</v>
      </c>
      <c r="V46" s="45" cm="1">
        <f t="array" ref="V46">IF($R46="Yes",(TREND($I$16:$I$17,$H$16:$H$17,$Q46)*TREND(M$29:M$30,$I$29:$I$30,$Q46))+(TREND($I$16:$I$17,$H$16:$H$17,$Q46)*TREND(M$31:M$32,$I$31:$I$32,$Q46)),0)</f>
        <v>2.0862337662337689</v>
      </c>
      <c r="W46" s="45" cm="1">
        <f t="array" ref="W46">IF($R46="Yes",(TREND($I$16:$I$17,$H$16:$H$17,$Q46)*TREND(N$29:N$30,$I$29:$I$30,$Q46))+(TREND($I$16:$I$17,$H$16:$H$17,$Q46)*TREND(N$31:N$32,$I$31:$I$32,$Q46)),0)</f>
        <v>13.038961038961054</v>
      </c>
      <c r="X46" s="59">
        <f>IF(Q46&lt;=Assumptions!$D$15,SUMPRODUCT($I$6:$M$6,S46:W46),0)</f>
        <v>0</v>
      </c>
      <c r="Z46" s="496"/>
      <c r="AA46" s="44">
        <f t="shared" si="5"/>
        <v>2058</v>
      </c>
      <c r="AB46" s="21" t="str">
        <f>IF(AA46&gt;=(Assumptions!$D$45+Assumptions!$D$46),"Yes",IF(OR(AA46=Assumptions!$D$45,AA46=Assumptions!$D$45+Assumptions!$D$46-1),"Construction","No"))</f>
        <v>Yes</v>
      </c>
      <c r="AC46" s="45" cm="1">
        <f t="array" ref="AC46">IF($AB46="no",_xlfn.XLOOKUP($AA46,$Q$7:$Q$47,S$7:S$47),IF($AB46="yes",(TREND($I$16:$I$17,$H$16:$H$17,$AA46)*TREND($J$36:$J$37,$I$36:$I$37,$AA46)),IF($AB46="Construction",0,0)))</f>
        <v>0.23595303896103925</v>
      </c>
      <c r="AD46" s="45" cm="1">
        <f t="array" ref="AD46">IF($AB46="no",_xlfn.XLOOKUP($AA46,$Q$7:$Q$47,T$7:T$47),IF($AB46="yes",(TREND($I$16:$I$17,$H$16:$H$17,$AA46)*TREND($J$36:$J$37,$I$36:$I$37,$AA46)),IF($AB46="Construction",0,0)))</f>
        <v>0.23595303896103925</v>
      </c>
      <c r="AE46" s="45" cm="1">
        <f t="array" ref="AE46">IF($AB46="no",_xlfn.XLOOKUP($AA46,$Q$7:$Q$47,U$7:U$47),IF($AB46="yes",(TREND($I$16:$I$17,$H$16:$H$17,$AA46)*TREND($J$36:$J$37,$I$36:$I$37,$AA46)),IF($AB46="Construction",0,0)))</f>
        <v>0.23595303896103925</v>
      </c>
      <c r="AF46" s="45" cm="1">
        <f t="array" ref="AF46">IF($AB46="no",_xlfn.XLOOKUP($AA46,$Q$7:$Q$47,V$7:V$47),IF($AB46="yes",(TREND($I$16:$I$17,$H$16:$H$17,$AA46)*TREND($J$36:$J$37,$I$36:$I$37,$AA46)),IF($AB46="Construction",0,0)))</f>
        <v>0.23595303896103925</v>
      </c>
      <c r="AG46" s="45" cm="1">
        <f t="array" ref="AG46">IF($AB46="no",_xlfn.XLOOKUP($AA46,$Q$7:$Q$47,W$7:W$47),IF($AB46="yes",(TREND($I$16:$I$17,$H$16:$H$17,$AA46)*TREND($J$36:$J$37,$I$36:$I$37,$AA46)),IF($AB46="Construction",0,0)))</f>
        <v>0.23595303896103925</v>
      </c>
      <c r="AH46" s="59">
        <f>IF(AA46&lt;=Assumptions!$D$15,SUMPRODUCT($I$6:$M$6,AC46:AG46),0)</f>
        <v>0</v>
      </c>
      <c r="AI46" s="212"/>
    </row>
    <row r="47" spans="1:35" x14ac:dyDescent="0.25">
      <c r="B47" s="441"/>
      <c r="C47" s="441"/>
      <c r="D47" s="441"/>
      <c r="E47" s="441"/>
      <c r="F47" s="441"/>
      <c r="N47" s="1"/>
      <c r="P47" s="497"/>
      <c r="Q47" s="44">
        <f t="shared" si="4"/>
        <v>2059</v>
      </c>
      <c r="R47" s="21" t="s">
        <v>752</v>
      </c>
      <c r="S47" s="45" cm="1">
        <f t="array" ref="S47">IF($R47="Yes",(TREND($I$16:$I$17,$H$16:$H$17,$Q47)*TREND(J$29:J$30,$I$29:$I$30,$Q47))+(TREND($I$16:$I$17,$H$16:$H$17,$Q47)*TREND(J$31:J$32,$I$31:$I$32,$Q47)),0)</f>
        <v>0.52467532467532441</v>
      </c>
      <c r="T47" s="45" cm="1">
        <f t="array" ref="T47">IF($R47="Yes",(TREND($I$16:$I$17,$H$16:$H$17,$Q47)*TREND(K$29:K$30,$I$29:$I$30,$Q47))+(TREND($I$16:$I$17,$H$16:$H$17,$Q47)*TREND(K$31:K$32,$I$31:$I$32,$Q47)),0)</f>
        <v>0.2623376623376622</v>
      </c>
      <c r="U47" s="45" cm="1">
        <f t="array" ref="U47">IF($R47="Yes",(TREND($I$16:$I$17,$H$16:$H$17,$Q47)*TREND(L$29:L$30,$I$29:$I$30,$Q47))+(TREND($I$16:$I$17,$H$16:$H$17,$Q47)*TREND(L$31:L$32,$I$31:$I$32,$Q47)),0)</f>
        <v>1.0493506493506488</v>
      </c>
      <c r="V47" s="45" cm="1">
        <f t="array" ref="V47">IF($R47="Yes",(TREND($I$16:$I$17,$H$16:$H$17,$Q47)*TREND(M$29:M$30,$I$29:$I$30,$Q47))+(TREND($I$16:$I$17,$H$16:$H$17,$Q47)*TREND(M$31:M$32,$I$31:$I$32,$Q47)),0)</f>
        <v>2.0987012987012976</v>
      </c>
      <c r="W47" s="45" cm="1">
        <f t="array" ref="W47">IF($R47="Yes",(TREND($I$16:$I$17,$H$16:$H$17,$Q47)*TREND(N$29:N$30,$I$29:$I$30,$Q47))+(TREND($I$16:$I$17,$H$16:$H$17,$Q47)*TREND(N$31:N$32,$I$31:$I$32,$Q47)),0)</f>
        <v>13.116883116883109</v>
      </c>
      <c r="X47" s="59">
        <f>IF(Q47&lt;=Assumptions!$D$15,SUMPRODUCT($I$6:$M$6,S47:W47),0)</f>
        <v>0</v>
      </c>
      <c r="Z47" s="497"/>
      <c r="AA47" s="44">
        <f t="shared" si="5"/>
        <v>2059</v>
      </c>
      <c r="AB47" s="21" t="str">
        <f>IF(AA47&gt;=(Assumptions!$D$45+Assumptions!$D$46),"Yes",IF(OR(AA47=Assumptions!$D$45,AA47=Assumptions!$D$45+Assumptions!$D$46-1),"Construction","No"))</f>
        <v>Yes</v>
      </c>
      <c r="AC47" s="45" cm="1">
        <f t="array" ref="AC47">IF($AB47="no",_xlfn.XLOOKUP($AA47,$Q$7:$Q$47,S$7:S$47),IF($AB47="yes",(TREND($I$16:$I$17,$H$16:$H$17,$AA47)*TREND($J$36:$J$37,$I$36:$I$37,$AA47)),IF($AB47="Construction",0,0)))</f>
        <v>0.23736311688311676</v>
      </c>
      <c r="AD47" s="45" cm="1">
        <f t="array" ref="AD47">IF($AB47="no",_xlfn.XLOOKUP($AA47,$Q$7:$Q$47,T$7:T$47),IF($AB47="yes",(TREND($I$16:$I$17,$H$16:$H$17,$AA47)*TREND($J$36:$J$37,$I$36:$I$37,$AA47)),IF($AB47="Construction",0,0)))</f>
        <v>0.23736311688311676</v>
      </c>
      <c r="AE47" s="45" cm="1">
        <f t="array" ref="AE47">IF($AB47="no",_xlfn.XLOOKUP($AA47,$Q$7:$Q$47,U$7:U$47),IF($AB47="yes",(TREND($I$16:$I$17,$H$16:$H$17,$AA47)*TREND($J$36:$J$37,$I$36:$I$37,$AA47)),IF($AB47="Construction",0,0)))</f>
        <v>0.23736311688311676</v>
      </c>
      <c r="AF47" s="45" cm="1">
        <f t="array" ref="AF47">IF($AB47="no",_xlfn.XLOOKUP($AA47,$Q$7:$Q$47,V$7:V$47),IF($AB47="yes",(TREND($I$16:$I$17,$H$16:$H$17,$AA47)*TREND($J$36:$J$37,$I$36:$I$37,$AA47)),IF($AB47="Construction",0,0)))</f>
        <v>0.23736311688311676</v>
      </c>
      <c r="AG47" s="45" cm="1">
        <f t="array" ref="AG47">IF($AB47="no",_xlfn.XLOOKUP($AA47,$Q$7:$Q$47,W$7:W$47),IF($AB47="yes",(TREND($I$16:$I$17,$H$16:$H$17,$AA47)*TREND($J$36:$J$37,$I$36:$I$37,$AA47)),IF($AB47="Construction",0,0)))</f>
        <v>0.23736311688311676</v>
      </c>
      <c r="AH47" s="59">
        <f>IF(AA47&lt;=Assumptions!$D$15,SUMPRODUCT($I$6:$M$6,AC47:AG47),0)</f>
        <v>0</v>
      </c>
      <c r="AI47" s="212"/>
    </row>
    <row r="48" spans="1:35" ht="15" customHeight="1" x14ac:dyDescent="0.25">
      <c r="B48" s="441"/>
      <c r="C48" s="441"/>
      <c r="D48" s="441"/>
      <c r="E48" s="441"/>
      <c r="F48" s="441"/>
      <c r="P48" s="480" t="s">
        <v>894</v>
      </c>
      <c r="Q48" s="480"/>
      <c r="R48" s="480"/>
      <c r="S48" s="480"/>
      <c r="T48" s="480"/>
      <c r="U48" s="480"/>
      <c r="V48" s="480"/>
      <c r="W48" s="480"/>
      <c r="X48" s="480"/>
      <c r="Z48" s="480" t="s">
        <v>895</v>
      </c>
      <c r="AA48" s="480"/>
      <c r="AB48" s="480"/>
      <c r="AC48" s="480"/>
      <c r="AD48" s="480"/>
      <c r="AE48" s="480"/>
      <c r="AF48" s="480"/>
      <c r="AG48" s="480"/>
      <c r="AH48" s="480"/>
      <c r="AI48" s="181"/>
    </row>
    <row r="49" spans="1:35" x14ac:dyDescent="0.25">
      <c r="B49" s="441"/>
      <c r="C49" s="441"/>
      <c r="D49" s="441"/>
      <c r="E49" s="441"/>
      <c r="F49" s="441"/>
      <c r="P49" s="441"/>
      <c r="Q49" s="441"/>
      <c r="R49" s="441"/>
      <c r="S49" s="441"/>
      <c r="T49" s="441"/>
      <c r="U49" s="441"/>
      <c r="V49" s="441"/>
      <c r="W49" s="441"/>
      <c r="X49" s="441"/>
      <c r="Z49" s="441"/>
      <c r="AA49" s="441"/>
      <c r="AB49" s="441"/>
      <c r="AC49" s="441"/>
      <c r="AD49" s="441"/>
      <c r="AE49" s="441"/>
      <c r="AF49" s="441"/>
      <c r="AG49" s="441"/>
      <c r="AH49" s="441"/>
      <c r="AI49" s="181"/>
    </row>
    <row r="50" spans="1:35" ht="15" customHeight="1" x14ac:dyDescent="0.25">
      <c r="B50" s="441"/>
      <c r="C50" s="441"/>
      <c r="D50" s="441"/>
      <c r="E50" s="441"/>
      <c r="F50" s="441"/>
      <c r="P50" s="441"/>
      <c r="Q50" s="441"/>
      <c r="R50" s="441"/>
      <c r="S50" s="441"/>
      <c r="T50" s="441"/>
      <c r="U50" s="441"/>
      <c r="V50" s="441"/>
      <c r="W50" s="441"/>
      <c r="X50" s="441"/>
      <c r="Z50" s="441"/>
      <c r="AA50" s="441"/>
      <c r="AB50" s="441"/>
      <c r="AC50" s="441"/>
      <c r="AD50" s="441"/>
      <c r="AE50" s="441"/>
      <c r="AF50" s="441"/>
      <c r="AG50" s="441"/>
      <c r="AH50" s="441"/>
      <c r="AI50" s="181"/>
    </row>
    <row r="51" spans="1:35" ht="15" customHeight="1" x14ac:dyDescent="0.25">
      <c r="P51" s="441"/>
      <c r="Q51" s="441"/>
      <c r="R51" s="441"/>
      <c r="S51" s="441"/>
      <c r="T51" s="441"/>
      <c r="U51" s="441"/>
      <c r="V51" s="441"/>
      <c r="W51" s="441"/>
      <c r="X51" s="441"/>
      <c r="Z51" s="441"/>
      <c r="AA51" s="441"/>
      <c r="AB51" s="441"/>
      <c r="AC51" s="441"/>
      <c r="AD51" s="441"/>
      <c r="AE51" s="441"/>
      <c r="AF51" s="441"/>
      <c r="AG51" s="441"/>
      <c r="AH51" s="441"/>
      <c r="AI51" s="181"/>
    </row>
    <row r="52" spans="1:35" ht="15" customHeight="1" x14ac:dyDescent="0.25">
      <c r="A52" s="2" t="s">
        <v>98</v>
      </c>
      <c r="B52" s="441" t="s">
        <v>248</v>
      </c>
      <c r="C52" s="441"/>
      <c r="D52" s="441"/>
      <c r="E52" s="441"/>
      <c r="F52" s="441"/>
      <c r="P52" s="441"/>
      <c r="Q52" s="441"/>
      <c r="R52" s="441"/>
      <c r="S52" s="441"/>
      <c r="T52" s="441"/>
      <c r="U52" s="441"/>
      <c r="V52" s="441"/>
      <c r="W52" s="441"/>
      <c r="X52" s="441"/>
      <c r="Z52" s="441"/>
      <c r="AA52" s="441"/>
      <c r="AB52" s="441"/>
      <c r="AC52" s="441"/>
      <c r="AD52" s="441"/>
      <c r="AE52" s="441"/>
      <c r="AF52" s="441"/>
      <c r="AG52" s="441"/>
      <c r="AH52" s="441"/>
      <c r="AI52" s="181"/>
    </row>
    <row r="53" spans="1:35" x14ac:dyDescent="0.25">
      <c r="B53" s="441"/>
      <c r="C53" s="441"/>
      <c r="D53" s="441"/>
      <c r="E53" s="441"/>
      <c r="F53" s="441"/>
      <c r="P53" s="441"/>
      <c r="Q53" s="441"/>
      <c r="R53" s="441"/>
      <c r="S53" s="441"/>
      <c r="T53" s="441"/>
      <c r="U53" s="441"/>
      <c r="V53" s="441"/>
      <c r="W53" s="441"/>
      <c r="X53" s="441"/>
      <c r="Y53" s="181"/>
      <c r="Z53" s="441"/>
      <c r="AA53" s="441"/>
      <c r="AB53" s="441"/>
      <c r="AC53" s="441"/>
      <c r="AD53" s="441"/>
      <c r="AE53" s="441"/>
      <c r="AF53" s="441"/>
      <c r="AG53" s="441"/>
      <c r="AH53" s="441"/>
      <c r="AI53" s="181"/>
    </row>
    <row r="54" spans="1:35" ht="15" customHeight="1" x14ac:dyDescent="0.25">
      <c r="B54" s="441"/>
      <c r="C54" s="441"/>
      <c r="D54" s="441"/>
      <c r="E54" s="441"/>
      <c r="F54" s="441"/>
      <c r="P54" s="441"/>
      <c r="Q54" s="441"/>
      <c r="R54" s="441"/>
      <c r="S54" s="441"/>
      <c r="T54" s="441"/>
      <c r="U54" s="441"/>
      <c r="V54" s="441"/>
      <c r="W54" s="441"/>
      <c r="X54" s="441"/>
      <c r="Z54" s="441"/>
      <c r="AA54" s="441"/>
      <c r="AB54" s="441"/>
      <c r="AC54" s="441"/>
      <c r="AD54" s="441"/>
      <c r="AE54" s="441"/>
      <c r="AF54" s="441"/>
      <c r="AG54" s="441"/>
      <c r="AH54" s="441"/>
    </row>
    <row r="55" spans="1:35" ht="15" customHeight="1" x14ac:dyDescent="0.25">
      <c r="Z55" s="441"/>
      <c r="AA55" s="441"/>
      <c r="AB55" s="441"/>
      <c r="AC55" s="441"/>
      <c r="AD55" s="441"/>
      <c r="AE55" s="441"/>
      <c r="AF55" s="441"/>
      <c r="AG55" s="441"/>
      <c r="AH55" s="441"/>
    </row>
    <row r="56" spans="1:35" x14ac:dyDescent="0.25">
      <c r="P56" s="28"/>
    </row>
    <row r="57" spans="1:35" ht="15" customHeight="1" x14ac:dyDescent="0.25"/>
    <row r="59" spans="1:35" ht="15" customHeight="1" x14ac:dyDescent="0.25"/>
    <row r="62" spans="1:35" ht="15" customHeight="1" x14ac:dyDescent="0.25"/>
    <row r="63" spans="1:35" x14ac:dyDescent="0.25">
      <c r="I63" s="58"/>
    </row>
    <row r="73" spans="8:9" x14ac:dyDescent="0.25">
      <c r="H73" s="12" t="s">
        <v>230</v>
      </c>
      <c r="I73" t="s">
        <v>229</v>
      </c>
    </row>
    <row r="105" spans="24:24" x14ac:dyDescent="0.25">
      <c r="X105" s="3"/>
    </row>
  </sheetData>
  <mergeCells count="16">
    <mergeCell ref="Z6:Z47"/>
    <mergeCell ref="Z48:AH55"/>
    <mergeCell ref="B52:F54"/>
    <mergeCell ref="B36:F41"/>
    <mergeCell ref="P48:X54"/>
    <mergeCell ref="P6:P47"/>
    <mergeCell ref="B30:F34"/>
    <mergeCell ref="H29:H30"/>
    <mergeCell ref="H31:H32"/>
    <mergeCell ref="B43:F50"/>
    <mergeCell ref="C3:F3"/>
    <mergeCell ref="E4:E5"/>
    <mergeCell ref="F4:F5"/>
    <mergeCell ref="B4:B5"/>
    <mergeCell ref="C4:C5"/>
    <mergeCell ref="D4:D5"/>
  </mergeCells>
  <phoneticPr fontId="13" type="noConversion"/>
  <pageMargins left="0.25" right="0.25" top="0.75" bottom="0.75" header="0.3" footer="0.3"/>
  <pageSetup paperSize="3"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555B6-FE6E-4888-B9F5-A08134F6B0D5}">
  <sheetPr>
    <tabColor theme="3" tint="0.79998168889431442"/>
    <pageSetUpPr fitToPage="1"/>
  </sheetPr>
  <dimension ref="A1:AJ105"/>
  <sheetViews>
    <sheetView view="pageBreakPreview" zoomScale="80" zoomScaleNormal="70" zoomScaleSheetLayoutView="80" workbookViewId="0"/>
  </sheetViews>
  <sheetFormatPr defaultRowHeight="15" x14ac:dyDescent="0.25"/>
  <cols>
    <col min="1" max="1" width="7.7109375" customWidth="1"/>
    <col min="2" max="6" width="20.7109375" customWidth="1"/>
    <col min="7" max="7" width="9.140625" collapsed="1"/>
    <col min="8" max="8" width="34.140625" customWidth="1"/>
    <col min="9" max="9" width="21.85546875" customWidth="1"/>
    <col min="10" max="10" width="10.85546875" bestFit="1" customWidth="1"/>
    <col min="11" max="11" width="10.7109375" bestFit="1" customWidth="1"/>
    <col min="12" max="12" width="10.7109375" bestFit="1" customWidth="1" collapsed="1"/>
    <col min="13" max="14" width="13.42578125" bestFit="1" customWidth="1"/>
    <col min="16" max="16" width="13.140625" bestFit="1" customWidth="1"/>
    <col min="17" max="17" width="5.85546875" bestFit="1" customWidth="1"/>
    <col min="18" max="18" width="18.85546875" bestFit="1" customWidth="1"/>
    <col min="19" max="19" width="6.42578125" bestFit="1" customWidth="1"/>
    <col min="20" max="20" width="6.42578125" customWidth="1"/>
    <col min="21" max="21" width="6.5703125" bestFit="1" customWidth="1"/>
    <col min="22" max="22" width="6.5703125" customWidth="1"/>
    <col min="23" max="23" width="5.85546875" bestFit="1" customWidth="1"/>
    <col min="24" max="24" width="16.85546875" customWidth="1"/>
    <col min="28" max="28" width="5.85546875" bestFit="1" customWidth="1"/>
    <col min="29" max="29" width="29.42578125" bestFit="1" customWidth="1"/>
    <col min="30" max="30" width="6.28515625" bestFit="1" customWidth="1"/>
    <col min="31" max="31" width="6.28515625" customWidth="1"/>
    <col min="32" max="32" width="6.5703125" bestFit="1" customWidth="1"/>
    <col min="33" max="33" width="6.5703125" customWidth="1"/>
    <col min="34" max="34" width="5" bestFit="1" customWidth="1"/>
    <col min="35" max="35" width="16.85546875" bestFit="1" customWidth="1"/>
    <col min="36" max="36" width="16.85546875" customWidth="1"/>
  </cols>
  <sheetData>
    <row r="1" spans="1:36" ht="15" customHeight="1" x14ac:dyDescent="0.25">
      <c r="A1" s="74"/>
      <c r="B1" s="41"/>
      <c r="C1" s="41"/>
      <c r="D1" s="41"/>
      <c r="E1" s="41"/>
      <c r="F1" s="41"/>
    </row>
    <row r="2" spans="1:36" ht="15.75" thickBot="1" x14ac:dyDescent="0.3">
      <c r="B2" s="1" t="s">
        <v>255</v>
      </c>
      <c r="C2" s="1"/>
      <c r="D2" s="1"/>
    </row>
    <row r="3" spans="1:36" ht="15.75" thickBot="1" x14ac:dyDescent="0.3">
      <c r="B3" s="1"/>
      <c r="C3" s="435" t="s">
        <v>53</v>
      </c>
      <c r="D3" s="479"/>
      <c r="E3" s="479"/>
      <c r="F3" s="436"/>
    </row>
    <row r="4" spans="1:36" ht="30" customHeight="1" x14ac:dyDescent="0.25">
      <c r="B4" s="445" t="s">
        <v>0</v>
      </c>
      <c r="C4" s="445" t="s">
        <v>28</v>
      </c>
      <c r="D4" s="445" t="s">
        <v>29</v>
      </c>
      <c r="E4" s="493" t="s">
        <v>26</v>
      </c>
      <c r="F4" s="442" t="s">
        <v>186</v>
      </c>
      <c r="H4" s="30" t="s">
        <v>83</v>
      </c>
      <c r="I4" s="40"/>
      <c r="J4" s="40"/>
      <c r="K4" s="40"/>
    </row>
    <row r="5" spans="1:36" ht="17.25" customHeight="1" thickBot="1" x14ac:dyDescent="0.3">
      <c r="B5" s="446"/>
      <c r="C5" s="446"/>
      <c r="D5" s="446"/>
      <c r="E5" s="494"/>
      <c r="F5" s="443"/>
      <c r="H5" s="21" t="s">
        <v>46</v>
      </c>
      <c r="I5" s="21" t="s">
        <v>234</v>
      </c>
      <c r="J5" s="21" t="s">
        <v>235</v>
      </c>
      <c r="K5" s="21" t="s">
        <v>236</v>
      </c>
      <c r="L5" s="21" t="s">
        <v>237</v>
      </c>
      <c r="M5" s="21" t="s">
        <v>220</v>
      </c>
      <c r="P5" s="1" t="s">
        <v>796</v>
      </c>
      <c r="R5" s="1"/>
      <c r="AA5" s="1" t="s">
        <v>797</v>
      </c>
      <c r="AC5" s="1"/>
    </row>
    <row r="6" spans="1:36" ht="15" customHeight="1" x14ac:dyDescent="0.25">
      <c r="B6" s="75">
        <f>Assumptions!$D$14</f>
        <v>2029</v>
      </c>
      <c r="C6" s="95">
        <f t="shared" ref="C6:C25" si="0">_xlfn.XLOOKUP(B6,$Q$7:$Q$47,$X$7:$X$47)</f>
        <v>438318.53479853505</v>
      </c>
      <c r="D6" s="95">
        <f t="shared" ref="D6:D25" si="1">_xlfn.XLOOKUP(B6,$AB$7:$AB$47,$AI$7:$AI$47)</f>
        <v>127112.37509157519</v>
      </c>
      <c r="E6" s="96">
        <f>C6-D6</f>
        <v>311206.15970695985</v>
      </c>
      <c r="F6" s="97">
        <f>E6*(1+Assumptions!$D$24)^-(B6-Assumptions!$D$10)</f>
        <v>251326.06259829781</v>
      </c>
      <c r="H6" s="21" t="s">
        <v>31</v>
      </c>
      <c r="I6" s="242">
        <f>'Corridor Safety Improvement'!I6</f>
        <v>12500000</v>
      </c>
      <c r="J6" s="242">
        <f>'Corridor Safety Improvement'!J6</f>
        <v>1188200</v>
      </c>
      <c r="K6" s="242">
        <f>'Corridor Safety Improvement'!K6</f>
        <v>233800</v>
      </c>
      <c r="L6" s="242">
        <f>'Corridor Safety Improvement'!L6</f>
        <v>111700</v>
      </c>
      <c r="M6" s="242">
        <f>'Corridor Safety Improvement'!M6</f>
        <v>5000</v>
      </c>
      <c r="P6" s="495" t="s">
        <v>25</v>
      </c>
      <c r="Q6" s="21" t="s">
        <v>22</v>
      </c>
      <c r="R6" s="21" t="s">
        <v>213</v>
      </c>
      <c r="S6" s="21" t="s">
        <v>242</v>
      </c>
      <c r="T6" s="21" t="s">
        <v>243</v>
      </c>
      <c r="U6" s="27" t="s">
        <v>244</v>
      </c>
      <c r="V6" s="27" t="s">
        <v>245</v>
      </c>
      <c r="W6" s="27" t="s">
        <v>215</v>
      </c>
      <c r="X6" s="27" t="s">
        <v>82</v>
      </c>
      <c r="AA6" s="495" t="s">
        <v>12</v>
      </c>
      <c r="AB6" s="21" t="s">
        <v>22</v>
      </c>
      <c r="AC6" s="21" t="s">
        <v>214</v>
      </c>
      <c r="AD6" s="21" t="s">
        <v>242</v>
      </c>
      <c r="AE6" s="21" t="s">
        <v>243</v>
      </c>
      <c r="AF6" s="27" t="s">
        <v>244</v>
      </c>
      <c r="AG6" s="27" t="s">
        <v>245</v>
      </c>
      <c r="AH6" s="27" t="s">
        <v>215</v>
      </c>
      <c r="AI6" s="27" t="s">
        <v>82</v>
      </c>
      <c r="AJ6" s="211"/>
    </row>
    <row r="7" spans="1:36" x14ac:dyDescent="0.25">
      <c r="B7" s="61">
        <f>B6+1</f>
        <v>2030</v>
      </c>
      <c r="C7" s="98">
        <f t="shared" si="0"/>
        <v>441724.38827838795</v>
      </c>
      <c r="D7" s="98">
        <f t="shared" si="1"/>
        <v>128100.07260073247</v>
      </c>
      <c r="E7" s="99">
        <f>C7-D7</f>
        <v>313624.31567765551</v>
      </c>
      <c r="F7" s="100">
        <f>E7*(1+Assumptions!$D$24)^-(B7-Assumptions!$D$10)</f>
        <v>245663.36957385956</v>
      </c>
      <c r="P7" s="496"/>
      <c r="Q7" s="44">
        <f>$H$15</f>
        <v>2019</v>
      </c>
      <c r="R7" s="21" t="s">
        <v>752</v>
      </c>
      <c r="S7" s="45" cm="1">
        <f t="array" ref="S7">IF(R7="Yes",(TREND($I$15:$I$16,$H$15:$H$16,Q7)*TREND($J$29:$J$30,$I$29:$I$30,Q7)),0)</f>
        <v>0</v>
      </c>
      <c r="T7" s="45" cm="1">
        <f t="array" ref="T7">IF(R7="Yes",(TREND($I$15:$I$16,$H$15:$H$16,Q7)*TREND($K$29:$K$30,$I$29:$I$30,Q7)),0)</f>
        <v>0.19999999999999998</v>
      </c>
      <c r="U7" s="45" cm="1">
        <f t="array" ref="U7">IF(R7="Yes",(TREND($I$15:$I$16,$H$15:$H$16,Q7)*TREND($L$29:$L$30,$I$29:$I$30,Q7)),0)</f>
        <v>0.6</v>
      </c>
      <c r="V7" s="45" cm="1">
        <f t="array" ref="V7">IF(R7="Yes",(TREND($I$15:$I$16,$H$15:$H$16,Q7)*TREND($M$29:$M$30,$I$29:$I$30,Q7)),0)</f>
        <v>0.19999999999999998</v>
      </c>
      <c r="W7" s="45" cm="1">
        <f t="array" ref="W7">IF(R7="Yes",(TREND($I$15:$I$16,$H$15:$H$16,Q7)*TREND($N$29:$N$30,$I$29:$I$30,Q7)),0)</f>
        <v>0.79999999999999993</v>
      </c>
      <c r="X7" s="59">
        <f>IF(Q7&lt;=Assumptions!$D$15,SUMPRODUCT($I$6:$M$6,S7:W7),0)</f>
        <v>404260</v>
      </c>
      <c r="AA7" s="496"/>
      <c r="AB7" s="44">
        <f>$H$15</f>
        <v>2019</v>
      </c>
      <c r="AC7" s="21" t="str">
        <f>IF(AB7&gt;=(Assumptions!$D$45+Assumptions!$D$46),"Yes",IF(OR(AB7=Assumptions!$D$45,AB7=Assumptions!$D$45+Assumptions!$D$46-1),"Construction","No"))</f>
        <v>No</v>
      </c>
      <c r="AD7" s="45" cm="1">
        <f t="array" ref="AD7">IF(AC7="no",(TREND($I$15:$I$16,$H$15:$H$16,AB7)*TREND($J$29:$J$30,$I$29:$I$30,AB7)),IF(AC7="yes",(TREND($I$15:$I$16,$H$15:$H$16,AB7)*TREND($J$34:$J$35,$I$34:$I$35,AB7)),IF(AC7="Construction",0,0)))</f>
        <v>0</v>
      </c>
      <c r="AE7" s="45" cm="1">
        <f t="array" ref="AE7">IF(AC7="no",(TREND($I$15:$I$16,$H$15:$H$16,AB7)*TREND($K$29:$K$30,$I$29:$I$30,AB7)),IF(AC7="yes",(TREND($I$15:$I$16,$H$15:$H$16,AB7)*TREND($K$34:$K$35,$I$34:$I$35,AB7)),IF(AC7="Construction",0,0)))</f>
        <v>0.19999999999999998</v>
      </c>
      <c r="AF7" s="45" cm="1">
        <f t="array" ref="AF7">IF(AC7="no",(TREND($I$15:$I$16,$H$15:$H$16,AB7)*TREND($L$29:$L$30,$I$29:$I$30,AB7)),IF(AC7="yes",(TREND($I$15:$I$16,$H$15:$H$16,AB7)*TREND($L$34:$L$35,$I$34:$I$35,AB7)),IF(AC7="Construction",0,0)))</f>
        <v>0.6</v>
      </c>
      <c r="AG7" s="45" cm="1">
        <f t="array" ref="AG7">IF(AC7="no",(TREND($I$15:$I$16,$H$15:$H$16,AB7)*TREND($M$29:$M$30,$I$29:$I$30,AB7)),IF(AC7="yes",(TREND($I$15:$I$16,$H$15:$H$16,AB7)*TREND($M$34:$M$35,$I$34:$I$35,AB7)),IF(AC7="Construction",0,0)))</f>
        <v>0.19999999999999998</v>
      </c>
      <c r="AH7" s="45" cm="1">
        <f t="array" ref="AH7">IF(AC7="no",(TREND($I$15:$I$16,$H$15:$H$16,AB7)*TREND($N$29:$N$30,$I$29:$I$30,AB7)),IF(AC7="yes",(TREND($I$15:$I$16,$H$15:$H$16,AB7)*TREND($N$34:$N$35,$I$34:$I$35,AB7)),IF(AC7="Construction",0,0)))</f>
        <v>0.79999999999999993</v>
      </c>
      <c r="AI7" s="59">
        <f>IF(AB7&lt;=Assumptions!$D$15,SUMPRODUCT($I$6:$M$6,AD7:AH7),0)</f>
        <v>404260</v>
      </c>
      <c r="AJ7" s="212"/>
    </row>
    <row r="8" spans="1:36" ht="15" customHeight="1" x14ac:dyDescent="0.25">
      <c r="B8" s="61">
        <f t="shared" ref="B8:B25" si="2">B7+1</f>
        <v>2031</v>
      </c>
      <c r="C8" s="98">
        <f t="shared" si="0"/>
        <v>445130.24175824161</v>
      </c>
      <c r="D8" s="98">
        <f t="shared" si="1"/>
        <v>129087.77010989004</v>
      </c>
      <c r="E8" s="99">
        <f t="shared" ref="E8:E15" si="3">C8-D8</f>
        <v>316042.47164835158</v>
      </c>
      <c r="F8" s="100">
        <f>E8*(1+Assumptions!$D$24)^-(B8-Assumptions!$D$10)</f>
        <v>240113.98862517154</v>
      </c>
      <c r="H8" s="1" t="s">
        <v>793</v>
      </c>
      <c r="P8" s="496"/>
      <c r="Q8" s="44">
        <f>Q7+1</f>
        <v>2020</v>
      </c>
      <c r="R8" s="21" t="s">
        <v>752</v>
      </c>
      <c r="S8" s="45" cm="1">
        <f t="array" ref="S8">IF(R8="Yes",(TREND($I$15:$I$16,$H$15:$H$16,Q8)*TREND($J$29:$J$30,$I$29:$I$30,Q8)),0)</f>
        <v>0</v>
      </c>
      <c r="T8" s="45" cm="1">
        <f t="array" ref="T8">IF(R8="Yes",(TREND($I$15:$I$16,$H$15:$H$16,Q8)*TREND($K$29:$K$30,$I$29:$I$30,Q8)),0)</f>
        <v>0.20168498168498178</v>
      </c>
      <c r="U8" s="45" cm="1">
        <f t="array" ref="U8">IF(R8="Yes",(TREND($I$15:$I$16,$H$15:$H$16,Q8)*TREND($L$29:$L$30,$I$29:$I$30,Q8)),0)</f>
        <v>0.60505494505494539</v>
      </c>
      <c r="V8" s="45" cm="1">
        <f t="array" ref="V8">IF(R8="Yes",(TREND($I$15:$I$16,$H$15:$H$16,Q8)*TREND($M$29:$M$30,$I$29:$I$30,Q8)),0)</f>
        <v>0.20168498168498178</v>
      </c>
      <c r="W8" s="45" cm="1">
        <f t="array" ref="W8">IF(R8="Yes",(TREND($I$15:$I$16,$H$15:$H$16,Q8)*TREND($N$29:$N$30,$I$29:$I$30,Q8)),0)</f>
        <v>0.80673992673992712</v>
      </c>
      <c r="X8" s="59">
        <f>IF(Q8&lt;=Assumptions!$D$15,SUMPRODUCT($I$6:$M$6,S8:W8),0)</f>
        <v>407665.85347985371</v>
      </c>
      <c r="AA8" s="496"/>
      <c r="AB8" s="44">
        <f>AB7+1</f>
        <v>2020</v>
      </c>
      <c r="AC8" s="21" t="str">
        <f>IF(AB8&gt;=(Assumptions!$D$45+Assumptions!$D$46),"Yes",IF(OR(AB8=Assumptions!$D$45,AB8=Assumptions!$D$45+Assumptions!$D$46-1),"Construction","No"))</f>
        <v>No</v>
      </c>
      <c r="AD8" s="45" cm="1">
        <f t="array" ref="AD8">IF(AC8="no",(TREND($I$15:$I$16,$H$15:$H$16,AB8)*TREND($J$29:$J$30,$I$29:$I$30,AB8)),IF(AC8="yes",(TREND($I$15:$I$16,$H$15:$H$16,AB8)*TREND($J$34:$J$35,$I$34:$I$35,AB8)),IF(AC8="Construction",0,0)))</f>
        <v>0</v>
      </c>
      <c r="AE8" s="45" cm="1">
        <f t="array" ref="AE8">IF(AC8="no",(TREND($I$15:$I$16,$H$15:$H$16,AB8)*TREND($K$29:$K$30,$I$29:$I$30,AB8)),IF(AC8="yes",(TREND($I$15:$I$16,$H$15:$H$16,AB8)*TREND($K$34:$K$35,$I$34:$I$35,AB8)),IF(AC8="Construction",0,0)))</f>
        <v>0.20168498168498178</v>
      </c>
      <c r="AF8" s="45" cm="1">
        <f t="array" ref="AF8">IF(AC8="no",(TREND($I$15:$I$16,$H$15:$H$16,AB8)*TREND($L$29:$L$30,$I$29:$I$30,AB8)),IF(AC8="yes",(TREND($I$15:$I$16,$H$15:$H$16,AB8)*TREND($L$34:$L$35,$I$34:$I$35,AB8)),IF(AC8="Construction",0,0)))</f>
        <v>0.60505494505494539</v>
      </c>
      <c r="AG8" s="45" cm="1">
        <f t="array" ref="AG8">IF(AC8="no",(TREND($I$15:$I$16,$H$15:$H$16,AB8)*TREND($M$29:$M$30,$I$29:$I$30,AB8)),IF(AC8="yes",(TREND($I$15:$I$16,$H$15:$H$16,AB8)*TREND($M$34:$M$35,$I$34:$I$35,AB8)),IF(AC8="Construction",0,0)))</f>
        <v>0.20168498168498178</v>
      </c>
      <c r="AH8" s="45" cm="1">
        <f t="array" ref="AH8">IF(AC8="no",(TREND($I$15:$I$16,$H$15:$H$16,AB8)*TREND($N$29:$N$30,$I$29:$I$30,AB8)),IF(AC8="yes",(TREND($I$15:$I$16,$H$15:$H$16,AB8)*TREND($N$34:$N$35,$I$34:$I$35,AB8)),IF(AC8="Construction",0,0)))</f>
        <v>0.80673992673992712</v>
      </c>
      <c r="AI8" s="59">
        <f>IF(AB8&lt;=Assumptions!$D$15,SUMPRODUCT($I$6:$M$6,AD8:AH8),0)</f>
        <v>407665.85347985371</v>
      </c>
      <c r="AJ8" s="212"/>
    </row>
    <row r="9" spans="1:36" x14ac:dyDescent="0.25">
      <c r="B9" s="61">
        <f t="shared" si="2"/>
        <v>2032</v>
      </c>
      <c r="C9" s="98">
        <f t="shared" si="0"/>
        <v>448536.09523809527</v>
      </c>
      <c r="D9" s="98">
        <f t="shared" si="1"/>
        <v>130075.4676190476</v>
      </c>
      <c r="E9" s="99">
        <f t="shared" si="3"/>
        <v>318460.62761904765</v>
      </c>
      <c r="F9" s="100">
        <f>E9*(1+Assumptions!$D$24)^-(B9-Assumptions!$D$10)</f>
        <v>234676.22515900782</v>
      </c>
      <c r="H9" s="21" t="s">
        <v>30</v>
      </c>
      <c r="I9" s="21" t="s">
        <v>234</v>
      </c>
      <c r="J9" s="21" t="s">
        <v>235</v>
      </c>
      <c r="K9" s="21" t="s">
        <v>236</v>
      </c>
      <c r="L9" s="21" t="s">
        <v>237</v>
      </c>
      <c r="M9" s="21" t="s">
        <v>220</v>
      </c>
      <c r="P9" s="496"/>
      <c r="Q9" s="44">
        <f t="shared" ref="Q9:Q47" si="4">Q8+1</f>
        <v>2021</v>
      </c>
      <c r="R9" s="21" t="s">
        <v>752</v>
      </c>
      <c r="S9" s="45" cm="1">
        <f t="array" ref="S9">IF(R9="Yes",(TREND($I$15:$I$16,$H$15:$H$16,Q9)*TREND($J$29:$J$30,$I$29:$I$30,Q9)),0)</f>
        <v>0</v>
      </c>
      <c r="T9" s="45" cm="1">
        <f t="array" ref="T9">IF(R9="Yes",(TREND($I$15:$I$16,$H$15:$H$16,Q9)*TREND($K$29:$K$30,$I$29:$I$30,Q9)),0)</f>
        <v>0.20336996336996313</v>
      </c>
      <c r="U9" s="45" cm="1">
        <f t="array" ref="U9">IF(R9="Yes",(TREND($I$15:$I$16,$H$15:$H$16,Q9)*TREND($L$29:$L$30,$I$29:$I$30,Q9)),0)</f>
        <v>0.61010989010988936</v>
      </c>
      <c r="V9" s="45" cm="1">
        <f t="array" ref="V9">IF(R9="Yes",(TREND($I$15:$I$16,$H$15:$H$16,Q9)*TREND($M$29:$M$30,$I$29:$I$30,Q9)),0)</f>
        <v>0.20336996336996313</v>
      </c>
      <c r="W9" s="45" cm="1">
        <f t="array" ref="W9">IF(R9="Yes",(TREND($I$15:$I$16,$H$15:$H$16,Q9)*TREND($N$29:$N$30,$I$29:$I$30,Q9)),0)</f>
        <v>0.81347985347985252</v>
      </c>
      <c r="X9" s="59">
        <f>IF(Q9&lt;=Assumptions!$D$15,SUMPRODUCT($I$6:$M$6,S9:W9),0)</f>
        <v>411071.7069597065</v>
      </c>
      <c r="AA9" s="496"/>
      <c r="AB9" s="44">
        <f t="shared" ref="AB9:AB47" si="5">AB8+1</f>
        <v>2021</v>
      </c>
      <c r="AC9" s="21" t="str">
        <f>IF(AB9&gt;=(Assumptions!$D$45+Assumptions!$D$46),"Yes",IF(OR(AB9=Assumptions!$D$45,AB9=Assumptions!$D$45+Assumptions!$D$46-1),"Construction","No"))</f>
        <v>No</v>
      </c>
      <c r="AD9" s="45" cm="1">
        <f t="array" ref="AD9">IF(AC9="no",(TREND($I$15:$I$16,$H$15:$H$16,AB9)*TREND($J$29:$J$30,$I$29:$I$30,AB9)),IF(AC9="yes",(TREND($I$15:$I$16,$H$15:$H$16,AB9)*TREND($J$34:$J$35,$I$34:$I$35,AB9)),IF(AC9="Construction",0,0)))</f>
        <v>0</v>
      </c>
      <c r="AE9" s="45" cm="1">
        <f t="array" ref="AE9">IF(AC9="no",(TREND($I$15:$I$16,$H$15:$H$16,AB9)*TREND($K$29:$K$30,$I$29:$I$30,AB9)),IF(AC9="yes",(TREND($I$15:$I$16,$H$15:$H$16,AB9)*TREND($K$34:$K$35,$I$34:$I$35,AB9)),IF(AC9="Construction",0,0)))</f>
        <v>0.20336996336996313</v>
      </c>
      <c r="AF9" s="45" cm="1">
        <f t="array" ref="AF9">IF(AC9="no",(TREND($I$15:$I$16,$H$15:$H$16,AB9)*TREND($L$29:$L$30,$I$29:$I$30,AB9)),IF(AC9="yes",(TREND($I$15:$I$16,$H$15:$H$16,AB9)*TREND($L$34:$L$35,$I$34:$I$35,AB9)),IF(AC9="Construction",0,0)))</f>
        <v>0.61010989010988936</v>
      </c>
      <c r="AG9" s="45" cm="1">
        <f t="array" ref="AG9">IF(AC9="no",(TREND($I$15:$I$16,$H$15:$H$16,AB9)*TREND($M$29:$M$30,$I$29:$I$30,AB9)),IF(AC9="yes",(TREND($I$15:$I$16,$H$15:$H$16,AB9)*TREND($M$34:$M$35,$I$34:$I$35,AB9)),IF(AC9="Construction",0,0)))</f>
        <v>0.20336996336996313</v>
      </c>
      <c r="AH9" s="45" cm="1">
        <f t="array" ref="AH9">IF(AC9="no",(TREND($I$15:$I$16,$H$15:$H$16,AB9)*TREND($N$29:$N$30,$I$29:$I$30,AB9)),IF(AC9="yes",(TREND($I$15:$I$16,$H$15:$H$16,AB9)*TREND($N$34:$N$35,$I$34:$I$35,AB9)),IF(AC9="Construction",0,0)))</f>
        <v>0.81347985347985252</v>
      </c>
      <c r="AI9" s="59">
        <f>IF(AB9&lt;=Assumptions!$D$15,SUMPRODUCT($I$6:$M$6,AD9:AH9),0)</f>
        <v>411071.7069597065</v>
      </c>
      <c r="AJ9" s="212"/>
    </row>
    <row r="10" spans="1:36" x14ac:dyDescent="0.25">
      <c r="B10" s="61">
        <f t="shared" si="2"/>
        <v>2033</v>
      </c>
      <c r="C10" s="98">
        <f t="shared" si="0"/>
        <v>451941.94871794898</v>
      </c>
      <c r="D10" s="98">
        <f t="shared" si="1"/>
        <v>131063.16512820519</v>
      </c>
      <c r="E10" s="99">
        <f t="shared" si="3"/>
        <v>320878.78358974378</v>
      </c>
      <c r="F10" s="100">
        <f>E10*(1+Assumptions!$D$24)^-(B10-Assumptions!$D$10)</f>
        <v>229348.38404485458</v>
      </c>
      <c r="H10" s="21" t="s">
        <v>211</v>
      </c>
      <c r="I10" s="57">
        <v>0</v>
      </c>
      <c r="J10" s="57">
        <v>1</v>
      </c>
      <c r="K10" s="57">
        <v>3</v>
      </c>
      <c r="L10" s="57">
        <v>1</v>
      </c>
      <c r="M10" s="57">
        <v>4</v>
      </c>
      <c r="P10" s="496"/>
      <c r="Q10" s="44">
        <f t="shared" si="4"/>
        <v>2022</v>
      </c>
      <c r="R10" s="21" t="s">
        <v>752</v>
      </c>
      <c r="S10" s="45" cm="1">
        <f t="array" ref="S10">IF(R10="Yes",(TREND($I$15:$I$16,$H$15:$H$16,Q10)*TREND($J$29:$J$30,$I$29:$I$30,Q10)),0)</f>
        <v>0</v>
      </c>
      <c r="T10" s="45" cm="1">
        <f t="array" ref="T10">IF(R10="Yes",(TREND($I$15:$I$16,$H$15:$H$16,Q10)*TREND($K$29:$K$30,$I$29:$I$30,Q10)),0)</f>
        <v>0.20505494505494493</v>
      </c>
      <c r="U10" s="45" cm="1">
        <f t="array" ref="U10">IF(R10="Yes",(TREND($I$15:$I$16,$H$15:$H$16,Q10)*TREND($L$29:$L$30,$I$29:$I$30,Q10)),0)</f>
        <v>0.61516483516483478</v>
      </c>
      <c r="V10" s="45" cm="1">
        <f t="array" ref="V10">IF(R10="Yes",(TREND($I$15:$I$16,$H$15:$H$16,Q10)*TREND($M$29:$M$30,$I$29:$I$30,Q10)),0)</f>
        <v>0.20505494505494493</v>
      </c>
      <c r="W10" s="45" cm="1">
        <f t="array" ref="W10">IF(R10="Yes",(TREND($I$15:$I$16,$H$15:$H$16,Q10)*TREND($N$29:$N$30,$I$29:$I$30,Q10)),0)</f>
        <v>0.8202197802197797</v>
      </c>
      <c r="X10" s="59">
        <f>IF(Q10&lt;=Assumptions!$D$15,SUMPRODUCT($I$6:$M$6,S10:W10),0)</f>
        <v>414477.56043956015</v>
      </c>
      <c r="AA10" s="496"/>
      <c r="AB10" s="44">
        <f t="shared" si="5"/>
        <v>2022</v>
      </c>
      <c r="AC10" s="21" t="str">
        <f>IF(AB10&gt;=(Assumptions!$D$45+Assumptions!$D$46),"Yes",IF(OR(AB10=Assumptions!$D$45,AB10=Assumptions!$D$45+Assumptions!$D$46-1),"Construction","No"))</f>
        <v>No</v>
      </c>
      <c r="AD10" s="45" cm="1">
        <f t="array" ref="AD10">IF(AC10="no",(TREND($I$15:$I$16,$H$15:$H$16,AB10)*TREND($J$29:$J$30,$I$29:$I$30,AB10)),IF(AC10="yes",(TREND($I$15:$I$16,$H$15:$H$16,AB10)*TREND($J$34:$J$35,$I$34:$I$35,AB10)),IF(AC10="Construction",0,0)))</f>
        <v>0</v>
      </c>
      <c r="AE10" s="45" cm="1">
        <f t="array" ref="AE10">IF(AC10="no",(TREND($I$15:$I$16,$H$15:$H$16,AB10)*TREND($K$29:$K$30,$I$29:$I$30,AB10)),IF(AC10="yes",(TREND($I$15:$I$16,$H$15:$H$16,AB10)*TREND($K$34:$K$35,$I$34:$I$35,AB10)),IF(AC10="Construction",0,0)))</f>
        <v>0.20505494505494493</v>
      </c>
      <c r="AF10" s="45" cm="1">
        <f t="array" ref="AF10">IF(AC10="no",(TREND($I$15:$I$16,$H$15:$H$16,AB10)*TREND($L$29:$L$30,$I$29:$I$30,AB10)),IF(AC10="yes",(TREND($I$15:$I$16,$H$15:$H$16,AB10)*TREND($L$34:$L$35,$I$34:$I$35,AB10)),IF(AC10="Construction",0,0)))</f>
        <v>0.61516483516483478</v>
      </c>
      <c r="AG10" s="45" cm="1">
        <f t="array" ref="AG10">IF(AC10="no",(TREND($I$15:$I$16,$H$15:$H$16,AB10)*TREND($M$29:$M$30,$I$29:$I$30,AB10)),IF(AC10="yes",(TREND($I$15:$I$16,$H$15:$H$16,AB10)*TREND($M$34:$M$35,$I$34:$I$35,AB10)),IF(AC10="Construction",0,0)))</f>
        <v>0.20505494505494493</v>
      </c>
      <c r="AH10" s="45" cm="1">
        <f t="array" ref="AH10">IF(AC10="no",(TREND($I$15:$I$16,$H$15:$H$16,AB10)*TREND($N$29:$N$30,$I$29:$I$30,AB10)),IF(AC10="yes",(TREND($I$15:$I$16,$H$15:$H$16,AB10)*TREND($N$34:$N$35,$I$34:$I$35,AB10)),IF(AC10="Construction",0,0)))</f>
        <v>0.8202197802197797</v>
      </c>
      <c r="AI10" s="59">
        <f>IF(AB10&lt;=Assumptions!$D$15,SUMPRODUCT($I$6:$M$6,AD10:AH10),0)</f>
        <v>414477.56043956015</v>
      </c>
      <c r="AJ10" s="212"/>
    </row>
    <row r="11" spans="1:36" x14ac:dyDescent="0.25">
      <c r="B11" s="61">
        <f t="shared" si="2"/>
        <v>2034</v>
      </c>
      <c r="C11" s="98">
        <f t="shared" si="0"/>
        <v>455347.80219780171</v>
      </c>
      <c r="D11" s="98">
        <f t="shared" si="1"/>
        <v>132050.8626373625</v>
      </c>
      <c r="E11" s="99">
        <f t="shared" si="3"/>
        <v>323296.9395604392</v>
      </c>
      <c r="F11" s="100">
        <f>E11*(1+Assumptions!$D$24)^-(B11-Assumptions!$D$10)</f>
        <v>224128.77117926412</v>
      </c>
      <c r="H11" s="21" t="s">
        <v>212</v>
      </c>
      <c r="I11" s="246">
        <f>'Network Crash Calcs'!D30</f>
        <v>5</v>
      </c>
      <c r="J11" s="246"/>
      <c r="K11" s="246"/>
      <c r="L11" s="246"/>
      <c r="M11" s="247"/>
      <c r="P11" s="496"/>
      <c r="Q11" s="44">
        <f t="shared" si="4"/>
        <v>2023</v>
      </c>
      <c r="R11" s="21" t="s">
        <v>752</v>
      </c>
      <c r="S11" s="45" cm="1">
        <f t="array" ref="S11">IF(R11="Yes",(TREND($I$15:$I$16,$H$15:$H$16,Q11)*TREND($J$29:$J$30,$I$29:$I$30,Q11)),0)</f>
        <v>0</v>
      </c>
      <c r="T11" s="45" cm="1">
        <f t="array" ref="T11">IF(R11="Yes",(TREND($I$15:$I$16,$H$15:$H$16,Q11)*TREND($K$29:$K$30,$I$29:$I$30,Q11)),0)</f>
        <v>0.20673992673992669</v>
      </c>
      <c r="U11" s="45" cm="1">
        <f t="array" ref="U11">IF(R11="Yes",(TREND($I$15:$I$16,$H$15:$H$16,Q11)*TREND($L$29:$L$30,$I$29:$I$30,Q11)),0)</f>
        <v>0.62021978021978008</v>
      </c>
      <c r="V11" s="45" cm="1">
        <f t="array" ref="V11">IF(R11="Yes",(TREND($I$15:$I$16,$H$15:$H$16,Q11)*TREND($M$29:$M$30,$I$29:$I$30,Q11)),0)</f>
        <v>0.20673992673992669</v>
      </c>
      <c r="W11" s="45" cm="1">
        <f t="array" ref="W11">IF(R11="Yes",(TREND($I$15:$I$16,$H$15:$H$16,Q11)*TREND($N$29:$N$30,$I$29:$I$30,Q11)),0)</f>
        <v>0.82695970695970678</v>
      </c>
      <c r="X11" s="59">
        <f>IF(Q11&lt;=Assumptions!$D$15,SUMPRODUCT($I$6:$M$6,S11:W11),0)</f>
        <v>417883.41391941381</v>
      </c>
      <c r="AA11" s="496"/>
      <c r="AB11" s="44">
        <f t="shared" si="5"/>
        <v>2023</v>
      </c>
      <c r="AC11" s="21" t="str">
        <f>IF(AB11&gt;=(Assumptions!$D$45+Assumptions!$D$46),"Yes",IF(OR(AB11=Assumptions!$D$45,AB11=Assumptions!$D$45+Assumptions!$D$46-1),"Construction","No"))</f>
        <v>No</v>
      </c>
      <c r="AD11" s="45" cm="1">
        <f t="array" ref="AD11">IF(AC11="no",(TREND($I$15:$I$16,$H$15:$H$16,AB11)*TREND($J$29:$J$30,$I$29:$I$30,AB11)),IF(AC11="yes",(TREND($I$15:$I$16,$H$15:$H$16,AB11)*TREND($J$34:$J$35,$I$34:$I$35,AB11)),IF(AC11="Construction",0,0)))</f>
        <v>0</v>
      </c>
      <c r="AE11" s="45" cm="1">
        <f t="array" ref="AE11">IF(AC11="no",(TREND($I$15:$I$16,$H$15:$H$16,AB11)*TREND($K$29:$K$30,$I$29:$I$30,AB11)),IF(AC11="yes",(TREND($I$15:$I$16,$H$15:$H$16,AB11)*TREND($K$34:$K$35,$I$34:$I$35,AB11)),IF(AC11="Construction",0,0)))</f>
        <v>0.20673992673992669</v>
      </c>
      <c r="AF11" s="45" cm="1">
        <f t="array" ref="AF11">IF(AC11="no",(TREND($I$15:$I$16,$H$15:$H$16,AB11)*TREND($L$29:$L$30,$I$29:$I$30,AB11)),IF(AC11="yes",(TREND($I$15:$I$16,$H$15:$H$16,AB11)*TREND($L$34:$L$35,$I$34:$I$35,AB11)),IF(AC11="Construction",0,0)))</f>
        <v>0.62021978021978008</v>
      </c>
      <c r="AG11" s="45" cm="1">
        <f t="array" ref="AG11">IF(AC11="no",(TREND($I$15:$I$16,$H$15:$H$16,AB11)*TREND($M$29:$M$30,$I$29:$I$30,AB11)),IF(AC11="yes",(TREND($I$15:$I$16,$H$15:$H$16,AB11)*TREND($M$34:$M$35,$I$34:$I$35,AB11)),IF(AC11="Construction",0,0)))</f>
        <v>0.20673992673992669</v>
      </c>
      <c r="AH11" s="45" cm="1">
        <f t="array" ref="AH11">IF(AC11="no",(TREND($I$15:$I$16,$H$15:$H$16,AB11)*TREND($N$29:$N$30,$I$29:$I$30,AB11)),IF(AC11="yes",(TREND($I$15:$I$16,$H$15:$H$16,AB11)*TREND($N$34:$N$35,$I$34:$I$35,AB11)),IF(AC11="Construction",0,0)))</f>
        <v>0.82695970695970678</v>
      </c>
      <c r="AI11" s="59">
        <f>IF(AB11&lt;=Assumptions!$D$15,SUMPRODUCT($I$6:$M$6,AD11:AH11),0)</f>
        <v>417883.41391941381</v>
      </c>
      <c r="AJ11" s="212"/>
    </row>
    <row r="12" spans="1:36" x14ac:dyDescent="0.25">
      <c r="B12" s="61">
        <f t="shared" si="2"/>
        <v>2035</v>
      </c>
      <c r="C12" s="98">
        <f t="shared" si="0"/>
        <v>458753.65567765548</v>
      </c>
      <c r="D12" s="98">
        <f t="shared" si="1"/>
        <v>133038.56014652006</v>
      </c>
      <c r="E12" s="99">
        <f t="shared" si="3"/>
        <v>325715.09553113545</v>
      </c>
      <c r="F12" s="100">
        <f>E12*(1+Assumptions!$D$24)^-(B12-Assumptions!$D$10)</f>
        <v>219015.69495662459</v>
      </c>
      <c r="G12" s="3"/>
      <c r="P12" s="496"/>
      <c r="Q12" s="44">
        <f t="shared" si="4"/>
        <v>2024</v>
      </c>
      <c r="R12" s="21" t="s">
        <v>752</v>
      </c>
      <c r="S12" s="45" cm="1">
        <f t="array" ref="S12">IF(R12="Yes",(TREND($I$15:$I$16,$H$15:$H$16,Q12)*TREND($J$29:$J$30,$I$29:$I$30,Q12)),0)</f>
        <v>0</v>
      </c>
      <c r="T12" s="45" cm="1">
        <f t="array" ref="T12">IF(R12="Yes",(TREND($I$15:$I$16,$H$15:$H$16,Q12)*TREND($K$29:$K$30,$I$29:$I$30,Q12)),0)</f>
        <v>0.20842490842490849</v>
      </c>
      <c r="U12" s="45" cm="1">
        <f t="array" ref="U12">IF(R12="Yes",(TREND($I$15:$I$16,$H$15:$H$16,Q12)*TREND($L$29:$L$30,$I$29:$I$30,Q12)),0)</f>
        <v>0.6252747252747255</v>
      </c>
      <c r="V12" s="45" cm="1">
        <f t="array" ref="V12">IF(R12="Yes",(TREND($I$15:$I$16,$H$15:$H$16,Q12)*TREND($M$29:$M$30,$I$29:$I$30,Q12)),0)</f>
        <v>0.20842490842490849</v>
      </c>
      <c r="W12" s="45" cm="1">
        <f t="array" ref="W12">IF(R12="Yes",(TREND($I$15:$I$16,$H$15:$H$16,Q12)*TREND($N$29:$N$30,$I$29:$I$30,Q12)),0)</f>
        <v>0.83369963369963396</v>
      </c>
      <c r="X12" s="59">
        <f>IF(Q12&lt;=Assumptions!$D$15,SUMPRODUCT($I$6:$M$6,S12:W12),0)</f>
        <v>421289.26739926753</v>
      </c>
      <c r="AA12" s="496"/>
      <c r="AB12" s="44">
        <f t="shared" si="5"/>
        <v>2024</v>
      </c>
      <c r="AC12" s="21" t="str">
        <f>IF(AB12&gt;=(Assumptions!$D$45+Assumptions!$D$46),"Yes",IF(OR(AB12=Assumptions!$D$45,AB12=Assumptions!$D$45+Assumptions!$D$46-1),"Construction","No"))</f>
        <v>No</v>
      </c>
      <c r="AD12" s="45" cm="1">
        <f t="array" ref="AD12">IF(AC12="no",(TREND($I$15:$I$16,$H$15:$H$16,AB12)*TREND($J$29:$J$30,$I$29:$I$30,AB12)),IF(AC12="yes",(TREND($I$15:$I$16,$H$15:$H$16,AB12)*TREND($J$34:$J$35,$I$34:$I$35,AB12)),IF(AC12="Construction",0,0)))</f>
        <v>0</v>
      </c>
      <c r="AE12" s="45" cm="1">
        <f t="array" ref="AE12">IF(AC12="no",(TREND($I$15:$I$16,$H$15:$H$16,AB12)*TREND($K$29:$K$30,$I$29:$I$30,AB12)),IF(AC12="yes",(TREND($I$15:$I$16,$H$15:$H$16,AB12)*TREND($K$34:$K$35,$I$34:$I$35,AB12)),IF(AC12="Construction",0,0)))</f>
        <v>0.20842490842490849</v>
      </c>
      <c r="AF12" s="45" cm="1">
        <f t="array" ref="AF12">IF(AC12="no",(TREND($I$15:$I$16,$H$15:$H$16,AB12)*TREND($L$29:$L$30,$I$29:$I$30,AB12)),IF(AC12="yes",(TREND($I$15:$I$16,$H$15:$H$16,AB12)*TREND($L$34:$L$35,$I$34:$I$35,AB12)),IF(AC12="Construction",0,0)))</f>
        <v>0.6252747252747255</v>
      </c>
      <c r="AG12" s="45" cm="1">
        <f t="array" ref="AG12">IF(AC12="no",(TREND($I$15:$I$16,$H$15:$H$16,AB12)*TREND($M$29:$M$30,$I$29:$I$30,AB12)),IF(AC12="yes",(TREND($I$15:$I$16,$H$15:$H$16,AB12)*TREND($M$34:$M$35,$I$34:$I$35,AB12)),IF(AC12="Construction",0,0)))</f>
        <v>0.20842490842490849</v>
      </c>
      <c r="AH12" s="45" cm="1">
        <f t="array" ref="AH12">IF(AC12="no",(TREND($I$15:$I$16,$H$15:$H$16,AB12)*TREND($N$29:$N$30,$I$29:$I$30,AB12)),IF(AC12="yes",(TREND($I$15:$I$16,$H$15:$H$16,AB12)*TREND($N$34:$N$35,$I$34:$I$35,AB12)),IF(AC12="Construction",0,0)))</f>
        <v>0.83369963369963396</v>
      </c>
      <c r="AI12" s="59">
        <f>IF(AB12&lt;=Assumptions!$D$15,SUMPRODUCT($I$6:$M$6,AD12:AH12),0)</f>
        <v>421289.26739926753</v>
      </c>
      <c r="AJ12" s="212"/>
    </row>
    <row r="13" spans="1:36" x14ac:dyDescent="0.25">
      <c r="B13" s="61">
        <f t="shared" si="2"/>
        <v>2036</v>
      </c>
      <c r="C13" s="98">
        <f t="shared" si="0"/>
        <v>462159.50915750914</v>
      </c>
      <c r="D13" s="98">
        <f t="shared" si="1"/>
        <v>134026.25765567765</v>
      </c>
      <c r="E13" s="99">
        <f t="shared" si="3"/>
        <v>328133.25150183146</v>
      </c>
      <c r="F13" s="100">
        <f>E13*(1+Assumptions!$D$24)^-(B13-Assumptions!$D$10)</f>
        <v>214007.4676505494</v>
      </c>
      <c r="H13" s="1" t="s">
        <v>794</v>
      </c>
      <c r="P13" s="496"/>
      <c r="Q13" s="44">
        <f t="shared" si="4"/>
        <v>2025</v>
      </c>
      <c r="R13" s="21" t="s">
        <v>752</v>
      </c>
      <c r="S13" s="45" cm="1">
        <f t="array" ref="S13">IF(R13="Yes",(TREND($I$15:$I$16,$H$15:$H$16,Q13)*TREND($J$29:$J$30,$I$29:$I$30,Q13)),0)</f>
        <v>0</v>
      </c>
      <c r="T13" s="45" cm="1">
        <f t="array" ref="T13">IF(R13="Yes",(TREND($I$15:$I$16,$H$15:$H$16,Q13)*TREND($K$29:$K$30,$I$29:$I$30,Q13)),0)</f>
        <v>0.21010989010989028</v>
      </c>
      <c r="U13" s="45" cm="1">
        <f t="array" ref="U13">IF(R13="Yes",(TREND($I$15:$I$16,$H$15:$H$16,Q13)*TREND($L$29:$L$30,$I$29:$I$30,Q13)),0)</f>
        <v>0.63032967032967091</v>
      </c>
      <c r="V13" s="45" cm="1">
        <f t="array" ref="V13">IF(R13="Yes",(TREND($I$15:$I$16,$H$15:$H$16,Q13)*TREND($M$29:$M$30,$I$29:$I$30,Q13)),0)</f>
        <v>0.21010989010989028</v>
      </c>
      <c r="W13" s="45" cm="1">
        <f t="array" ref="W13">IF(R13="Yes",(TREND($I$15:$I$16,$H$15:$H$16,Q13)*TREND($N$29:$N$30,$I$29:$I$30,Q13)),0)</f>
        <v>0.84043956043956114</v>
      </c>
      <c r="X13" s="59">
        <f>IF(Q13&lt;=Assumptions!$D$15,SUMPRODUCT($I$6:$M$6,S13:W13),0)</f>
        <v>424695.1208791213</v>
      </c>
      <c r="AA13" s="496"/>
      <c r="AB13" s="44">
        <f t="shared" si="5"/>
        <v>2025</v>
      </c>
      <c r="AC13" s="21" t="str">
        <f>IF(AB13&gt;=(Assumptions!$D$45+Assumptions!$D$46),"Yes",IF(OR(AB13=Assumptions!$D$45,AB13=Assumptions!$D$45+Assumptions!$D$46-1),"Construction","No"))</f>
        <v>No</v>
      </c>
      <c r="AD13" s="45" cm="1">
        <f t="array" ref="AD13">IF(AC13="no",(TREND($I$15:$I$16,$H$15:$H$16,AB13)*TREND($J$29:$J$30,$I$29:$I$30,AB13)),IF(AC13="yes",(TREND($I$15:$I$16,$H$15:$H$16,AB13)*TREND($J$34:$J$35,$I$34:$I$35,AB13)),IF(AC13="Construction",0,0)))</f>
        <v>0</v>
      </c>
      <c r="AE13" s="45" cm="1">
        <f t="array" ref="AE13">IF(AC13="no",(TREND($I$15:$I$16,$H$15:$H$16,AB13)*TREND($K$29:$K$30,$I$29:$I$30,AB13)),IF(AC13="yes",(TREND($I$15:$I$16,$H$15:$H$16,AB13)*TREND($K$34:$K$35,$I$34:$I$35,AB13)),IF(AC13="Construction",0,0)))</f>
        <v>0.21010989010989028</v>
      </c>
      <c r="AF13" s="45" cm="1">
        <f t="array" ref="AF13">IF(AC13="no",(TREND($I$15:$I$16,$H$15:$H$16,AB13)*TREND($L$29:$L$30,$I$29:$I$30,AB13)),IF(AC13="yes",(TREND($I$15:$I$16,$H$15:$H$16,AB13)*TREND($L$34:$L$35,$I$34:$I$35,AB13)),IF(AC13="Construction",0,0)))</f>
        <v>0.63032967032967091</v>
      </c>
      <c r="AG13" s="45" cm="1">
        <f t="array" ref="AG13">IF(AC13="no",(TREND($I$15:$I$16,$H$15:$H$16,AB13)*TREND($M$29:$M$30,$I$29:$I$30,AB13)),IF(AC13="yes",(TREND($I$15:$I$16,$H$15:$H$16,AB13)*TREND($M$34:$M$35,$I$34:$I$35,AB13)),IF(AC13="Construction",0,0)))</f>
        <v>0.21010989010989028</v>
      </c>
      <c r="AH13" s="45" cm="1">
        <f t="array" ref="AH13">IF(AC13="no",(TREND($I$15:$I$16,$H$15:$H$16,AB13)*TREND($N$29:$N$30,$I$29:$I$30,AB13)),IF(AC13="yes",(TREND($I$15:$I$16,$H$15:$H$16,AB13)*TREND($N$34:$N$35,$I$34:$I$35,AB13)),IF(AC13="Construction",0,0)))</f>
        <v>0.84043956043956114</v>
      </c>
      <c r="AI13" s="59">
        <f>IF(AB13&lt;=Assumptions!$D$15,SUMPRODUCT($I$6:$M$6,AD13:AH13),0)</f>
        <v>424695.1208791213</v>
      </c>
      <c r="AJ13" s="212"/>
    </row>
    <row r="14" spans="1:36" ht="15" customHeight="1" x14ac:dyDescent="0.25">
      <c r="B14" s="61">
        <f t="shared" si="2"/>
        <v>2037</v>
      </c>
      <c r="C14" s="98">
        <f t="shared" si="0"/>
        <v>465565.36263736291</v>
      </c>
      <c r="D14" s="98">
        <f t="shared" si="1"/>
        <v>135013.95516483521</v>
      </c>
      <c r="E14" s="99">
        <f t="shared" si="3"/>
        <v>330551.4074725277</v>
      </c>
      <c r="F14" s="100">
        <f>E14*(1+Assumptions!$D$24)^-(B14-Assumptions!$D$10)</f>
        <v>209102.40670994367</v>
      </c>
      <c r="H14" s="21" t="s">
        <v>22</v>
      </c>
      <c r="I14" s="21" t="s">
        <v>256</v>
      </c>
      <c r="P14" s="496"/>
      <c r="Q14" s="44">
        <f t="shared" si="4"/>
        <v>2026</v>
      </c>
      <c r="R14" s="21" t="s">
        <v>752</v>
      </c>
      <c r="S14" s="45" cm="1">
        <f t="array" ref="S14">IF(R14="Yes",(TREND($I$15:$I$16,$H$15:$H$16,Q14)*TREND($J$29:$J$30,$I$29:$I$30,Q14)),0)</f>
        <v>0</v>
      </c>
      <c r="T14" s="45" cm="1">
        <f t="array" ref="T14">IF(R14="Yes",(TREND($I$15:$I$16,$H$15:$H$16,Q14)*TREND($K$29:$K$30,$I$29:$I$30,Q14)),0)</f>
        <v>0.21179487179487164</v>
      </c>
      <c r="U14" s="45" cm="1">
        <f t="array" ref="U14">IF(R14="Yes",(TREND($I$15:$I$16,$H$15:$H$16,Q14)*TREND($L$29:$L$30,$I$29:$I$30,Q14)),0)</f>
        <v>0.63538461538461488</v>
      </c>
      <c r="V14" s="45" cm="1">
        <f t="array" ref="V14">IF(R14="Yes",(TREND($I$15:$I$16,$H$15:$H$16,Q14)*TREND($M$29:$M$30,$I$29:$I$30,Q14)),0)</f>
        <v>0.21179487179487164</v>
      </c>
      <c r="W14" s="45" cm="1">
        <f t="array" ref="W14">IF(R14="Yes",(TREND($I$15:$I$16,$H$15:$H$16,Q14)*TREND($N$29:$N$30,$I$29:$I$30,Q14)),0)</f>
        <v>0.84717948717948655</v>
      </c>
      <c r="X14" s="59">
        <f>IF(Q14&lt;=Assumptions!$D$15,SUMPRODUCT($I$6:$M$6,S14:W14),0)</f>
        <v>428100.97435897402</v>
      </c>
      <c r="AA14" s="496"/>
      <c r="AB14" s="44">
        <f t="shared" si="5"/>
        <v>2026</v>
      </c>
      <c r="AC14" s="21" t="str">
        <f>IF(AB14&gt;=(Assumptions!$D$45+Assumptions!$D$46),"Yes",IF(OR(AB14=Assumptions!$D$45,AB14=Assumptions!$D$45+Assumptions!$D$46-1),"Construction","No"))</f>
        <v>No</v>
      </c>
      <c r="AD14" s="45" cm="1">
        <f t="array" ref="AD14">IF(AC14="no",(TREND($I$15:$I$16,$H$15:$H$16,AB14)*TREND($J$29:$J$30,$I$29:$I$30,AB14)),IF(AC14="yes",(TREND($I$15:$I$16,$H$15:$H$16,AB14)*TREND($J$34:$J$35,$I$34:$I$35,AB14)),IF(AC14="Construction",0,0)))</f>
        <v>0</v>
      </c>
      <c r="AE14" s="45" cm="1">
        <f t="array" ref="AE14">IF(AC14="no",(TREND($I$15:$I$16,$H$15:$H$16,AB14)*TREND($K$29:$K$30,$I$29:$I$30,AB14)),IF(AC14="yes",(TREND($I$15:$I$16,$H$15:$H$16,AB14)*TREND($K$34:$K$35,$I$34:$I$35,AB14)),IF(AC14="Construction",0,0)))</f>
        <v>0.21179487179487164</v>
      </c>
      <c r="AF14" s="45" cm="1">
        <f t="array" ref="AF14">IF(AC14="no",(TREND($I$15:$I$16,$H$15:$H$16,AB14)*TREND($L$29:$L$30,$I$29:$I$30,AB14)),IF(AC14="yes",(TREND($I$15:$I$16,$H$15:$H$16,AB14)*TREND($L$34:$L$35,$I$34:$I$35,AB14)),IF(AC14="Construction",0,0)))</f>
        <v>0.63538461538461488</v>
      </c>
      <c r="AG14" s="45" cm="1">
        <f t="array" ref="AG14">IF(AC14="no",(TREND($I$15:$I$16,$H$15:$H$16,AB14)*TREND($M$29:$M$30,$I$29:$I$30,AB14)),IF(AC14="yes",(TREND($I$15:$I$16,$H$15:$H$16,AB14)*TREND($M$34:$M$35,$I$34:$I$35,AB14)),IF(AC14="Construction",0,0)))</f>
        <v>0.21179487179487164</v>
      </c>
      <c r="AH14" s="45" cm="1">
        <f t="array" ref="AH14">IF(AC14="no",(TREND($I$15:$I$16,$H$15:$H$16,AB14)*TREND($N$29:$N$30,$I$29:$I$30,AB14)),IF(AC14="yes",(TREND($I$15:$I$16,$H$15:$H$16,AB14)*TREND($N$34:$N$35,$I$34:$I$35,AB14)),IF(AC14="Construction",0,0)))</f>
        <v>0.84717948717948655</v>
      </c>
      <c r="AI14" s="59">
        <f>IF(AB14&lt;=Assumptions!$D$15,SUMPRODUCT($I$6:$M$6,AD14:AH14),0)</f>
        <v>428100.97435897402</v>
      </c>
      <c r="AJ14" s="212"/>
    </row>
    <row r="15" spans="1:36" x14ac:dyDescent="0.25">
      <c r="B15" s="61">
        <f t="shared" si="2"/>
        <v>2038</v>
      </c>
      <c r="C15" s="98">
        <f t="shared" si="0"/>
        <v>468971.21611721563</v>
      </c>
      <c r="D15" s="98">
        <f t="shared" si="1"/>
        <v>136001.65267399253</v>
      </c>
      <c r="E15" s="99">
        <f t="shared" si="3"/>
        <v>332969.56344322313</v>
      </c>
      <c r="F15" s="100">
        <f>E15*(1+Assumptions!$D$24)^-(B15-Assumptions!$D$10)</f>
        <v>204298.83597361884</v>
      </c>
      <c r="H15" s="21">
        <f>'Traffic Volume and Route Data'!C11</f>
        <v>2019</v>
      </c>
      <c r="I15" s="37">
        <v>6500</v>
      </c>
      <c r="P15" s="496"/>
      <c r="Q15" s="44">
        <f t="shared" si="4"/>
        <v>2027</v>
      </c>
      <c r="R15" s="21" t="s">
        <v>752</v>
      </c>
      <c r="S15" s="45" cm="1">
        <f t="array" ref="S15">IF(R15="Yes",(TREND($I$15:$I$16,$H$15:$H$16,Q15)*TREND($J$29:$J$30,$I$29:$I$30,Q15)),0)</f>
        <v>0</v>
      </c>
      <c r="T15" s="45" cm="1">
        <f t="array" ref="T15">IF(R15="Yes",(TREND($I$15:$I$16,$H$15:$H$16,Q15)*TREND($K$29:$K$30,$I$29:$I$30,Q15)),0)</f>
        <v>0.21347985347985343</v>
      </c>
      <c r="U15" s="45" cm="1">
        <f t="array" ref="U15">IF(R15="Yes",(TREND($I$15:$I$16,$H$15:$H$16,Q15)*TREND($L$29:$L$30,$I$29:$I$30,Q15)),0)</f>
        <v>0.6404395604395603</v>
      </c>
      <c r="V15" s="45" cm="1">
        <f t="array" ref="V15">IF(R15="Yes",(TREND($I$15:$I$16,$H$15:$H$16,Q15)*TREND($M$29:$M$30,$I$29:$I$30,Q15)),0)</f>
        <v>0.21347985347985343</v>
      </c>
      <c r="W15" s="45" cm="1">
        <f t="array" ref="W15">IF(R15="Yes",(TREND($I$15:$I$16,$H$15:$H$16,Q15)*TREND($N$29:$N$30,$I$29:$I$30,Q15)),0)</f>
        <v>0.85391941391941373</v>
      </c>
      <c r="X15" s="59">
        <f>IF(Q15&lt;=Assumptions!$D$15,SUMPRODUCT($I$6:$M$6,S15:W15),0)</f>
        <v>431506.82783882768</v>
      </c>
      <c r="AA15" s="496"/>
      <c r="AB15" s="44">
        <f t="shared" si="5"/>
        <v>2027</v>
      </c>
      <c r="AC15" s="21" t="str">
        <f>IF(AB15&gt;=(Assumptions!$D$45+Assumptions!$D$46),"Yes",IF(OR(AB15=Assumptions!$D$45,AB15=Assumptions!$D$45+Assumptions!$D$46-1),"Construction","No"))</f>
        <v>Construction</v>
      </c>
      <c r="AD15" s="45" cm="1">
        <f t="array" ref="AD15">IF(AC15="no",(TREND($I$15:$I$16,$H$15:$H$16,AB15)*TREND($J$29:$J$30,$I$29:$I$30,AB15)),IF(AC15="yes",(TREND($I$15:$I$16,$H$15:$H$16,AB15)*TREND($J$34:$J$35,$I$34:$I$35,AB15)),IF(AC15="Construction",0,0)))</f>
        <v>0</v>
      </c>
      <c r="AE15" s="45" cm="1">
        <f t="array" ref="AE15">IF(AC15="no",(TREND($I$15:$I$16,$H$15:$H$16,AB15)*TREND($K$29:$K$30,$I$29:$I$30,AB15)),IF(AC15="yes",(TREND($I$15:$I$16,$H$15:$H$16,AB15)*TREND($K$34:$K$35,$I$34:$I$35,AB15)),IF(AC15="Construction",0,0)))</f>
        <v>0</v>
      </c>
      <c r="AF15" s="45" cm="1">
        <f t="array" ref="AF15">IF(AC15="no",(TREND($I$15:$I$16,$H$15:$H$16,AB15)*TREND($L$29:$L$30,$I$29:$I$30,AB15)),IF(AC15="yes",(TREND($I$15:$I$16,$H$15:$H$16,AB15)*TREND($L$34:$L$35,$I$34:$I$35,AB15)),IF(AC15="Construction",0,0)))</f>
        <v>0</v>
      </c>
      <c r="AG15" s="45" cm="1">
        <f t="array" ref="AG15">IF(AC15="no",(TREND($I$15:$I$16,$H$15:$H$16,AB15)*TREND($M$29:$M$30,$I$29:$I$30,AB15)),IF(AC15="yes",(TREND($I$15:$I$16,$H$15:$H$16,AB15)*TREND($M$34:$M$35,$I$34:$I$35,AB15)),IF(AC15="Construction",0,0)))</f>
        <v>0</v>
      </c>
      <c r="AH15" s="45" cm="1">
        <f t="array" ref="AH15">IF(AC15="no",(TREND($I$15:$I$16,$H$15:$H$16,AB15)*TREND($N$29:$N$30,$I$29:$I$30,AB15)),IF(AC15="yes",(TREND($I$15:$I$16,$H$15:$H$16,AB15)*TREND($N$34:$N$35,$I$34:$I$35,AB15)),IF(AC15="Construction",0,0)))</f>
        <v>0</v>
      </c>
      <c r="AI15" s="59">
        <f>IF(AB15&lt;=Assumptions!$D$15,SUMPRODUCT($I$6:$M$6,AD15:AH15),0)</f>
        <v>0</v>
      </c>
      <c r="AJ15" s="212"/>
    </row>
    <row r="16" spans="1:36" x14ac:dyDescent="0.25">
      <c r="B16" s="61">
        <f t="shared" si="2"/>
        <v>2039</v>
      </c>
      <c r="C16" s="98">
        <f t="shared" si="0"/>
        <v>472377.06959706935</v>
      </c>
      <c r="D16" s="98">
        <f t="shared" si="1"/>
        <v>136989.35018315009</v>
      </c>
      <c r="E16" s="99">
        <f>C16-D16</f>
        <v>335387.71941391926</v>
      </c>
      <c r="F16" s="100">
        <f>E16*(1+Assumptions!$D$24)^-(B16-Assumptions!$D$10)</f>
        <v>199595.08680719128</v>
      </c>
      <c r="H16" s="21">
        <f>'Traffic Volume and Route Data'!C12</f>
        <v>2040</v>
      </c>
      <c r="I16" s="57">
        <f>MROUND(I15*(1+'Traffic Volume and Route Data'!D15)^('Intersection Safety Improvement'!H16-'Intersection Safety Improvement'!H15),50)</f>
        <v>7650</v>
      </c>
      <c r="P16" s="496"/>
      <c r="Q16" s="44">
        <f t="shared" si="4"/>
        <v>2028</v>
      </c>
      <c r="R16" s="21" t="s">
        <v>752</v>
      </c>
      <c r="S16" s="45" cm="1">
        <f t="array" ref="S16">IF(R16="Yes",(TREND($I$15:$I$16,$H$15:$H$16,Q16)*TREND($J$29:$J$30,$I$29:$I$30,Q16)),0)</f>
        <v>0</v>
      </c>
      <c r="T16" s="45" cm="1">
        <f t="array" ref="T16">IF(R16="Yes",(TREND($I$15:$I$16,$H$15:$H$16,Q16)*TREND($K$29:$K$30,$I$29:$I$30,Q16)),0)</f>
        <v>0.21516483516483523</v>
      </c>
      <c r="U16" s="45" cm="1">
        <f t="array" ref="U16">IF(R16="Yes",(TREND($I$15:$I$16,$H$15:$H$16,Q16)*TREND($L$29:$L$30,$I$29:$I$30,Q16)),0)</f>
        <v>0.6454945054945056</v>
      </c>
      <c r="V16" s="45" cm="1">
        <f t="array" ref="V16">IF(R16="Yes",(TREND($I$15:$I$16,$H$15:$H$16,Q16)*TREND($M$29:$M$30,$I$29:$I$30,Q16)),0)</f>
        <v>0.21516483516483523</v>
      </c>
      <c r="W16" s="45" cm="1">
        <f t="array" ref="W16">IF(R16="Yes",(TREND($I$15:$I$16,$H$15:$H$16,Q16)*TREND($N$29:$N$30,$I$29:$I$30,Q16)),0)</f>
        <v>0.86065934065934091</v>
      </c>
      <c r="X16" s="59">
        <f>IF(Q16&lt;=Assumptions!$D$15,SUMPRODUCT($I$6:$M$6,S16:W16),0)</f>
        <v>434912.68131868145</v>
      </c>
      <c r="AA16" s="496"/>
      <c r="AB16" s="44">
        <f t="shared" si="5"/>
        <v>2028</v>
      </c>
      <c r="AC16" s="21" t="str">
        <f>IF(AB16&gt;=(Assumptions!$D$45+Assumptions!$D$46),"Yes",IF(OR(AB16=Assumptions!$D$45,AB16=Assumptions!$D$45+Assumptions!$D$46-1),"Construction","No"))</f>
        <v>Construction</v>
      </c>
      <c r="AD16" s="45" cm="1">
        <f t="array" ref="AD16">IF(AC16="no",(TREND($I$15:$I$16,$H$15:$H$16,AB16)*TREND($J$29:$J$30,$I$29:$I$30,AB16)),IF(AC16="yes",(TREND($I$15:$I$16,$H$15:$H$16,AB16)*TREND($J$34:$J$35,$I$34:$I$35,AB16)),IF(AC16="Construction",0,0)))</f>
        <v>0</v>
      </c>
      <c r="AE16" s="45" cm="1">
        <f t="array" ref="AE16">IF(AC16="no",(TREND($I$15:$I$16,$H$15:$H$16,AB16)*TREND($K$29:$K$30,$I$29:$I$30,AB16)),IF(AC16="yes",(TREND($I$15:$I$16,$H$15:$H$16,AB16)*TREND($K$34:$K$35,$I$34:$I$35,AB16)),IF(AC16="Construction",0,0)))</f>
        <v>0</v>
      </c>
      <c r="AF16" s="45" cm="1">
        <f t="array" ref="AF16">IF(AC16="no",(TREND($I$15:$I$16,$H$15:$H$16,AB16)*TREND($L$29:$L$30,$I$29:$I$30,AB16)),IF(AC16="yes",(TREND($I$15:$I$16,$H$15:$H$16,AB16)*TREND($L$34:$L$35,$I$34:$I$35,AB16)),IF(AC16="Construction",0,0)))</f>
        <v>0</v>
      </c>
      <c r="AG16" s="45" cm="1">
        <f t="array" ref="AG16">IF(AC16="no",(TREND($I$15:$I$16,$H$15:$H$16,AB16)*TREND($M$29:$M$30,$I$29:$I$30,AB16)),IF(AC16="yes",(TREND($I$15:$I$16,$H$15:$H$16,AB16)*TREND($M$34:$M$35,$I$34:$I$35,AB16)),IF(AC16="Construction",0,0)))</f>
        <v>0</v>
      </c>
      <c r="AH16" s="45" cm="1">
        <f t="array" ref="AH16">IF(AC16="no",(TREND($I$15:$I$16,$H$15:$H$16,AB16)*TREND($N$29:$N$30,$I$29:$I$30,AB16)),IF(AC16="yes",(TREND($I$15:$I$16,$H$15:$H$16,AB16)*TREND($N$34:$N$35,$I$34:$I$35,AB16)),IF(AC16="Construction",0,0)))</f>
        <v>0</v>
      </c>
      <c r="AI16" s="59">
        <f>IF(AB16&lt;=Assumptions!$D$15,SUMPRODUCT($I$6:$M$6,AD16:AH16),0)</f>
        <v>0</v>
      </c>
      <c r="AJ16" s="212"/>
    </row>
    <row r="17" spans="1:36" ht="15" customHeight="1" x14ac:dyDescent="0.25">
      <c r="B17" s="61">
        <f t="shared" si="2"/>
        <v>2040</v>
      </c>
      <c r="C17" s="98">
        <f t="shared" si="0"/>
        <v>475782.92307692301</v>
      </c>
      <c r="D17" s="98">
        <f t="shared" si="1"/>
        <v>137977.04769230765</v>
      </c>
      <c r="E17" s="99">
        <f t="shared" ref="E17:E18" si="6">C17-D17</f>
        <v>337805.87538461538</v>
      </c>
      <c r="F17" s="100">
        <f>E17*(1+Assumptions!$D$24)^-(B17-Assumptions!$D$10)</f>
        <v>194989.49916582979</v>
      </c>
      <c r="H17" s="1"/>
      <c r="I17" s="1"/>
      <c r="J17" s="1"/>
      <c r="K17" s="1"/>
      <c r="P17" s="496"/>
      <c r="Q17" s="44">
        <f t="shared" si="4"/>
        <v>2029</v>
      </c>
      <c r="R17" s="21" t="s">
        <v>752</v>
      </c>
      <c r="S17" s="45" cm="1">
        <f t="array" ref="S17">IF(R17="Yes",(TREND($I$15:$I$16,$H$15:$H$16,Q17)*TREND($J$29:$J$30,$I$29:$I$30,Q17)),0)</f>
        <v>0</v>
      </c>
      <c r="T17" s="45" cm="1">
        <f t="array" ref="T17">IF(R17="Yes",(TREND($I$15:$I$16,$H$15:$H$16,Q17)*TREND($K$29:$K$30,$I$29:$I$30,Q17)),0)</f>
        <v>0.216849816849817</v>
      </c>
      <c r="U17" s="45" cm="1">
        <f t="array" ref="U17">IF(R17="Yes",(TREND($I$15:$I$16,$H$15:$H$16,Q17)*TREND($L$29:$L$30,$I$29:$I$30,Q17)),0)</f>
        <v>0.65054945054945101</v>
      </c>
      <c r="V17" s="45" cm="1">
        <f t="array" ref="V17">IF(R17="Yes",(TREND($I$15:$I$16,$H$15:$H$16,Q17)*TREND($M$29:$M$30,$I$29:$I$30,Q17)),0)</f>
        <v>0.216849816849817</v>
      </c>
      <c r="W17" s="45" cm="1">
        <f t="array" ref="W17">IF(R17="Yes",(TREND($I$15:$I$16,$H$15:$H$16,Q17)*TREND($N$29:$N$30,$I$29:$I$30,Q17)),0)</f>
        <v>0.86739926739926798</v>
      </c>
      <c r="X17" s="59">
        <f>IF(Q17&lt;=Assumptions!$D$15,SUMPRODUCT($I$6:$M$6,S17:W17),0)</f>
        <v>438318.53479853505</v>
      </c>
      <c r="AA17" s="496"/>
      <c r="AB17" s="44">
        <f t="shared" si="5"/>
        <v>2029</v>
      </c>
      <c r="AC17" s="21" t="str">
        <f>IF(AB17&gt;=(Assumptions!$D$45+Assumptions!$D$46),"Yes",IF(OR(AB17=Assumptions!$D$45,AB17=Assumptions!$D$45+Assumptions!$D$46-1),"Construction","No"))</f>
        <v>Yes</v>
      </c>
      <c r="AD17" s="45" cm="1">
        <f t="array" ref="AD17">IF(AC17="no",(TREND($I$15:$I$16,$H$15:$H$16,AB17)*TREND($J$29:$J$30,$I$29:$I$30,AB17)),IF(AC17="yes",(TREND($I$15:$I$16,$H$15:$H$16,AB17)*TREND($J$34:$J$35,$I$34:$I$35,AB17)),IF(AC17="Construction",0,0)))</f>
        <v>0</v>
      </c>
      <c r="AE17" s="45" cm="1">
        <f t="array" ref="AE17">IF(AC17="no",(TREND($I$15:$I$16,$H$15:$H$16,AB17)*TREND($K$29:$K$30,$I$29:$I$30,AB17)),IF(AC17="yes",(TREND($I$15:$I$16,$H$15:$H$16,AB17)*TREND($K$34:$K$35,$I$34:$I$35,AB17)),IF(AC17="Construction",0,0)))</f>
        <v>6.2886446886446928E-2</v>
      </c>
      <c r="AF17" s="45" cm="1">
        <f t="array" ref="AF17">IF(AC17="no",(TREND($I$15:$I$16,$H$15:$H$16,AB17)*TREND($L$29:$L$30,$I$29:$I$30,AB17)),IF(AC17="yes",(TREND($I$15:$I$16,$H$15:$H$16,AB17)*TREND($L$34:$L$35,$I$34:$I$35,AB17)),IF(AC17="Construction",0,0)))</f>
        <v>0.18865934065934079</v>
      </c>
      <c r="AG17" s="45" cm="1">
        <f t="array" ref="AG17">IF(AC17="no",(TREND($I$15:$I$16,$H$15:$H$16,AB17)*TREND($M$29:$M$30,$I$29:$I$30,AB17)),IF(AC17="yes",(TREND($I$15:$I$16,$H$15:$H$16,AB17)*TREND($M$34:$M$35,$I$34:$I$35,AB17)),IF(AC17="Construction",0,0)))</f>
        <v>6.2886446886446928E-2</v>
      </c>
      <c r="AH17" s="45" cm="1">
        <f t="array" ref="AH17">IF(AC17="no",(TREND($I$15:$I$16,$H$15:$H$16,AB17)*TREND($N$29:$N$30,$I$29:$I$30,AB17)),IF(AC17="yes",(TREND($I$15:$I$16,$H$15:$H$16,AB17)*TREND($N$34:$N$35,$I$34:$I$35,AB17)),IF(AC17="Construction",0,0)))</f>
        <v>0.25154578754578771</v>
      </c>
      <c r="AI17" s="59">
        <f>IF(AB17&lt;=Assumptions!$D$15,SUMPRODUCT($I$6:$M$6,AD17:AH17),0)</f>
        <v>127112.37509157519</v>
      </c>
      <c r="AJ17" s="212"/>
    </row>
    <row r="18" spans="1:36" ht="15" customHeight="1" x14ac:dyDescent="0.25">
      <c r="B18" s="61">
        <f t="shared" si="2"/>
        <v>2041</v>
      </c>
      <c r="C18" s="98">
        <f t="shared" si="0"/>
        <v>479188.77655677666</v>
      </c>
      <c r="D18" s="98">
        <f t="shared" si="1"/>
        <v>138964.74520146524</v>
      </c>
      <c r="E18" s="99">
        <f t="shared" si="6"/>
        <v>340224.0313553114</v>
      </c>
      <c r="F18" s="100">
        <f>E18*(1+Assumptions!$D$24)^-(B18-Assumptions!$D$10)</f>
        <v>190480.42258629404</v>
      </c>
      <c r="H18" s="1" t="s">
        <v>247</v>
      </c>
      <c r="P18" s="496"/>
      <c r="Q18" s="44">
        <f t="shared" si="4"/>
        <v>2030</v>
      </c>
      <c r="R18" s="21" t="s">
        <v>752</v>
      </c>
      <c r="S18" s="45" cm="1">
        <f t="array" ref="S18">IF(R18="Yes",(TREND($I$15:$I$16,$H$15:$H$16,Q18)*TREND($J$29:$J$30,$I$29:$I$30,Q18)),0)</f>
        <v>0</v>
      </c>
      <c r="T18" s="45" cm="1">
        <f t="array" ref="T18">IF(R18="Yes",(TREND($I$15:$I$16,$H$15:$H$16,Q18)*TREND($K$29:$K$30,$I$29:$I$30,Q18)),0)</f>
        <v>0.21853479853479835</v>
      </c>
      <c r="U18" s="45" cm="1">
        <f t="array" ref="U18">IF(R18="Yes",(TREND($I$15:$I$16,$H$15:$H$16,Q18)*TREND($L$29:$L$30,$I$29:$I$30,Q18)),0)</f>
        <v>0.6556043956043951</v>
      </c>
      <c r="V18" s="45" cm="1">
        <f t="array" ref="V18">IF(R18="Yes",(TREND($I$15:$I$16,$H$15:$H$16,Q18)*TREND($M$29:$M$30,$I$29:$I$30,Q18)),0)</f>
        <v>0.21853479853479835</v>
      </c>
      <c r="W18" s="45" cm="1">
        <f t="array" ref="W18">IF(R18="Yes",(TREND($I$15:$I$16,$H$15:$H$16,Q18)*TREND($N$29:$N$30,$I$29:$I$30,Q18)),0)</f>
        <v>0.87413919413919339</v>
      </c>
      <c r="X18" s="59">
        <f>IF(Q18&lt;=Assumptions!$D$15,SUMPRODUCT($I$6:$M$6,S18:W18),0)</f>
        <v>441724.38827838795</v>
      </c>
      <c r="AA18" s="496"/>
      <c r="AB18" s="44">
        <f t="shared" si="5"/>
        <v>2030</v>
      </c>
      <c r="AC18" s="21" t="str">
        <f>IF(AB18&gt;=(Assumptions!$D$45+Assumptions!$D$46),"Yes",IF(OR(AB18=Assumptions!$D$45,AB18=Assumptions!$D$45+Assumptions!$D$46-1),"Construction","No"))</f>
        <v>Yes</v>
      </c>
      <c r="AD18" s="45" cm="1">
        <f t="array" ref="AD18">IF(AC18="no",(TREND($I$15:$I$16,$H$15:$H$16,AB18)*TREND($J$29:$J$30,$I$29:$I$30,AB18)),IF(AC18="yes",(TREND($I$15:$I$16,$H$15:$H$16,AB18)*TREND($J$34:$J$35,$I$34:$I$35,AB18)),IF(AC18="Construction",0,0)))</f>
        <v>0</v>
      </c>
      <c r="AE18" s="45" cm="1">
        <f t="array" ref="AE18">IF(AC18="no",(TREND($I$15:$I$16,$H$15:$H$16,AB18)*TREND($K$29:$K$30,$I$29:$I$30,AB18)),IF(AC18="yes",(TREND($I$15:$I$16,$H$15:$H$16,AB18)*TREND($K$34:$K$35,$I$34:$I$35,AB18)),IF(AC18="Construction",0,0)))</f>
        <v>6.3375091575091511E-2</v>
      </c>
      <c r="AF18" s="45" cm="1">
        <f t="array" ref="AF18">IF(AC18="no",(TREND($I$15:$I$16,$H$15:$H$16,AB18)*TREND($L$29:$L$30,$I$29:$I$30,AB18)),IF(AC18="yes",(TREND($I$15:$I$16,$H$15:$H$16,AB18)*TREND($L$34:$L$35,$I$34:$I$35,AB18)),IF(AC18="Construction",0,0)))</f>
        <v>0.19012527472527455</v>
      </c>
      <c r="AG18" s="45" cm="1">
        <f t="array" ref="AG18">IF(AC18="no",(TREND($I$15:$I$16,$H$15:$H$16,AB18)*TREND($M$29:$M$30,$I$29:$I$30,AB18)),IF(AC18="yes",(TREND($I$15:$I$16,$H$15:$H$16,AB18)*TREND($M$34:$M$35,$I$34:$I$35,AB18)),IF(AC18="Construction",0,0)))</f>
        <v>6.3375091575091511E-2</v>
      </c>
      <c r="AH18" s="45" cm="1">
        <f t="array" ref="AH18">IF(AC18="no",(TREND($I$15:$I$16,$H$15:$H$16,AB18)*TREND($N$29:$N$30,$I$29:$I$30,AB18)),IF(AC18="yes",(TREND($I$15:$I$16,$H$15:$H$16,AB18)*TREND($N$34:$N$35,$I$34:$I$35,AB18)),IF(AC18="Construction",0,0)))</f>
        <v>0.25350036630036604</v>
      </c>
      <c r="AI18" s="59">
        <f>IF(AB18&lt;=Assumptions!$D$15,SUMPRODUCT($I$6:$M$6,AD18:AH18),0)</f>
        <v>128100.07260073247</v>
      </c>
      <c r="AJ18" s="212"/>
    </row>
    <row r="19" spans="1:36" ht="15" customHeight="1" x14ac:dyDescent="0.25">
      <c r="B19" s="61">
        <f t="shared" si="2"/>
        <v>2042</v>
      </c>
      <c r="C19" s="98">
        <f t="shared" si="0"/>
        <v>482594.63003662956</v>
      </c>
      <c r="D19" s="98">
        <f t="shared" si="1"/>
        <v>139952.44271062253</v>
      </c>
      <c r="E19" s="99">
        <f>C19-D19</f>
        <v>342642.18732600706</v>
      </c>
      <c r="F19" s="100">
        <f>E19*(1+Assumptions!$D$24)^-(B19-Assumptions!$D$10)</f>
        <v>186066.21711154812</v>
      </c>
      <c r="H19" s="500" t="s">
        <v>124</v>
      </c>
      <c r="I19" s="501" t="s">
        <v>257</v>
      </c>
      <c r="J19" s="1"/>
      <c r="K19" s="1"/>
      <c r="P19" s="496"/>
      <c r="Q19" s="44">
        <f t="shared" si="4"/>
        <v>2031</v>
      </c>
      <c r="R19" s="21" t="s">
        <v>752</v>
      </c>
      <c r="S19" s="45" cm="1">
        <f t="array" ref="S19">IF(R19="Yes",(TREND($I$15:$I$16,$H$15:$H$16,Q19)*TREND($J$29:$J$30,$I$29:$I$30,Q19)),0)</f>
        <v>0</v>
      </c>
      <c r="T19" s="45" cm="1">
        <f t="array" ref="T19">IF(R19="Yes",(TREND($I$15:$I$16,$H$15:$H$16,Q19)*TREND($K$29:$K$30,$I$29:$I$30,Q19)),0)</f>
        <v>0.22021978021978014</v>
      </c>
      <c r="U19" s="45" cm="1">
        <f t="array" ref="U19">IF(R19="Yes",(TREND($I$15:$I$16,$H$15:$H$16,Q19)*TREND($L$29:$L$30,$I$29:$I$30,Q19)),0)</f>
        <v>0.6606593406593404</v>
      </c>
      <c r="V19" s="45" cm="1">
        <f t="array" ref="V19">IF(R19="Yes",(TREND($I$15:$I$16,$H$15:$H$16,Q19)*TREND($M$29:$M$30,$I$29:$I$30,Q19)),0)</f>
        <v>0.22021978021978014</v>
      </c>
      <c r="W19" s="45" cm="1">
        <f t="array" ref="W19">IF(R19="Yes",(TREND($I$15:$I$16,$H$15:$H$16,Q19)*TREND($N$29:$N$30,$I$29:$I$30,Q19)),0)</f>
        <v>0.88087912087912057</v>
      </c>
      <c r="X19" s="59">
        <f>IF(Q19&lt;=Assumptions!$D$15,SUMPRODUCT($I$6:$M$6,S19:W19),0)</f>
        <v>445130.24175824161</v>
      </c>
      <c r="AA19" s="496"/>
      <c r="AB19" s="44">
        <f t="shared" si="5"/>
        <v>2031</v>
      </c>
      <c r="AC19" s="21" t="str">
        <f>IF(AB19&gt;=(Assumptions!$D$45+Assumptions!$D$46),"Yes",IF(OR(AB19=Assumptions!$D$45,AB19=Assumptions!$D$45+Assumptions!$D$46-1),"Construction","No"))</f>
        <v>Yes</v>
      </c>
      <c r="AD19" s="45" cm="1">
        <f t="array" ref="AD19">IF(AC19="no",(TREND($I$15:$I$16,$H$15:$H$16,AB19)*TREND($J$29:$J$30,$I$29:$I$30,AB19)),IF(AC19="yes",(TREND($I$15:$I$16,$H$15:$H$16,AB19)*TREND($J$34:$J$35,$I$34:$I$35,AB19)),IF(AC19="Construction",0,0)))</f>
        <v>0</v>
      </c>
      <c r="AE19" s="45" cm="1">
        <f t="array" ref="AE19">IF(AC19="no",(TREND($I$15:$I$16,$H$15:$H$16,AB19)*TREND($K$29:$K$30,$I$29:$I$30,AB19)),IF(AC19="yes",(TREND($I$15:$I$16,$H$15:$H$16,AB19)*TREND($K$34:$K$35,$I$34:$I$35,AB19)),IF(AC19="Construction",0,0)))</f>
        <v>6.3863736263736232E-2</v>
      </c>
      <c r="AF19" s="45" cm="1">
        <f t="array" ref="AF19">IF(AC19="no",(TREND($I$15:$I$16,$H$15:$H$16,AB19)*TREND($L$29:$L$30,$I$29:$I$30,AB19)),IF(AC19="yes",(TREND($I$15:$I$16,$H$15:$H$16,AB19)*TREND($L$34:$L$35,$I$34:$I$35,AB19)),IF(AC19="Construction",0,0)))</f>
        <v>0.19159120879120869</v>
      </c>
      <c r="AG19" s="45" cm="1">
        <f t="array" ref="AG19">IF(AC19="no",(TREND($I$15:$I$16,$H$15:$H$16,AB19)*TREND($M$29:$M$30,$I$29:$I$30,AB19)),IF(AC19="yes",(TREND($I$15:$I$16,$H$15:$H$16,AB19)*TREND($M$34:$M$35,$I$34:$I$35,AB19)),IF(AC19="Construction",0,0)))</f>
        <v>6.3863736263736232E-2</v>
      </c>
      <c r="AH19" s="45" cm="1">
        <f t="array" ref="AH19">IF(AC19="no",(TREND($I$15:$I$16,$H$15:$H$16,AB19)*TREND($N$29:$N$30,$I$29:$I$30,AB19)),IF(AC19="yes",(TREND($I$15:$I$16,$H$15:$H$16,AB19)*TREND($N$34:$N$35,$I$34:$I$35,AB19)),IF(AC19="Construction",0,0)))</f>
        <v>0.25545494505494493</v>
      </c>
      <c r="AI19" s="59">
        <f>IF(AB19&lt;=Assumptions!$D$15,SUMPRODUCT($I$6:$M$6,AD19:AH19),0)</f>
        <v>129087.77010989004</v>
      </c>
      <c r="AJ19" s="212"/>
    </row>
    <row r="20" spans="1:36" x14ac:dyDescent="0.25">
      <c r="B20" s="61">
        <f t="shared" si="2"/>
        <v>2043</v>
      </c>
      <c r="C20" s="98">
        <f t="shared" si="0"/>
        <v>486000.48351648328</v>
      </c>
      <c r="D20" s="98">
        <f t="shared" si="1"/>
        <v>140940.14021978012</v>
      </c>
      <c r="E20" s="99">
        <f t="shared" ref="E20:E24" si="7">C20-D20</f>
        <v>345060.34329670318</v>
      </c>
      <c r="F20" s="100">
        <f>E20*(1+Assumptions!$D$24)^-(B20-Assumptions!$D$10)</f>
        <v>181745.25415111036</v>
      </c>
      <c r="H20" s="500"/>
      <c r="I20" s="501"/>
      <c r="P20" s="496"/>
      <c r="Q20" s="44">
        <f t="shared" si="4"/>
        <v>2032</v>
      </c>
      <c r="R20" s="21" t="s">
        <v>752</v>
      </c>
      <c r="S20" s="45" cm="1">
        <f t="array" ref="S20">IF(R20="Yes",(TREND($I$15:$I$16,$H$15:$H$16,Q20)*TREND($J$29:$J$30,$I$29:$I$30,Q20)),0)</f>
        <v>0</v>
      </c>
      <c r="T20" s="45" cm="1">
        <f t="array" ref="T20">IF(R20="Yes",(TREND($I$15:$I$16,$H$15:$H$16,Q20)*TREND($K$29:$K$30,$I$29:$I$30,Q20)),0)</f>
        <v>0.22190476190476194</v>
      </c>
      <c r="U20" s="45" cm="1">
        <f t="array" ref="U20">IF(R20="Yes",(TREND($I$15:$I$16,$H$15:$H$16,Q20)*TREND($L$29:$L$30,$I$29:$I$30,Q20)),0)</f>
        <v>0.66571428571428581</v>
      </c>
      <c r="V20" s="45" cm="1">
        <f t="array" ref="V20">IF(R20="Yes",(TREND($I$15:$I$16,$H$15:$H$16,Q20)*TREND($M$29:$M$30,$I$29:$I$30,Q20)),0)</f>
        <v>0.22190476190476194</v>
      </c>
      <c r="W20" s="45" cm="1">
        <f t="array" ref="W20">IF(R20="Yes",(TREND($I$15:$I$16,$H$15:$H$16,Q20)*TREND($N$29:$N$30,$I$29:$I$30,Q20)),0)</f>
        <v>0.88761904761904775</v>
      </c>
      <c r="X20" s="59">
        <f>IF(Q20&lt;=Assumptions!$D$15,SUMPRODUCT($I$6:$M$6,S20:W20),0)</f>
        <v>448536.09523809527</v>
      </c>
      <c r="AA20" s="496"/>
      <c r="AB20" s="44">
        <f t="shared" si="5"/>
        <v>2032</v>
      </c>
      <c r="AC20" s="21" t="str">
        <f>IF(AB20&gt;=(Assumptions!$D$45+Assumptions!$D$46),"Yes",IF(OR(AB20=Assumptions!$D$45,AB20=Assumptions!$D$45+Assumptions!$D$46-1),"Construction","No"))</f>
        <v>Yes</v>
      </c>
      <c r="AD20" s="45" cm="1">
        <f t="array" ref="AD20">IF(AC20="no",(TREND($I$15:$I$16,$H$15:$H$16,AB20)*TREND($J$29:$J$30,$I$29:$I$30,AB20)),IF(AC20="yes",(TREND($I$15:$I$16,$H$15:$H$16,AB20)*TREND($J$34:$J$35,$I$34:$I$35,AB20)),IF(AC20="Construction",0,0)))</f>
        <v>0</v>
      </c>
      <c r="AE20" s="45" cm="1">
        <f t="array" ref="AE20">IF(AC20="no",(TREND($I$15:$I$16,$H$15:$H$16,AB20)*TREND($K$29:$K$30,$I$29:$I$30,AB20)),IF(AC20="yes",(TREND($I$15:$I$16,$H$15:$H$16,AB20)*TREND($K$34:$K$35,$I$34:$I$35,AB20)),IF(AC20="Construction",0,0)))</f>
        <v>6.4352380952380953E-2</v>
      </c>
      <c r="AF20" s="45" cm="1">
        <f t="array" ref="AF20">IF(AC20="no",(TREND($I$15:$I$16,$H$15:$H$16,AB20)*TREND($L$29:$L$30,$I$29:$I$30,AB20)),IF(AC20="yes",(TREND($I$15:$I$16,$H$15:$H$16,AB20)*TREND($L$34:$L$35,$I$34:$I$35,AB20)),IF(AC20="Construction",0,0)))</f>
        <v>0.19305714285714287</v>
      </c>
      <c r="AG20" s="45" cm="1">
        <f t="array" ref="AG20">IF(AC20="no",(TREND($I$15:$I$16,$H$15:$H$16,AB20)*TREND($M$29:$M$30,$I$29:$I$30,AB20)),IF(AC20="yes",(TREND($I$15:$I$16,$H$15:$H$16,AB20)*TREND($M$34:$M$35,$I$34:$I$35,AB20)),IF(AC20="Construction",0,0)))</f>
        <v>6.4352380952380953E-2</v>
      </c>
      <c r="AH20" s="45" cm="1">
        <f t="array" ref="AH20">IF(AC20="no",(TREND($I$15:$I$16,$H$15:$H$16,AB20)*TREND($N$29:$N$30,$I$29:$I$30,AB20)),IF(AC20="yes",(TREND($I$15:$I$16,$H$15:$H$16,AB20)*TREND($N$34:$N$35,$I$34:$I$35,AB20)),IF(AC20="Construction",0,0)))</f>
        <v>0.25740952380952381</v>
      </c>
      <c r="AI20" s="59">
        <f>IF(AB20&lt;=Assumptions!$D$15,SUMPRODUCT($I$6:$M$6,AD20:AH20),0)</f>
        <v>130075.4676190476</v>
      </c>
      <c r="AJ20" s="212"/>
    </row>
    <row r="21" spans="1:36" x14ac:dyDescent="0.25">
      <c r="B21" s="61">
        <f t="shared" si="2"/>
        <v>2044</v>
      </c>
      <c r="C21" s="98">
        <f t="shared" si="0"/>
        <v>489406.33699633699</v>
      </c>
      <c r="D21" s="98">
        <f t="shared" si="1"/>
        <v>141927.83772893768</v>
      </c>
      <c r="E21" s="99">
        <f t="shared" si="7"/>
        <v>347478.49926739931</v>
      </c>
      <c r="F21" s="100">
        <f>E21*(1+Assumptions!$D$24)^-(B21-Assumptions!$D$10)</f>
        <v>177515.91728016501</v>
      </c>
      <c r="H21" s="20" t="s">
        <v>106</v>
      </c>
      <c r="I21" s="37">
        <v>229</v>
      </c>
      <c r="P21" s="496"/>
      <c r="Q21" s="44">
        <f t="shared" si="4"/>
        <v>2033</v>
      </c>
      <c r="R21" s="21" t="s">
        <v>752</v>
      </c>
      <c r="S21" s="45" cm="1">
        <f t="array" ref="S21">IF(R21="Yes",(TREND($I$15:$I$16,$H$15:$H$16,Q21)*TREND($J$29:$J$30,$I$29:$I$30,Q21)),0)</f>
        <v>0</v>
      </c>
      <c r="T21" s="45" cm="1">
        <f t="array" ref="T21">IF(R21="Yes",(TREND($I$15:$I$16,$H$15:$H$16,Q21)*TREND($K$29:$K$30,$I$29:$I$30,Q21)),0)</f>
        <v>0.22358974358974373</v>
      </c>
      <c r="U21" s="45" cm="1">
        <f t="array" ref="U21">IF(R21="Yes",(TREND($I$15:$I$16,$H$15:$H$16,Q21)*TREND($L$29:$L$30,$I$29:$I$30,Q21)),0)</f>
        <v>0.67076923076923123</v>
      </c>
      <c r="V21" s="45" cm="1">
        <f t="array" ref="V21">IF(R21="Yes",(TREND($I$15:$I$16,$H$15:$H$16,Q21)*TREND($M$29:$M$30,$I$29:$I$30,Q21)),0)</f>
        <v>0.22358974358974373</v>
      </c>
      <c r="W21" s="45" cm="1">
        <f t="array" ref="W21">IF(R21="Yes",(TREND($I$15:$I$16,$H$15:$H$16,Q21)*TREND($N$29:$N$30,$I$29:$I$30,Q21)),0)</f>
        <v>0.89435897435897493</v>
      </c>
      <c r="X21" s="59">
        <f>IF(Q21&lt;=Assumptions!$D$15,SUMPRODUCT($I$6:$M$6,S21:W21),0)</f>
        <v>451941.94871794898</v>
      </c>
      <c r="AA21" s="496"/>
      <c r="AB21" s="44">
        <f t="shared" si="5"/>
        <v>2033</v>
      </c>
      <c r="AC21" s="21" t="str">
        <f>IF(AB21&gt;=(Assumptions!$D$45+Assumptions!$D$46),"Yes",IF(OR(AB21=Assumptions!$D$45,AB21=Assumptions!$D$45+Assumptions!$D$46-1),"Construction","No"))</f>
        <v>Yes</v>
      </c>
      <c r="AD21" s="45" cm="1">
        <f t="array" ref="AD21">IF(AC21="no",(TREND($I$15:$I$16,$H$15:$H$16,AB21)*TREND($J$29:$J$30,$I$29:$I$30,AB21)),IF(AC21="yes",(TREND($I$15:$I$16,$H$15:$H$16,AB21)*TREND($J$34:$J$35,$I$34:$I$35,AB21)),IF(AC21="Construction",0,0)))</f>
        <v>0</v>
      </c>
      <c r="AE21" s="45" cm="1">
        <f t="array" ref="AE21">IF(AC21="no",(TREND($I$15:$I$16,$H$15:$H$16,AB21)*TREND($K$29:$K$30,$I$29:$I$30,AB21)),IF(AC21="yes",(TREND($I$15:$I$16,$H$15:$H$16,AB21)*TREND($K$34:$K$35,$I$34:$I$35,AB21)),IF(AC21="Construction",0,0)))</f>
        <v>6.4841025641025674E-2</v>
      </c>
      <c r="AF21" s="45" cm="1">
        <f t="array" ref="AF21">IF(AC21="no",(TREND($I$15:$I$16,$H$15:$H$16,AB21)*TREND($L$29:$L$30,$I$29:$I$30,AB21)),IF(AC21="yes",(TREND($I$15:$I$16,$H$15:$H$16,AB21)*TREND($L$34:$L$35,$I$34:$I$35,AB21)),IF(AC21="Construction",0,0)))</f>
        <v>0.19452307692307702</v>
      </c>
      <c r="AG21" s="45" cm="1">
        <f t="array" ref="AG21">IF(AC21="no",(TREND($I$15:$I$16,$H$15:$H$16,AB21)*TREND($M$29:$M$30,$I$29:$I$30,AB21)),IF(AC21="yes",(TREND($I$15:$I$16,$H$15:$H$16,AB21)*TREND($M$34:$M$35,$I$34:$I$35,AB21)),IF(AC21="Construction",0,0)))</f>
        <v>6.4841025641025674E-2</v>
      </c>
      <c r="AH21" s="45" cm="1">
        <f t="array" ref="AH21">IF(AC21="no",(TREND($I$15:$I$16,$H$15:$H$16,AB21)*TREND($N$29:$N$30,$I$29:$I$30,AB21)),IF(AC21="yes",(TREND($I$15:$I$16,$H$15:$H$16,AB21)*TREND($N$34:$N$35,$I$34:$I$35,AB21)),IF(AC21="Construction",0,0)))</f>
        <v>0.25936410256410269</v>
      </c>
      <c r="AI21" s="59">
        <f>IF(AB21&lt;=Assumptions!$D$15,SUMPRODUCT($I$6:$M$6,AD21:AH21),0)</f>
        <v>131063.16512820519</v>
      </c>
      <c r="AJ21" s="212"/>
    </row>
    <row r="22" spans="1:36" x14ac:dyDescent="0.25">
      <c r="B22" s="61">
        <f t="shared" si="2"/>
        <v>2045</v>
      </c>
      <c r="C22" s="98">
        <f t="shared" si="0"/>
        <v>492812.19047619065</v>
      </c>
      <c r="D22" s="98">
        <f t="shared" si="1"/>
        <v>142915.53523809524</v>
      </c>
      <c r="E22" s="99">
        <f t="shared" si="7"/>
        <v>349896.65523809544</v>
      </c>
      <c r="F22" s="100">
        <f>E22*(1+Assumptions!$D$24)^-(B22-Assumptions!$D$10)</f>
        <v>173376.60298034438</v>
      </c>
      <c r="H22" s="20" t="s">
        <v>105</v>
      </c>
      <c r="I22" s="179">
        <v>0.28999999999999998</v>
      </c>
      <c r="M22" s="1"/>
      <c r="N22" s="1"/>
      <c r="P22" s="496"/>
      <c r="Q22" s="44">
        <f t="shared" si="4"/>
        <v>2034</v>
      </c>
      <c r="R22" s="21" t="s">
        <v>752</v>
      </c>
      <c r="S22" s="45" cm="1">
        <f t="array" ref="S22">IF(R22="Yes",(TREND($I$15:$I$16,$H$15:$H$16,Q22)*TREND($J$29:$J$30,$I$29:$I$30,Q22)),0)</f>
        <v>0</v>
      </c>
      <c r="T22" s="45" cm="1">
        <f t="array" ref="T22">IF(R22="Yes",(TREND($I$15:$I$16,$H$15:$H$16,Q22)*TREND($K$29:$K$30,$I$29:$I$30,Q22)),0)</f>
        <v>0.22527472527472506</v>
      </c>
      <c r="U22" s="45" cm="1">
        <f t="array" ref="U22">IF(R22="Yes",(TREND($I$15:$I$16,$H$15:$H$16,Q22)*TREND($L$29:$L$30,$I$29:$I$30,Q22)),0)</f>
        <v>0.6758241758241752</v>
      </c>
      <c r="V22" s="45" cm="1">
        <f t="array" ref="V22">IF(R22="Yes",(TREND($I$15:$I$16,$H$15:$H$16,Q22)*TREND($M$29:$M$30,$I$29:$I$30,Q22)),0)</f>
        <v>0.22527472527472506</v>
      </c>
      <c r="W22" s="45" cm="1">
        <f t="array" ref="W22">IF(R22="Yes",(TREND($I$15:$I$16,$H$15:$H$16,Q22)*TREND($N$29:$N$30,$I$29:$I$30,Q22)),0)</f>
        <v>0.90109890109890023</v>
      </c>
      <c r="X22" s="59">
        <f>IF(Q22&lt;=Assumptions!$D$15,SUMPRODUCT($I$6:$M$6,S22:W22),0)</f>
        <v>455347.80219780171</v>
      </c>
      <c r="AA22" s="496"/>
      <c r="AB22" s="44">
        <f t="shared" si="5"/>
        <v>2034</v>
      </c>
      <c r="AC22" s="21" t="str">
        <f>IF(AB22&gt;=(Assumptions!$D$45+Assumptions!$D$46),"Yes",IF(OR(AB22=Assumptions!$D$45,AB22=Assumptions!$D$45+Assumptions!$D$46-1),"Construction","No"))</f>
        <v>Yes</v>
      </c>
      <c r="AD22" s="45" cm="1">
        <f t="array" ref="AD22">IF(AC22="no",(TREND($I$15:$I$16,$H$15:$H$16,AB22)*TREND($J$29:$J$30,$I$29:$I$30,AB22)),IF(AC22="yes",(TREND($I$15:$I$16,$H$15:$H$16,AB22)*TREND($J$34:$J$35,$I$34:$I$35,AB22)),IF(AC22="Construction",0,0)))</f>
        <v>0</v>
      </c>
      <c r="AE22" s="45" cm="1">
        <f t="array" ref="AE22">IF(AC22="no",(TREND($I$15:$I$16,$H$15:$H$16,AB22)*TREND($K$29:$K$30,$I$29:$I$30,AB22)),IF(AC22="yes",(TREND($I$15:$I$16,$H$15:$H$16,AB22)*TREND($K$34:$K$35,$I$34:$I$35,AB22)),IF(AC22="Construction",0,0)))</f>
        <v>6.5329670329670256E-2</v>
      </c>
      <c r="AF22" s="45" cm="1">
        <f t="array" ref="AF22">IF(AC22="no",(TREND($I$15:$I$16,$H$15:$H$16,AB22)*TREND($L$29:$L$30,$I$29:$I$30,AB22)),IF(AC22="yes",(TREND($I$15:$I$16,$H$15:$H$16,AB22)*TREND($L$34:$L$35,$I$34:$I$35,AB22)),IF(AC22="Construction",0,0)))</f>
        <v>0.19598901098901078</v>
      </c>
      <c r="AG22" s="45" cm="1">
        <f t="array" ref="AG22">IF(AC22="no",(TREND($I$15:$I$16,$H$15:$H$16,AB22)*TREND($M$29:$M$30,$I$29:$I$30,AB22)),IF(AC22="yes",(TREND($I$15:$I$16,$H$15:$H$16,AB22)*TREND($M$34:$M$35,$I$34:$I$35,AB22)),IF(AC22="Construction",0,0)))</f>
        <v>6.5329670329670256E-2</v>
      </c>
      <c r="AH22" s="45" cm="1">
        <f t="array" ref="AH22">IF(AC22="no",(TREND($I$15:$I$16,$H$15:$H$16,AB22)*TREND($N$29:$N$30,$I$29:$I$30,AB22)),IF(AC22="yes",(TREND($I$15:$I$16,$H$15:$H$16,AB22)*TREND($N$34:$N$35,$I$34:$I$35,AB22)),IF(AC22="Construction",0,0)))</f>
        <v>0.26131868131868102</v>
      </c>
      <c r="AI22" s="59">
        <f>IF(AB22&lt;=Assumptions!$D$15,SUMPRODUCT($I$6:$M$6,AD22:AH22),0)</f>
        <v>132050.8626373625</v>
      </c>
      <c r="AJ22" s="212"/>
    </row>
    <row r="23" spans="1:36" x14ac:dyDescent="0.25">
      <c r="B23" s="61">
        <f t="shared" si="2"/>
        <v>2046</v>
      </c>
      <c r="C23" s="98">
        <f t="shared" si="0"/>
        <v>496218.04395604332</v>
      </c>
      <c r="D23" s="98">
        <f t="shared" si="1"/>
        <v>143903.23274725256</v>
      </c>
      <c r="E23" s="99">
        <f t="shared" si="7"/>
        <v>352314.81120879075</v>
      </c>
      <c r="F23" s="100">
        <f>E23*(1+Assumptions!$D$24)^-(B23-Assumptions!$D$10)</f>
        <v>169325.7213249637</v>
      </c>
      <c r="H23" s="20" t="s">
        <v>102</v>
      </c>
      <c r="I23" s="37" t="s">
        <v>258</v>
      </c>
      <c r="M23" s="1"/>
      <c r="N23" s="1"/>
      <c r="P23" s="496"/>
      <c r="Q23" s="44">
        <f t="shared" si="4"/>
        <v>2035</v>
      </c>
      <c r="R23" s="21" t="s">
        <v>752</v>
      </c>
      <c r="S23" s="45" cm="1">
        <f t="array" ref="S23">IF(R23="Yes",(TREND($I$15:$I$16,$H$15:$H$16,Q23)*TREND($J$29:$J$30,$I$29:$I$30,Q23)),0)</f>
        <v>0</v>
      </c>
      <c r="T23" s="45" cm="1">
        <f t="array" ref="T23">IF(R23="Yes",(TREND($I$15:$I$16,$H$15:$H$16,Q23)*TREND($K$29:$K$30,$I$29:$I$30,Q23)),0)</f>
        <v>0.22695970695970685</v>
      </c>
      <c r="U23" s="45" cm="1">
        <f t="array" ref="U23">IF(R23="Yes",(TREND($I$15:$I$16,$H$15:$H$16,Q23)*TREND($L$29:$L$30,$I$29:$I$30,Q23)),0)</f>
        <v>0.68087912087912061</v>
      </c>
      <c r="V23" s="45" cm="1">
        <f t="array" ref="V23">IF(R23="Yes",(TREND($I$15:$I$16,$H$15:$H$16,Q23)*TREND($M$29:$M$30,$I$29:$I$30,Q23)),0)</f>
        <v>0.22695970695970685</v>
      </c>
      <c r="W23" s="45" cm="1">
        <f t="array" ref="W23">IF(R23="Yes",(TREND($I$15:$I$16,$H$15:$H$16,Q23)*TREND($N$29:$N$30,$I$29:$I$30,Q23)),0)</f>
        <v>0.90783882783882741</v>
      </c>
      <c r="X23" s="59">
        <f>IF(Q23&lt;=Assumptions!$D$15,SUMPRODUCT($I$6:$M$6,S23:W23),0)</f>
        <v>458753.65567765548</v>
      </c>
      <c r="AA23" s="496"/>
      <c r="AB23" s="44">
        <f t="shared" si="5"/>
        <v>2035</v>
      </c>
      <c r="AC23" s="21" t="str">
        <f>IF(AB23&gt;=(Assumptions!$D$45+Assumptions!$D$46),"Yes",IF(OR(AB23=Assumptions!$D$45,AB23=Assumptions!$D$45+Assumptions!$D$46-1),"Construction","No"))</f>
        <v>Yes</v>
      </c>
      <c r="AD23" s="45" cm="1">
        <f t="array" ref="AD23">IF(AC23="no",(TREND($I$15:$I$16,$H$15:$H$16,AB23)*TREND($J$29:$J$30,$I$29:$I$30,AB23)),IF(AC23="yes",(TREND($I$15:$I$16,$H$15:$H$16,AB23)*TREND($J$34:$J$35,$I$34:$I$35,AB23)),IF(AC23="Construction",0,0)))</f>
        <v>0</v>
      </c>
      <c r="AE23" s="45" cm="1">
        <f t="array" ref="AE23">IF(AC23="no",(TREND($I$15:$I$16,$H$15:$H$16,AB23)*TREND($K$29:$K$30,$I$29:$I$30,AB23)),IF(AC23="yes",(TREND($I$15:$I$16,$H$15:$H$16,AB23)*TREND($K$34:$K$35,$I$34:$I$35,AB23)),IF(AC23="Construction",0,0)))</f>
        <v>6.5818315018314977E-2</v>
      </c>
      <c r="AF23" s="45" cm="1">
        <f t="array" ref="AF23">IF(AC23="no",(TREND($I$15:$I$16,$H$15:$H$16,AB23)*TREND($L$29:$L$30,$I$29:$I$30,AB23)),IF(AC23="yes",(TREND($I$15:$I$16,$H$15:$H$16,AB23)*TREND($L$34:$L$35,$I$34:$I$35,AB23)),IF(AC23="Construction",0,0)))</f>
        <v>0.19745494505494496</v>
      </c>
      <c r="AG23" s="45" cm="1">
        <f t="array" ref="AG23">IF(AC23="no",(TREND($I$15:$I$16,$H$15:$H$16,AB23)*TREND($M$29:$M$30,$I$29:$I$30,AB23)),IF(AC23="yes",(TREND($I$15:$I$16,$H$15:$H$16,AB23)*TREND($M$34:$M$35,$I$34:$I$35,AB23)),IF(AC23="Construction",0,0)))</f>
        <v>6.5818315018314977E-2</v>
      </c>
      <c r="AH23" s="45" cm="1">
        <f t="array" ref="AH23">IF(AC23="no",(TREND($I$15:$I$16,$H$15:$H$16,AB23)*TREND($N$29:$N$30,$I$29:$I$30,AB23)),IF(AC23="yes",(TREND($I$15:$I$16,$H$15:$H$16,AB23)*TREND($N$34:$N$35,$I$34:$I$35,AB23)),IF(AC23="Construction",0,0)))</f>
        <v>0.26327326007325991</v>
      </c>
      <c r="AI23" s="59">
        <f>IF(AB23&lt;=Assumptions!$D$15,SUMPRODUCT($I$6:$M$6,AD23:AH23),0)</f>
        <v>133038.56014652006</v>
      </c>
      <c r="AJ23" s="212"/>
    </row>
    <row r="24" spans="1:36" x14ac:dyDescent="0.25">
      <c r="B24" s="61">
        <f t="shared" si="2"/>
        <v>2047</v>
      </c>
      <c r="C24" s="98">
        <f t="shared" si="0"/>
        <v>499623.89743589709</v>
      </c>
      <c r="D24" s="98">
        <f t="shared" si="1"/>
        <v>144890.93025641015</v>
      </c>
      <c r="E24" s="99">
        <f t="shared" si="7"/>
        <v>354732.96717948694</v>
      </c>
      <c r="F24" s="100">
        <f>E24*(1+Assumptions!$D$24)^-(B24-Assumptions!$D$10)</f>
        <v>165361.69661138195</v>
      </c>
      <c r="H24" s="20" t="s">
        <v>103</v>
      </c>
      <c r="I24" s="37" t="s">
        <v>104</v>
      </c>
      <c r="M24" s="1"/>
      <c r="N24" s="1"/>
      <c r="P24" s="496"/>
      <c r="Q24" s="44">
        <f t="shared" si="4"/>
        <v>2036</v>
      </c>
      <c r="R24" s="21" t="s">
        <v>752</v>
      </c>
      <c r="S24" s="45" cm="1">
        <f t="array" ref="S24">IF(R24="Yes",(TREND($I$15:$I$16,$H$15:$H$16,Q24)*TREND($J$29:$J$30,$I$29:$I$30,Q24)),0)</f>
        <v>0</v>
      </c>
      <c r="T24" s="45" cm="1">
        <f t="array" ref="T24">IF(R24="Yes",(TREND($I$15:$I$16,$H$15:$H$16,Q24)*TREND($K$29:$K$30,$I$29:$I$30,Q24)),0)</f>
        <v>0.22864468864468865</v>
      </c>
      <c r="U24" s="45" cm="1">
        <f t="array" ref="U24">IF(R24="Yes",(TREND($I$15:$I$16,$H$15:$H$16,Q24)*TREND($L$29:$L$30,$I$29:$I$30,Q24)),0)</f>
        <v>0.68593406593406592</v>
      </c>
      <c r="V24" s="45" cm="1">
        <f t="array" ref="V24">IF(R24="Yes",(TREND($I$15:$I$16,$H$15:$H$16,Q24)*TREND($M$29:$M$30,$I$29:$I$30,Q24)),0)</f>
        <v>0.22864468864468865</v>
      </c>
      <c r="W24" s="45" cm="1">
        <f t="array" ref="W24">IF(R24="Yes",(TREND($I$15:$I$16,$H$15:$H$16,Q24)*TREND($N$29:$N$30,$I$29:$I$30,Q24)),0)</f>
        <v>0.91457875457875459</v>
      </c>
      <c r="X24" s="59">
        <f>IF(Q24&lt;=Assumptions!$D$15,SUMPRODUCT($I$6:$M$6,S24:W24),0)</f>
        <v>462159.50915750914</v>
      </c>
      <c r="AA24" s="496"/>
      <c r="AB24" s="44">
        <f t="shared" si="5"/>
        <v>2036</v>
      </c>
      <c r="AC24" s="21" t="str">
        <f>IF(AB24&gt;=(Assumptions!$D$45+Assumptions!$D$46),"Yes",IF(OR(AB24=Assumptions!$D$45,AB24=Assumptions!$D$45+Assumptions!$D$46-1),"Construction","No"))</f>
        <v>Yes</v>
      </c>
      <c r="AD24" s="45" cm="1">
        <f t="array" ref="AD24">IF(AC24="no",(TREND($I$15:$I$16,$H$15:$H$16,AB24)*TREND($J$29:$J$30,$I$29:$I$30,AB24)),IF(AC24="yes",(TREND($I$15:$I$16,$H$15:$H$16,AB24)*TREND($J$34:$J$35,$I$34:$I$35,AB24)),IF(AC24="Construction",0,0)))</f>
        <v>0</v>
      </c>
      <c r="AE24" s="45" cm="1">
        <f t="array" ref="AE24">IF(AC24="no",(TREND($I$15:$I$16,$H$15:$H$16,AB24)*TREND($K$29:$K$30,$I$29:$I$30,AB24)),IF(AC24="yes",(TREND($I$15:$I$16,$H$15:$H$16,AB24)*TREND($K$34:$K$35,$I$34:$I$35,AB24)),IF(AC24="Construction",0,0)))</f>
        <v>6.6306959706959698E-2</v>
      </c>
      <c r="AF24" s="45" cm="1">
        <f t="array" ref="AF24">IF(AC24="no",(TREND($I$15:$I$16,$H$15:$H$16,AB24)*TREND($L$29:$L$30,$I$29:$I$30,AB24)),IF(AC24="yes",(TREND($I$15:$I$16,$H$15:$H$16,AB24)*TREND($L$34:$L$35,$I$34:$I$35,AB24)),IF(AC24="Construction",0,0)))</f>
        <v>0.19892087912087911</v>
      </c>
      <c r="AG24" s="45" cm="1">
        <f t="array" ref="AG24">IF(AC24="no",(TREND($I$15:$I$16,$H$15:$H$16,AB24)*TREND($M$29:$M$30,$I$29:$I$30,AB24)),IF(AC24="yes",(TREND($I$15:$I$16,$H$15:$H$16,AB24)*TREND($M$34:$M$35,$I$34:$I$35,AB24)),IF(AC24="Construction",0,0)))</f>
        <v>6.6306959706959698E-2</v>
      </c>
      <c r="AH24" s="45" cm="1">
        <f t="array" ref="AH24">IF(AC24="no",(TREND($I$15:$I$16,$H$15:$H$16,AB24)*TREND($N$29:$N$30,$I$29:$I$30,AB24)),IF(AC24="yes",(TREND($I$15:$I$16,$H$15:$H$16,AB24)*TREND($N$34:$N$35,$I$34:$I$35,AB24)),IF(AC24="Construction",0,0)))</f>
        <v>0.26522783882783879</v>
      </c>
      <c r="AI24" s="59">
        <f>IF(AB24&lt;=Assumptions!$D$15,SUMPRODUCT($I$6:$M$6,AD24:AH24),0)</f>
        <v>134026.25765567765</v>
      </c>
      <c r="AJ24" s="212"/>
    </row>
    <row r="25" spans="1:36" ht="15.75" thickBot="1" x14ac:dyDescent="0.3">
      <c r="B25" s="62">
        <f t="shared" si="2"/>
        <v>2048</v>
      </c>
      <c r="C25" s="279">
        <f t="shared" si="0"/>
        <v>503029.7509157508</v>
      </c>
      <c r="D25" s="279">
        <f t="shared" si="1"/>
        <v>145878.62776556774</v>
      </c>
      <c r="E25" s="280">
        <f>C25-D25</f>
        <v>357151.12315018306</v>
      </c>
      <c r="F25" s="281">
        <f>E25*(1+Assumptions!$D$24)^-(B25-Assumptions!$D$10)</f>
        <v>161482.96794304388</v>
      </c>
      <c r="H25" s="20" t="s">
        <v>110</v>
      </c>
      <c r="I25" s="37" t="s">
        <v>104</v>
      </c>
      <c r="M25" s="1"/>
      <c r="N25" s="1"/>
      <c r="P25" s="496"/>
      <c r="Q25" s="44">
        <f t="shared" si="4"/>
        <v>2037</v>
      </c>
      <c r="R25" s="21" t="s">
        <v>752</v>
      </c>
      <c r="S25" s="45" cm="1">
        <f t="array" ref="S25">IF(R25="Yes",(TREND($I$15:$I$16,$H$15:$H$16,Q25)*TREND($J$29:$J$30,$I$29:$I$30,Q25)),0)</f>
        <v>0</v>
      </c>
      <c r="T25" s="45" cm="1">
        <f t="array" ref="T25">IF(R25="Yes",(TREND($I$15:$I$16,$H$15:$H$16,Q25)*TREND($K$29:$K$30,$I$29:$I$30,Q25)),0)</f>
        <v>0.23032967032967044</v>
      </c>
      <c r="U25" s="45" cm="1">
        <f t="array" ref="U25">IF(R25="Yes",(TREND($I$15:$I$16,$H$15:$H$16,Q25)*TREND($L$29:$L$30,$I$29:$I$30,Q25)),0)</f>
        <v>0.69098901098901133</v>
      </c>
      <c r="V25" s="45" cm="1">
        <f t="array" ref="V25">IF(R25="Yes",(TREND($I$15:$I$16,$H$15:$H$16,Q25)*TREND($M$29:$M$30,$I$29:$I$30,Q25)),0)</f>
        <v>0.23032967032967044</v>
      </c>
      <c r="W25" s="45" cm="1">
        <f t="array" ref="W25">IF(R25="Yes",(TREND($I$15:$I$16,$H$15:$H$16,Q25)*TREND($N$29:$N$30,$I$29:$I$30,Q25)),0)</f>
        <v>0.92131868131868178</v>
      </c>
      <c r="X25" s="59">
        <f>IF(Q25&lt;=Assumptions!$D$15,SUMPRODUCT($I$6:$M$6,S25:W25),0)</f>
        <v>465565.36263736291</v>
      </c>
      <c r="AA25" s="496"/>
      <c r="AB25" s="44">
        <f t="shared" si="5"/>
        <v>2037</v>
      </c>
      <c r="AC25" s="21" t="str">
        <f>IF(AB25&gt;=(Assumptions!$D$45+Assumptions!$D$46),"Yes",IF(OR(AB25=Assumptions!$D$45,AB25=Assumptions!$D$45+Assumptions!$D$46-1),"Construction","No"))</f>
        <v>Yes</v>
      </c>
      <c r="AD25" s="45" cm="1">
        <f t="array" ref="AD25">IF(AC25="no",(TREND($I$15:$I$16,$H$15:$H$16,AB25)*TREND($J$29:$J$30,$I$29:$I$30,AB25)),IF(AC25="yes",(TREND($I$15:$I$16,$H$15:$H$16,AB25)*TREND($J$34:$J$35,$I$34:$I$35,AB25)),IF(AC25="Construction",0,0)))</f>
        <v>0</v>
      </c>
      <c r="AE25" s="45" cm="1">
        <f t="array" ref="AE25">IF(AC25="no",(TREND($I$15:$I$16,$H$15:$H$16,AB25)*TREND($K$29:$K$30,$I$29:$I$30,AB25)),IF(AC25="yes",(TREND($I$15:$I$16,$H$15:$H$16,AB25)*TREND($K$34:$K$35,$I$34:$I$35,AB25)),IF(AC25="Construction",0,0)))</f>
        <v>6.6795604395604419E-2</v>
      </c>
      <c r="AF25" s="45" cm="1">
        <f t="array" ref="AF25">IF(AC25="no",(TREND($I$15:$I$16,$H$15:$H$16,AB25)*TREND($L$29:$L$30,$I$29:$I$30,AB25)),IF(AC25="yes",(TREND($I$15:$I$16,$H$15:$H$16,AB25)*TREND($L$34:$L$35,$I$34:$I$35,AB25)),IF(AC25="Construction",0,0)))</f>
        <v>0.20038681318681326</v>
      </c>
      <c r="AG25" s="45" cm="1">
        <f t="array" ref="AG25">IF(AC25="no",(TREND($I$15:$I$16,$H$15:$H$16,AB25)*TREND($M$29:$M$30,$I$29:$I$30,AB25)),IF(AC25="yes",(TREND($I$15:$I$16,$H$15:$H$16,AB25)*TREND($M$34:$M$35,$I$34:$I$35,AB25)),IF(AC25="Construction",0,0)))</f>
        <v>6.6795604395604419E-2</v>
      </c>
      <c r="AH25" s="45" cm="1">
        <f t="array" ref="AH25">IF(AC25="no",(TREND($I$15:$I$16,$H$15:$H$16,AB25)*TREND($N$29:$N$30,$I$29:$I$30,AB25)),IF(AC25="yes",(TREND($I$15:$I$16,$H$15:$H$16,AB25)*TREND($N$34:$N$35,$I$34:$I$35,AB25)),IF(AC25="Construction",0,0)))</f>
        <v>0.26718241758241768</v>
      </c>
      <c r="AI25" s="59">
        <f>IF(AB25&lt;=Assumptions!$D$15,SUMPRODUCT($I$6:$M$6,AD25:AH25),0)</f>
        <v>135013.95516483521</v>
      </c>
      <c r="AJ25" s="212"/>
    </row>
    <row r="26" spans="1:36" ht="15.75" thickBot="1" x14ac:dyDescent="0.3">
      <c r="E26" s="67" t="s">
        <v>1</v>
      </c>
      <c r="F26" s="112">
        <f>SUM(F6:F25)</f>
        <v>4071620.5924330647</v>
      </c>
      <c r="J26" s="1"/>
      <c r="K26" s="1"/>
      <c r="L26" s="1"/>
      <c r="M26" s="1"/>
      <c r="N26" s="1"/>
      <c r="P26" s="496"/>
      <c r="Q26" s="44">
        <f t="shared" si="4"/>
        <v>2038</v>
      </c>
      <c r="R26" s="21" t="s">
        <v>752</v>
      </c>
      <c r="S26" s="45" cm="1">
        <f t="array" ref="S26">IF(R26="Yes",(TREND($I$15:$I$16,$H$15:$H$16,Q26)*TREND($J$29:$J$30,$I$29:$I$30,Q26)),0)</f>
        <v>0</v>
      </c>
      <c r="T26" s="45" cm="1">
        <f t="array" ref="T26">IF(R26="Yes",(TREND($I$15:$I$16,$H$15:$H$16,Q26)*TREND($K$29:$K$30,$I$29:$I$30,Q26)),0)</f>
        <v>0.2320146520146518</v>
      </c>
      <c r="U26" s="45" cm="1">
        <f t="array" ref="U26">IF(R26="Yes",(TREND($I$15:$I$16,$H$15:$H$16,Q26)*TREND($L$29:$L$30,$I$29:$I$30,Q26)),0)</f>
        <v>0.69604395604395541</v>
      </c>
      <c r="V26" s="45" cm="1">
        <f t="array" ref="V26">IF(R26="Yes",(TREND($I$15:$I$16,$H$15:$H$16,Q26)*TREND($M$29:$M$30,$I$29:$I$30,Q26)),0)</f>
        <v>0.2320146520146518</v>
      </c>
      <c r="W26" s="45" cm="1">
        <f t="array" ref="W26">IF(R26="Yes",(TREND($I$15:$I$16,$H$15:$H$16,Q26)*TREND($N$29:$N$30,$I$29:$I$30,Q26)),0)</f>
        <v>0.92805860805860718</v>
      </c>
      <c r="X26" s="59">
        <f>IF(Q26&lt;=Assumptions!$D$15,SUMPRODUCT($I$6:$M$6,S26:W26),0)</f>
        <v>468971.21611721563</v>
      </c>
      <c r="AA26" s="496"/>
      <c r="AB26" s="44">
        <f t="shared" si="5"/>
        <v>2038</v>
      </c>
      <c r="AC26" s="21" t="str">
        <f>IF(AB26&gt;=(Assumptions!$D$45+Assumptions!$D$46),"Yes",IF(OR(AB26=Assumptions!$D$45,AB26=Assumptions!$D$45+Assumptions!$D$46-1),"Construction","No"))</f>
        <v>Yes</v>
      </c>
      <c r="AD26" s="45" cm="1">
        <f t="array" ref="AD26">IF(AC26="no",(TREND($I$15:$I$16,$H$15:$H$16,AB26)*TREND($J$29:$J$30,$I$29:$I$30,AB26)),IF(AC26="yes",(TREND($I$15:$I$16,$H$15:$H$16,AB26)*TREND($J$34:$J$35,$I$34:$I$35,AB26)),IF(AC26="Construction",0,0)))</f>
        <v>0</v>
      </c>
      <c r="AE26" s="45" cm="1">
        <f t="array" ref="AE26">IF(AC26="no",(TREND($I$15:$I$16,$H$15:$H$16,AB26)*TREND($K$29:$K$30,$I$29:$I$30,AB26)),IF(AC26="yes",(TREND($I$15:$I$16,$H$15:$H$16,AB26)*TREND($K$34:$K$35,$I$34:$I$35,AB26)),IF(AC26="Construction",0,0)))</f>
        <v>6.7284249084249015E-2</v>
      </c>
      <c r="AF26" s="45" cm="1">
        <f t="array" ref="AF26">IF(AC26="no",(TREND($I$15:$I$16,$H$15:$H$16,AB26)*TREND($L$29:$L$30,$I$29:$I$30,AB26)),IF(AC26="yes",(TREND($I$15:$I$16,$H$15:$H$16,AB26)*TREND($L$34:$L$35,$I$34:$I$35,AB26)),IF(AC26="Construction",0,0)))</f>
        <v>0.20185274725274704</v>
      </c>
      <c r="AG26" s="45" cm="1">
        <f t="array" ref="AG26">IF(AC26="no",(TREND($I$15:$I$16,$H$15:$H$16,AB26)*TREND($M$29:$M$30,$I$29:$I$30,AB26)),IF(AC26="yes",(TREND($I$15:$I$16,$H$15:$H$16,AB26)*TREND($M$34:$M$35,$I$34:$I$35,AB26)),IF(AC26="Construction",0,0)))</f>
        <v>6.7284249084249015E-2</v>
      </c>
      <c r="AH26" s="45" cm="1">
        <f t="array" ref="AH26">IF(AC26="no",(TREND($I$15:$I$16,$H$15:$H$16,AB26)*TREND($N$29:$N$30,$I$29:$I$30,AB26)),IF(AC26="yes",(TREND($I$15:$I$16,$H$15:$H$16,AB26)*TREND($N$34:$N$35,$I$34:$I$35,AB26)),IF(AC26="Construction",0,0)))</f>
        <v>0.26913699633699606</v>
      </c>
      <c r="AI26" s="59">
        <f>IF(AB26&lt;=Assumptions!$D$15,SUMPRODUCT($I$6:$M$6,AD26:AH26),0)</f>
        <v>136001.65267399253</v>
      </c>
      <c r="AJ26" s="212"/>
    </row>
    <row r="27" spans="1:36" x14ac:dyDescent="0.25">
      <c r="A27" s="2"/>
      <c r="H27" s="1" t="s">
        <v>227</v>
      </c>
      <c r="K27" s="1"/>
      <c r="L27" s="1"/>
      <c r="M27" s="1"/>
      <c r="N27" s="1"/>
      <c r="P27" s="496"/>
      <c r="Q27" s="44">
        <f t="shared" si="4"/>
        <v>2039</v>
      </c>
      <c r="R27" s="21" t="s">
        <v>752</v>
      </c>
      <c r="S27" s="45" cm="1">
        <f t="array" ref="S27">IF(R27="Yes",(TREND($I$15:$I$16,$H$15:$H$16,Q27)*TREND($J$29:$J$30,$I$29:$I$30,Q27)),0)</f>
        <v>0</v>
      </c>
      <c r="T27" s="45" cm="1">
        <f t="array" ref="T27">IF(R27="Yes",(TREND($I$15:$I$16,$H$15:$H$16,Q27)*TREND($K$29:$K$30,$I$29:$I$30,Q27)),0)</f>
        <v>0.23369963369963359</v>
      </c>
      <c r="U27" s="45" cm="1">
        <f t="array" ref="U27">IF(R27="Yes",(TREND($I$15:$I$16,$H$15:$H$16,Q27)*TREND($L$29:$L$30,$I$29:$I$30,Q27)),0)</f>
        <v>0.70109890109890072</v>
      </c>
      <c r="V27" s="45" cm="1">
        <f t="array" ref="V27">IF(R27="Yes",(TREND($I$15:$I$16,$H$15:$H$16,Q27)*TREND($M$29:$M$30,$I$29:$I$30,Q27)),0)</f>
        <v>0.23369963369963359</v>
      </c>
      <c r="W27" s="45" cm="1">
        <f t="array" ref="W27">IF(R27="Yes",(TREND($I$15:$I$16,$H$15:$H$16,Q27)*TREND($N$29:$N$30,$I$29:$I$30,Q27)),0)</f>
        <v>0.93479853479853436</v>
      </c>
      <c r="X27" s="59">
        <f>IF(Q27&lt;=Assumptions!$D$15,SUMPRODUCT($I$6:$M$6,S27:W27),0)</f>
        <v>472377.06959706935</v>
      </c>
      <c r="AA27" s="496"/>
      <c r="AB27" s="44">
        <f t="shared" si="5"/>
        <v>2039</v>
      </c>
      <c r="AC27" s="21" t="str">
        <f>IF(AB27&gt;=(Assumptions!$D$45+Assumptions!$D$46),"Yes",IF(OR(AB27=Assumptions!$D$45,AB27=Assumptions!$D$45+Assumptions!$D$46-1),"Construction","No"))</f>
        <v>Yes</v>
      </c>
      <c r="AD27" s="45" cm="1">
        <f t="array" ref="AD27">IF(AC27="no",(TREND($I$15:$I$16,$H$15:$H$16,AB27)*TREND($J$29:$J$30,$I$29:$I$30,AB27)),IF(AC27="yes",(TREND($I$15:$I$16,$H$15:$H$16,AB27)*TREND($J$34:$J$35,$I$34:$I$35,AB27)),IF(AC27="Construction",0,0)))</f>
        <v>0</v>
      </c>
      <c r="AE27" s="45" cm="1">
        <f t="array" ref="AE27">IF(AC27="no",(TREND($I$15:$I$16,$H$15:$H$16,AB27)*TREND($K$29:$K$30,$I$29:$I$30,AB27)),IF(AC27="yes",(TREND($I$15:$I$16,$H$15:$H$16,AB27)*TREND($K$34:$K$35,$I$34:$I$35,AB27)),IF(AC27="Construction",0,0)))</f>
        <v>6.7772893772893722E-2</v>
      </c>
      <c r="AF27" s="45" cm="1">
        <f t="array" ref="AF27">IF(AC27="no",(TREND($I$15:$I$16,$H$15:$H$16,AB27)*TREND($L$29:$L$30,$I$29:$I$30,AB27)),IF(AC27="yes",(TREND($I$15:$I$16,$H$15:$H$16,AB27)*TREND($L$34:$L$35,$I$34:$I$35,AB27)),IF(AC27="Construction",0,0)))</f>
        <v>0.20331868131868119</v>
      </c>
      <c r="AG27" s="45" cm="1">
        <f t="array" ref="AG27">IF(AC27="no",(TREND($I$15:$I$16,$H$15:$H$16,AB27)*TREND($M$29:$M$30,$I$29:$I$30,AB27)),IF(AC27="yes",(TREND($I$15:$I$16,$H$15:$H$16,AB27)*TREND($M$34:$M$35,$I$34:$I$35,AB27)),IF(AC27="Construction",0,0)))</f>
        <v>6.7772893772893722E-2</v>
      </c>
      <c r="AH27" s="45" cm="1">
        <f t="array" ref="AH27">IF(AC27="no",(TREND($I$15:$I$16,$H$15:$H$16,AB27)*TREND($N$29:$N$30,$I$29:$I$30,AB27)),IF(AC27="yes",(TREND($I$15:$I$16,$H$15:$H$16,AB27)*TREND($N$34:$N$35,$I$34:$I$35,AB27)),IF(AC27="Construction",0,0)))</f>
        <v>0.27109157509157489</v>
      </c>
      <c r="AI27" s="59">
        <f>IF(AB27&lt;=Assumptions!$D$15,SUMPRODUCT($I$6:$M$6,AD27:AH27),0)</f>
        <v>136989.35018315009</v>
      </c>
      <c r="AJ27" s="212"/>
    </row>
    <row r="28" spans="1:36" x14ac:dyDescent="0.25">
      <c r="H28" s="21" t="s">
        <v>129</v>
      </c>
      <c r="I28" s="21" t="s">
        <v>22</v>
      </c>
      <c r="J28" s="21" t="s">
        <v>234</v>
      </c>
      <c r="K28" s="21" t="s">
        <v>235</v>
      </c>
      <c r="L28" s="21" t="s">
        <v>236</v>
      </c>
      <c r="M28" s="21" t="s">
        <v>237</v>
      </c>
      <c r="N28" s="21" t="s">
        <v>220</v>
      </c>
      <c r="P28" s="496"/>
      <c r="Q28" s="44">
        <f t="shared" si="4"/>
        <v>2040</v>
      </c>
      <c r="R28" s="21" t="s">
        <v>752</v>
      </c>
      <c r="S28" s="45" cm="1">
        <f t="array" ref="S28">IF(R28="Yes",(TREND($I$15:$I$16,$H$15:$H$16,Q28)*TREND($J$29:$J$30,$I$29:$I$30,Q28)),0)</f>
        <v>0</v>
      </c>
      <c r="T28" s="45" cm="1">
        <f t="array" ref="T28">IF(R28="Yes",(TREND($I$15:$I$16,$H$15:$H$16,Q28)*TREND($K$29:$K$30,$I$29:$I$30,Q28)),0)</f>
        <v>0.23538461538461536</v>
      </c>
      <c r="U28" s="45" cm="1">
        <f t="array" ref="U28">IF(R28="Yes",(TREND($I$15:$I$16,$H$15:$H$16,Q28)*TREND($L$29:$L$30,$I$29:$I$30,Q28)),0)</f>
        <v>0.70615384615384613</v>
      </c>
      <c r="V28" s="45" cm="1">
        <f t="array" ref="V28">IF(R28="Yes",(TREND($I$15:$I$16,$H$15:$H$16,Q28)*TREND($M$29:$M$30,$I$29:$I$30,Q28)),0)</f>
        <v>0.23538461538461536</v>
      </c>
      <c r="W28" s="45" cm="1">
        <f t="array" ref="W28">IF(R28="Yes",(TREND($I$15:$I$16,$H$15:$H$16,Q28)*TREND($N$29:$N$30,$I$29:$I$30,Q28)),0)</f>
        <v>0.94153846153846144</v>
      </c>
      <c r="X28" s="59">
        <f>IF(Q28&lt;=Assumptions!$D$15,SUMPRODUCT($I$6:$M$6,S28:W28),0)</f>
        <v>475782.92307692301</v>
      </c>
      <c r="AA28" s="496"/>
      <c r="AB28" s="44">
        <f t="shared" si="5"/>
        <v>2040</v>
      </c>
      <c r="AC28" s="21" t="str">
        <f>IF(AB28&gt;=(Assumptions!$D$45+Assumptions!$D$46),"Yes",IF(OR(AB28=Assumptions!$D$45,AB28=Assumptions!$D$45+Assumptions!$D$46-1),"Construction","No"))</f>
        <v>Yes</v>
      </c>
      <c r="AD28" s="45" cm="1">
        <f t="array" ref="AD28">IF(AC28="no",(TREND($I$15:$I$16,$H$15:$H$16,AB28)*TREND($J$29:$J$30,$I$29:$I$30,AB28)),IF(AC28="yes",(TREND($I$15:$I$16,$H$15:$H$16,AB28)*TREND($J$34:$J$35,$I$34:$I$35,AB28)),IF(AC28="Construction",0,0)))</f>
        <v>0</v>
      </c>
      <c r="AE28" s="45" cm="1">
        <f t="array" ref="AE28">IF(AC28="no",(TREND($I$15:$I$16,$H$15:$H$16,AB28)*TREND($K$29:$K$30,$I$29:$I$30,AB28)),IF(AC28="yes",(TREND($I$15:$I$16,$H$15:$H$16,AB28)*TREND($K$34:$K$35,$I$34:$I$35,AB28)),IF(AC28="Construction",0,0)))</f>
        <v>6.8261538461538443E-2</v>
      </c>
      <c r="AF28" s="45" cm="1">
        <f t="array" ref="AF28">IF(AC28="no",(TREND($I$15:$I$16,$H$15:$H$16,AB28)*TREND($L$29:$L$30,$I$29:$I$30,AB28)),IF(AC28="yes",(TREND($I$15:$I$16,$H$15:$H$16,AB28)*TREND($L$34:$L$35,$I$34:$I$35,AB28)),IF(AC28="Construction",0,0)))</f>
        <v>0.20478461538461534</v>
      </c>
      <c r="AG28" s="45" cm="1">
        <f t="array" ref="AG28">IF(AC28="no",(TREND($I$15:$I$16,$H$15:$H$16,AB28)*TREND($M$29:$M$30,$I$29:$I$30,AB28)),IF(AC28="yes",(TREND($I$15:$I$16,$H$15:$H$16,AB28)*TREND($M$34:$M$35,$I$34:$I$35,AB28)),IF(AC28="Construction",0,0)))</f>
        <v>6.8261538461538443E-2</v>
      </c>
      <c r="AH28" s="45" cm="1">
        <f t="array" ref="AH28">IF(AC28="no",(TREND($I$15:$I$16,$H$15:$H$16,AB28)*TREND($N$29:$N$30,$I$29:$I$30,AB28)),IF(AC28="yes",(TREND($I$15:$I$16,$H$15:$H$16,AB28)*TREND($N$34:$N$35,$I$34:$I$35,AB28)),IF(AC28="Construction",0,0)))</f>
        <v>0.27304615384615377</v>
      </c>
      <c r="AI28" s="59">
        <f>IF(AB28&lt;=Assumptions!$D$15,SUMPRODUCT($I$6:$M$6,AD28:AH28),0)</f>
        <v>137977.04769230765</v>
      </c>
      <c r="AJ28" s="212"/>
    </row>
    <row r="29" spans="1:36" ht="15" customHeight="1" x14ac:dyDescent="0.25">
      <c r="B29" s="1" t="s">
        <v>2</v>
      </c>
      <c r="C29" s="1"/>
      <c r="D29" s="1"/>
      <c r="H29" s="22" t="s">
        <v>130</v>
      </c>
      <c r="I29" s="57">
        <f>'Traffic Volume and Route Data'!$C$11</f>
        <v>2019</v>
      </c>
      <c r="J29" s="248">
        <f>I10/($I$11*$I15)</f>
        <v>0</v>
      </c>
      <c r="K29" s="258">
        <f>J10/($I$11*$I15)</f>
        <v>3.0769230769230768E-5</v>
      </c>
      <c r="L29" s="248">
        <f>K10/($I$11*$I15)</f>
        <v>9.2307692307692303E-5</v>
      </c>
      <c r="M29" s="248">
        <f>L10/($I$11*$I15)</f>
        <v>3.0769230769230768E-5</v>
      </c>
      <c r="N29" s="248">
        <f>M10/($I$11*$I15)</f>
        <v>1.2307692307692307E-4</v>
      </c>
      <c r="P29" s="496"/>
      <c r="Q29" s="44">
        <f t="shared" si="4"/>
        <v>2041</v>
      </c>
      <c r="R29" s="21" t="s">
        <v>752</v>
      </c>
      <c r="S29" s="45" cm="1">
        <f t="array" ref="S29">IF(R29="Yes",(TREND($I$15:$I$16,$H$15:$H$16,Q29)*TREND($J$29:$J$30,$I$29:$I$30,Q29)),0)</f>
        <v>0</v>
      </c>
      <c r="T29" s="45" cm="1">
        <f t="array" ref="T29">IF(R29="Yes",(TREND($I$15:$I$16,$H$15:$H$16,Q29)*TREND($K$29:$K$30,$I$29:$I$30,Q29)),0)</f>
        <v>0.23706959706959715</v>
      </c>
      <c r="U29" s="45" cm="1">
        <f t="array" ref="U29">IF(R29="Yes",(TREND($I$15:$I$16,$H$15:$H$16,Q29)*TREND($L$29:$L$30,$I$29:$I$30,Q29)),0)</f>
        <v>0.71120879120879144</v>
      </c>
      <c r="V29" s="45" cm="1">
        <f t="array" ref="V29">IF(R29="Yes",(TREND($I$15:$I$16,$H$15:$H$16,Q29)*TREND($M$29:$M$30,$I$29:$I$30,Q29)),0)</f>
        <v>0.23706959706959715</v>
      </c>
      <c r="W29" s="45" cm="1">
        <f t="array" ref="W29">IF(R29="Yes",(TREND($I$15:$I$16,$H$15:$H$16,Q29)*TREND($N$29:$N$30,$I$29:$I$30,Q29)),0)</f>
        <v>0.94827838827838862</v>
      </c>
      <c r="X29" s="59">
        <f>IF(Q29&lt;=Assumptions!$D$15,SUMPRODUCT($I$6:$M$6,S29:W29),0)</f>
        <v>479188.77655677666</v>
      </c>
      <c r="AA29" s="496"/>
      <c r="AB29" s="44">
        <f t="shared" si="5"/>
        <v>2041</v>
      </c>
      <c r="AC29" s="21" t="str">
        <f>IF(AB29&gt;=(Assumptions!$D$45+Assumptions!$D$46),"Yes",IF(OR(AB29=Assumptions!$D$45,AB29=Assumptions!$D$45+Assumptions!$D$46-1),"Construction","No"))</f>
        <v>Yes</v>
      </c>
      <c r="AD29" s="45" cm="1">
        <f t="array" ref="AD29">IF(AC29="no",(TREND($I$15:$I$16,$H$15:$H$16,AB29)*TREND($J$29:$J$30,$I$29:$I$30,AB29)),IF(AC29="yes",(TREND($I$15:$I$16,$H$15:$H$16,AB29)*TREND($J$34:$J$35,$I$34:$I$35,AB29)),IF(AC29="Construction",0,0)))</f>
        <v>0</v>
      </c>
      <c r="AE29" s="45" cm="1">
        <f t="array" ref="AE29">IF(AC29="no",(TREND($I$15:$I$16,$H$15:$H$16,AB29)*TREND($K$29:$K$30,$I$29:$I$30,AB29)),IF(AC29="yes",(TREND($I$15:$I$16,$H$15:$H$16,AB29)*TREND($K$34:$K$35,$I$34:$I$35,AB29)),IF(AC29="Construction",0,0)))</f>
        <v>6.8750183150183164E-2</v>
      </c>
      <c r="AF29" s="45" cm="1">
        <f t="array" ref="AF29">IF(AC29="no",(TREND($I$15:$I$16,$H$15:$H$16,AB29)*TREND($L$29:$L$30,$I$29:$I$30,AB29)),IF(AC29="yes",(TREND($I$15:$I$16,$H$15:$H$16,AB29)*TREND($L$34:$L$35,$I$34:$I$35,AB29)),IF(AC29="Construction",0,0)))</f>
        <v>0.20625054945054952</v>
      </c>
      <c r="AG29" s="45" cm="1">
        <f t="array" ref="AG29">IF(AC29="no",(TREND($I$15:$I$16,$H$15:$H$16,AB29)*TREND($M$29:$M$30,$I$29:$I$30,AB29)),IF(AC29="yes",(TREND($I$15:$I$16,$H$15:$H$16,AB29)*TREND($M$34:$M$35,$I$34:$I$35,AB29)),IF(AC29="Construction",0,0)))</f>
        <v>6.8750183150183164E-2</v>
      </c>
      <c r="AH29" s="45" cm="1">
        <f t="array" ref="AH29">IF(AC29="no",(TREND($I$15:$I$16,$H$15:$H$16,AB29)*TREND($N$29:$N$30,$I$29:$I$30,AB29)),IF(AC29="yes",(TREND($I$15:$I$16,$H$15:$H$16,AB29)*TREND($N$34:$N$35,$I$34:$I$35,AB29)),IF(AC29="Construction",0,0)))</f>
        <v>0.27500073260073266</v>
      </c>
      <c r="AI29" s="59">
        <f>IF(AB29&lt;=Assumptions!$D$15,SUMPRODUCT($I$6:$M$6,AD29:AH29),0)</f>
        <v>138964.74520146524</v>
      </c>
      <c r="AJ29" s="212"/>
    </row>
    <row r="30" spans="1:36" ht="15.75" customHeight="1" x14ac:dyDescent="0.25">
      <c r="A30" s="2" t="s">
        <v>14</v>
      </c>
      <c r="B30" s="441" t="s">
        <v>259</v>
      </c>
      <c r="C30" s="441"/>
      <c r="D30" s="441"/>
      <c r="E30" s="441"/>
      <c r="F30" s="441"/>
      <c r="H30" s="22" t="str">
        <f>Assumptions!$C$12</f>
        <v>Year for Traffic Volume Forecast</v>
      </c>
      <c r="I30" s="57">
        <f>'Traffic Volume and Route Data'!$C$12</f>
        <v>2040</v>
      </c>
      <c r="J30" s="248">
        <f>J29</f>
        <v>0</v>
      </c>
      <c r="K30" s="258">
        <f>K29</f>
        <v>3.0769230769230768E-5</v>
      </c>
      <c r="L30" s="248">
        <f t="shared" ref="L30:N30" si="8">L29</f>
        <v>9.2307692307692303E-5</v>
      </c>
      <c r="M30" s="248">
        <f t="shared" si="8"/>
        <v>3.0769230769230768E-5</v>
      </c>
      <c r="N30" s="248">
        <f t="shared" si="8"/>
        <v>1.2307692307692307E-4</v>
      </c>
      <c r="P30" s="496"/>
      <c r="Q30" s="44">
        <f t="shared" si="4"/>
        <v>2042</v>
      </c>
      <c r="R30" s="21" t="s">
        <v>752</v>
      </c>
      <c r="S30" s="45" cm="1">
        <f t="array" ref="S30">IF(R30="Yes",(TREND($I$15:$I$16,$H$15:$H$16,Q30)*TREND($J$29:$J$30,$I$29:$I$30,Q30)),0)</f>
        <v>0</v>
      </c>
      <c r="T30" s="45" cm="1">
        <f t="array" ref="T30">IF(R30="Yes",(TREND($I$15:$I$16,$H$15:$H$16,Q30)*TREND($K$29:$K$30,$I$29:$I$30,Q30)),0)</f>
        <v>0.23875457875457851</v>
      </c>
      <c r="U30" s="45" cm="1">
        <f t="array" ref="U30">IF(R30="Yes",(TREND($I$15:$I$16,$H$15:$H$16,Q30)*TREND($L$29:$L$30,$I$29:$I$30,Q30)),0)</f>
        <v>0.71626373626373552</v>
      </c>
      <c r="V30" s="45" cm="1">
        <f t="array" ref="V30">IF(R30="Yes",(TREND($I$15:$I$16,$H$15:$H$16,Q30)*TREND($M$29:$M$30,$I$29:$I$30,Q30)),0)</f>
        <v>0.23875457875457851</v>
      </c>
      <c r="W30" s="45" cm="1">
        <f t="array" ref="W30">IF(R30="Yes",(TREND($I$15:$I$16,$H$15:$H$16,Q30)*TREND($N$29:$N$30,$I$29:$I$30,Q30)),0)</f>
        <v>0.95501831501831402</v>
      </c>
      <c r="X30" s="59">
        <f>IF(Q30&lt;=Assumptions!$D$15,SUMPRODUCT($I$6:$M$6,S30:W30),0)</f>
        <v>482594.63003662956</v>
      </c>
      <c r="AA30" s="496"/>
      <c r="AB30" s="44">
        <f t="shared" si="5"/>
        <v>2042</v>
      </c>
      <c r="AC30" s="21" t="str">
        <f>IF(AB30&gt;=(Assumptions!$D$45+Assumptions!$D$46),"Yes",IF(OR(AB30=Assumptions!$D$45,AB30=Assumptions!$D$45+Assumptions!$D$46-1),"Construction","No"))</f>
        <v>Yes</v>
      </c>
      <c r="AD30" s="45" cm="1">
        <f t="array" ref="AD30">IF(AC30="no",(TREND($I$15:$I$16,$H$15:$H$16,AB30)*TREND($J$29:$J$30,$I$29:$I$30,AB30)),IF(AC30="yes",(TREND($I$15:$I$16,$H$15:$H$16,AB30)*TREND($J$34:$J$35,$I$34:$I$35,AB30)),IF(AC30="Construction",0,0)))</f>
        <v>0</v>
      </c>
      <c r="AE30" s="45" cm="1">
        <f t="array" ref="AE30">IF(AC30="no",(TREND($I$15:$I$16,$H$15:$H$16,AB30)*TREND($K$29:$K$30,$I$29:$I$30,AB30)),IF(AC30="yes",(TREND($I$15:$I$16,$H$15:$H$16,AB30)*TREND($K$34:$K$35,$I$34:$I$35,AB30)),IF(AC30="Construction",0,0)))</f>
        <v>6.923882783882776E-2</v>
      </c>
      <c r="AF30" s="45" cm="1">
        <f t="array" ref="AF30">IF(AC30="no",(TREND($I$15:$I$16,$H$15:$H$16,AB30)*TREND($L$29:$L$30,$I$29:$I$30,AB30)),IF(AC30="yes",(TREND($I$15:$I$16,$H$15:$H$16,AB30)*TREND($L$34:$L$35,$I$34:$I$35,AB30)),IF(AC30="Construction",0,0)))</f>
        <v>0.20771648351648328</v>
      </c>
      <c r="AG30" s="45" cm="1">
        <f t="array" ref="AG30">IF(AC30="no",(TREND($I$15:$I$16,$H$15:$H$16,AB30)*TREND($M$29:$M$30,$I$29:$I$30,AB30)),IF(AC30="yes",(TREND($I$15:$I$16,$H$15:$H$16,AB30)*TREND($M$34:$M$35,$I$34:$I$35,AB30)),IF(AC30="Construction",0,0)))</f>
        <v>6.923882783882776E-2</v>
      </c>
      <c r="AH30" s="45" cm="1">
        <f t="array" ref="AH30">IF(AC30="no",(TREND($I$15:$I$16,$H$15:$H$16,AB30)*TREND($N$29:$N$30,$I$29:$I$30,AB30)),IF(AC30="yes",(TREND($I$15:$I$16,$H$15:$H$16,AB30)*TREND($N$34:$N$35,$I$34:$I$35,AB30)),IF(AC30="Construction",0,0)))</f>
        <v>0.27695531135531104</v>
      </c>
      <c r="AI30" s="59">
        <f>IF(AB30&lt;=Assumptions!$D$15,SUMPRODUCT($I$6:$M$6,AD30:AH30),0)</f>
        <v>139952.44271062253</v>
      </c>
      <c r="AJ30" s="212"/>
    </row>
    <row r="31" spans="1:36" ht="15" customHeight="1" x14ac:dyDescent="0.25">
      <c r="B31" s="441"/>
      <c r="C31" s="441"/>
      <c r="D31" s="441"/>
      <c r="E31" s="441"/>
      <c r="F31" s="441"/>
      <c r="M31" s="1"/>
      <c r="N31" s="1"/>
      <c r="P31" s="496"/>
      <c r="Q31" s="44">
        <f t="shared" si="4"/>
        <v>2043</v>
      </c>
      <c r="R31" s="21" t="s">
        <v>752</v>
      </c>
      <c r="S31" s="45" cm="1">
        <f t="array" ref="S31">IF(R31="Yes",(TREND($I$15:$I$16,$H$15:$H$16,Q31)*TREND($J$29:$J$30,$I$29:$I$30,Q31)),0)</f>
        <v>0</v>
      </c>
      <c r="T31" s="45" cm="1">
        <f t="array" ref="T31">IF(R31="Yes",(TREND($I$15:$I$16,$H$15:$H$16,Q31)*TREND($K$29:$K$30,$I$29:$I$30,Q31)),0)</f>
        <v>0.2404395604395603</v>
      </c>
      <c r="U31" s="45" cm="1">
        <f t="array" ref="U31">IF(R31="Yes",(TREND($I$15:$I$16,$H$15:$H$16,Q31)*TREND($L$29:$L$30,$I$29:$I$30,Q31)),0)</f>
        <v>0.72131868131868093</v>
      </c>
      <c r="V31" s="45" cm="1">
        <f t="array" ref="V31">IF(R31="Yes",(TREND($I$15:$I$16,$H$15:$H$16,Q31)*TREND($M$29:$M$30,$I$29:$I$30,Q31)),0)</f>
        <v>0.2404395604395603</v>
      </c>
      <c r="W31" s="45" cm="1">
        <f t="array" ref="W31">IF(R31="Yes",(TREND($I$15:$I$16,$H$15:$H$16,Q31)*TREND($N$29:$N$30,$I$29:$I$30,Q31)),0)</f>
        <v>0.96175824175824121</v>
      </c>
      <c r="X31" s="59">
        <f>IF(Q31&lt;=Assumptions!$D$15,SUMPRODUCT($I$6:$M$6,S31:W31),0)</f>
        <v>486000.48351648328</v>
      </c>
      <c r="AA31" s="496"/>
      <c r="AB31" s="44">
        <f t="shared" si="5"/>
        <v>2043</v>
      </c>
      <c r="AC31" s="21" t="str">
        <f>IF(AB31&gt;=(Assumptions!$D$45+Assumptions!$D$46),"Yes",IF(OR(AB31=Assumptions!$D$45,AB31=Assumptions!$D$45+Assumptions!$D$46-1),"Construction","No"))</f>
        <v>Yes</v>
      </c>
      <c r="AD31" s="45" cm="1">
        <f t="array" ref="AD31">IF(AC31="no",(TREND($I$15:$I$16,$H$15:$H$16,AB31)*TREND($J$29:$J$30,$I$29:$I$30,AB31)),IF(AC31="yes",(TREND($I$15:$I$16,$H$15:$H$16,AB31)*TREND($J$34:$J$35,$I$34:$I$35,AB31)),IF(AC31="Construction",0,0)))</f>
        <v>0</v>
      </c>
      <c r="AE31" s="45" cm="1">
        <f t="array" ref="AE31">IF(AC31="no",(TREND($I$15:$I$16,$H$15:$H$16,AB31)*TREND($K$29:$K$30,$I$29:$I$30,AB31)),IF(AC31="yes",(TREND($I$15:$I$16,$H$15:$H$16,AB31)*TREND($K$34:$K$35,$I$34:$I$35,AB31)),IF(AC31="Construction",0,0)))</f>
        <v>6.9727472527472481E-2</v>
      </c>
      <c r="AF31" s="45" cm="1">
        <f t="array" ref="AF31">IF(AC31="no",(TREND($I$15:$I$16,$H$15:$H$16,AB31)*TREND($L$29:$L$30,$I$29:$I$30,AB31)),IF(AC31="yes",(TREND($I$15:$I$16,$H$15:$H$16,AB31)*TREND($L$34:$L$35,$I$34:$I$35,AB31)),IF(AC31="Construction",0,0)))</f>
        <v>0.20918241758241743</v>
      </c>
      <c r="AG31" s="45" cm="1">
        <f t="array" ref="AG31">IF(AC31="no",(TREND($I$15:$I$16,$H$15:$H$16,AB31)*TREND($M$29:$M$30,$I$29:$I$30,AB31)),IF(AC31="yes",(TREND($I$15:$I$16,$H$15:$H$16,AB31)*TREND($M$34:$M$35,$I$34:$I$35,AB31)),IF(AC31="Construction",0,0)))</f>
        <v>6.9727472527472481E-2</v>
      </c>
      <c r="AH31" s="45" cm="1">
        <f t="array" ref="AH31">IF(AC31="no",(TREND($I$15:$I$16,$H$15:$H$16,AB31)*TREND($N$29:$N$30,$I$29:$I$30,AB31)),IF(AC31="yes",(TREND($I$15:$I$16,$H$15:$H$16,AB31)*TREND($N$34:$N$35,$I$34:$I$35,AB31)),IF(AC31="Construction",0,0)))</f>
        <v>0.27890989010988992</v>
      </c>
      <c r="AI31" s="59">
        <f>IF(AB31&lt;=Assumptions!$D$15,SUMPRODUCT($I$6:$M$6,AD31:AH31),0)</f>
        <v>140940.14021978012</v>
      </c>
      <c r="AJ31" s="212"/>
    </row>
    <row r="32" spans="1:36" ht="15" customHeight="1" x14ac:dyDescent="0.25">
      <c r="B32" s="441"/>
      <c r="C32" s="441"/>
      <c r="D32" s="441"/>
      <c r="E32" s="441"/>
      <c r="F32" s="441"/>
      <c r="H32" s="1" t="s">
        <v>228</v>
      </c>
      <c r="K32" s="1"/>
      <c r="L32" s="1"/>
      <c r="M32" s="1"/>
      <c r="N32" s="1"/>
      <c r="P32" s="496"/>
      <c r="Q32" s="44">
        <f t="shared" si="4"/>
        <v>2044</v>
      </c>
      <c r="R32" s="21" t="s">
        <v>752</v>
      </c>
      <c r="S32" s="45" cm="1">
        <f t="array" ref="S32">IF(R32="Yes",(TREND($I$15:$I$16,$H$15:$H$16,Q32)*TREND($J$29:$J$30,$I$29:$I$30,Q32)),0)</f>
        <v>0</v>
      </c>
      <c r="T32" s="45" cm="1">
        <f t="array" ref="T32">IF(R32="Yes",(TREND($I$15:$I$16,$H$15:$H$16,Q32)*TREND($K$29:$K$30,$I$29:$I$30,Q32)),0)</f>
        <v>0.2421245421245421</v>
      </c>
      <c r="U32" s="45" cm="1">
        <f t="array" ref="U32">IF(R32="Yes",(TREND($I$15:$I$16,$H$15:$H$16,Q32)*TREND($L$29:$L$30,$I$29:$I$30,Q32)),0)</f>
        <v>0.72637362637362624</v>
      </c>
      <c r="V32" s="45" cm="1">
        <f t="array" ref="V32">IF(R32="Yes",(TREND($I$15:$I$16,$H$15:$H$16,Q32)*TREND($M$29:$M$30,$I$29:$I$30,Q32)),0)</f>
        <v>0.2421245421245421</v>
      </c>
      <c r="W32" s="45" cm="1">
        <f t="array" ref="W32">IF(R32="Yes",(TREND($I$15:$I$16,$H$15:$H$16,Q32)*TREND($N$29:$N$30,$I$29:$I$30,Q32)),0)</f>
        <v>0.96849816849816839</v>
      </c>
      <c r="X32" s="59">
        <f>IF(Q32&lt;=Assumptions!$D$15,SUMPRODUCT($I$6:$M$6,S32:W32),0)</f>
        <v>489406.33699633699</v>
      </c>
      <c r="AA32" s="496"/>
      <c r="AB32" s="44">
        <f t="shared" si="5"/>
        <v>2044</v>
      </c>
      <c r="AC32" s="21" t="str">
        <f>IF(AB32&gt;=(Assumptions!$D$45+Assumptions!$D$46),"Yes",IF(OR(AB32=Assumptions!$D$45,AB32=Assumptions!$D$45+Assumptions!$D$46-1),"Construction","No"))</f>
        <v>Yes</v>
      </c>
      <c r="AD32" s="45" cm="1">
        <f t="array" ref="AD32">IF(AC32="no",(TREND($I$15:$I$16,$H$15:$H$16,AB32)*TREND($J$29:$J$30,$I$29:$I$30,AB32)),IF(AC32="yes",(TREND($I$15:$I$16,$H$15:$H$16,AB32)*TREND($J$34:$J$35,$I$34:$I$35,AB32)),IF(AC32="Construction",0,0)))</f>
        <v>0</v>
      </c>
      <c r="AE32" s="45" cm="1">
        <f t="array" ref="AE32">IF(AC32="no",(TREND($I$15:$I$16,$H$15:$H$16,AB32)*TREND($K$29:$K$30,$I$29:$I$30,AB32)),IF(AC32="yes",(TREND($I$15:$I$16,$H$15:$H$16,AB32)*TREND($K$34:$K$35,$I$34:$I$35,AB32)),IF(AC32="Construction",0,0)))</f>
        <v>7.0216117216117188E-2</v>
      </c>
      <c r="AF32" s="45" cm="1">
        <f t="array" ref="AF32">IF(AC32="no",(TREND($I$15:$I$16,$H$15:$H$16,AB32)*TREND($L$29:$L$30,$I$29:$I$30,AB32)),IF(AC32="yes",(TREND($I$15:$I$16,$H$15:$H$16,AB32)*TREND($L$34:$L$35,$I$34:$I$35,AB32)),IF(AC32="Construction",0,0)))</f>
        <v>0.21064835164835161</v>
      </c>
      <c r="AG32" s="45" cm="1">
        <f t="array" ref="AG32">IF(AC32="no",(TREND($I$15:$I$16,$H$15:$H$16,AB32)*TREND($M$29:$M$30,$I$29:$I$30,AB32)),IF(AC32="yes",(TREND($I$15:$I$16,$H$15:$H$16,AB32)*TREND($M$34:$M$35,$I$34:$I$35,AB32)),IF(AC32="Construction",0,0)))</f>
        <v>7.0216117216117188E-2</v>
      </c>
      <c r="AH32" s="45" cm="1">
        <f t="array" ref="AH32">IF(AC32="no",(TREND($I$15:$I$16,$H$15:$H$16,AB32)*TREND($N$29:$N$30,$I$29:$I$30,AB32)),IF(AC32="yes",(TREND($I$15:$I$16,$H$15:$H$16,AB32)*TREND($N$34:$N$35,$I$34:$I$35,AB32)),IF(AC32="Construction",0,0)))</f>
        <v>0.28086446886446875</v>
      </c>
      <c r="AI32" s="59">
        <f>IF(AB32&lt;=Assumptions!$D$15,SUMPRODUCT($I$6:$M$6,AD32:AH32),0)</f>
        <v>141927.83772893768</v>
      </c>
      <c r="AJ32" s="212"/>
    </row>
    <row r="33" spans="1:36" ht="15" customHeight="1" x14ac:dyDescent="0.25">
      <c r="B33" s="7"/>
      <c r="C33" s="7"/>
      <c r="D33" s="7"/>
      <c r="E33" s="7"/>
      <c r="F33" s="7"/>
      <c r="H33" s="21" t="s">
        <v>129</v>
      </c>
      <c r="I33" s="21" t="s">
        <v>22</v>
      </c>
      <c r="J33" s="21" t="s">
        <v>234</v>
      </c>
      <c r="K33" s="21" t="s">
        <v>235</v>
      </c>
      <c r="L33" s="21" t="s">
        <v>236</v>
      </c>
      <c r="M33" s="21" t="s">
        <v>237</v>
      </c>
      <c r="N33" s="21" t="s">
        <v>220</v>
      </c>
      <c r="P33" s="496"/>
      <c r="Q33" s="44">
        <f t="shared" si="4"/>
        <v>2045</v>
      </c>
      <c r="R33" s="21" t="s">
        <v>752</v>
      </c>
      <c r="S33" s="45" cm="1">
        <f t="array" ref="S33">IF(R33="Yes",(TREND($I$15:$I$16,$H$15:$H$16,Q33)*TREND($J$29:$J$30,$I$29:$I$30,Q33)),0)</f>
        <v>0</v>
      </c>
      <c r="T33" s="45" cm="1">
        <f t="array" ref="T33">IF(R33="Yes",(TREND($I$15:$I$16,$H$15:$H$16,Q33)*TREND($K$29:$K$30,$I$29:$I$30,Q33)),0)</f>
        <v>0.24380952380952389</v>
      </c>
      <c r="U33" s="45" cm="1">
        <f t="array" ref="U33">IF(R33="Yes",(TREND($I$15:$I$16,$H$15:$H$16,Q33)*TREND($L$29:$L$30,$I$29:$I$30,Q33)),0)</f>
        <v>0.73142857142857165</v>
      </c>
      <c r="V33" s="45" cm="1">
        <f t="array" ref="V33">IF(R33="Yes",(TREND($I$15:$I$16,$H$15:$H$16,Q33)*TREND($M$29:$M$30,$I$29:$I$30,Q33)),0)</f>
        <v>0.24380952380952389</v>
      </c>
      <c r="W33" s="45" cm="1">
        <f t="array" ref="W33">IF(R33="Yes",(TREND($I$15:$I$16,$H$15:$H$16,Q33)*TREND($N$29:$N$30,$I$29:$I$30,Q33)),0)</f>
        <v>0.97523809523809557</v>
      </c>
      <c r="X33" s="59">
        <f>IF(Q33&lt;=Assumptions!$D$15,SUMPRODUCT($I$6:$M$6,S33:W33),0)</f>
        <v>492812.19047619065</v>
      </c>
      <c r="AA33" s="496"/>
      <c r="AB33" s="44">
        <f t="shared" si="5"/>
        <v>2045</v>
      </c>
      <c r="AC33" s="21" t="str">
        <f>IF(AB33&gt;=(Assumptions!$D$45+Assumptions!$D$46),"Yes",IF(OR(AB33=Assumptions!$D$45,AB33=Assumptions!$D$45+Assumptions!$D$46-1),"Construction","No"))</f>
        <v>Yes</v>
      </c>
      <c r="AD33" s="45" cm="1">
        <f t="array" ref="AD33">IF(AC33="no",(TREND($I$15:$I$16,$H$15:$H$16,AB33)*TREND($J$29:$J$30,$I$29:$I$30,AB33)),IF(AC33="yes",(TREND($I$15:$I$16,$H$15:$H$16,AB33)*TREND($J$34:$J$35,$I$34:$I$35,AB33)),IF(AC33="Construction",0,0)))</f>
        <v>0</v>
      </c>
      <c r="AE33" s="45" cm="1">
        <f t="array" ref="AE33">IF(AC33="no",(TREND($I$15:$I$16,$H$15:$H$16,AB33)*TREND($K$29:$K$30,$I$29:$I$30,AB33)),IF(AC33="yes",(TREND($I$15:$I$16,$H$15:$H$16,AB33)*TREND($K$34:$K$35,$I$34:$I$35,AB33)),IF(AC33="Construction",0,0)))</f>
        <v>7.0704761904761909E-2</v>
      </c>
      <c r="AF33" s="45" cm="1">
        <f t="array" ref="AF33">IF(AC33="no",(TREND($I$15:$I$16,$H$15:$H$16,AB33)*TREND($L$29:$L$30,$I$29:$I$30,AB33)),IF(AC33="yes",(TREND($I$15:$I$16,$H$15:$H$16,AB33)*TREND($L$34:$L$35,$I$34:$I$35,AB33)),IF(AC33="Construction",0,0)))</f>
        <v>0.21211428571428576</v>
      </c>
      <c r="AG33" s="45" cm="1">
        <f t="array" ref="AG33">IF(AC33="no",(TREND($I$15:$I$16,$H$15:$H$16,AB33)*TREND($M$29:$M$30,$I$29:$I$30,AB33)),IF(AC33="yes",(TREND($I$15:$I$16,$H$15:$H$16,AB33)*TREND($M$34:$M$35,$I$34:$I$35,AB33)),IF(AC33="Construction",0,0)))</f>
        <v>7.0704761904761909E-2</v>
      </c>
      <c r="AH33" s="45" cm="1">
        <f t="array" ref="AH33">IF(AC33="no",(TREND($I$15:$I$16,$H$15:$H$16,AB33)*TREND($N$29:$N$30,$I$29:$I$30,AB33)),IF(AC33="yes",(TREND($I$15:$I$16,$H$15:$H$16,AB33)*TREND($N$34:$N$35,$I$34:$I$35,AB33)),IF(AC33="Construction",0,0)))</f>
        <v>0.28281904761904764</v>
      </c>
      <c r="AI33" s="59">
        <f>IF(AB33&lt;=Assumptions!$D$15,SUMPRODUCT($I$6:$M$6,AD33:AH33),0)</f>
        <v>142915.53523809524</v>
      </c>
      <c r="AJ33" s="212"/>
    </row>
    <row r="34" spans="1:36" ht="15" customHeight="1" x14ac:dyDescent="0.25">
      <c r="A34" s="2" t="s">
        <v>15</v>
      </c>
      <c r="B34" s="441" t="s">
        <v>260</v>
      </c>
      <c r="C34" s="441"/>
      <c r="D34" s="441"/>
      <c r="E34" s="441"/>
      <c r="F34" s="441"/>
      <c r="H34" s="22" t="s">
        <v>130</v>
      </c>
      <c r="I34" s="57">
        <f>'Traffic Volume and Route Data'!$C$11</f>
        <v>2019</v>
      </c>
      <c r="J34" s="249">
        <f t="shared" ref="J34:N35" si="9">J29*$I$22</f>
        <v>0</v>
      </c>
      <c r="K34" s="249">
        <f t="shared" si="9"/>
        <v>8.9230769230769212E-6</v>
      </c>
      <c r="L34" s="249">
        <f t="shared" si="9"/>
        <v>2.6769230769230765E-5</v>
      </c>
      <c r="M34" s="249">
        <f t="shared" si="9"/>
        <v>8.9230769230769212E-6</v>
      </c>
      <c r="N34" s="249">
        <f t="shared" si="9"/>
        <v>3.5692307692307685E-5</v>
      </c>
      <c r="P34" s="496"/>
      <c r="Q34" s="44">
        <f t="shared" si="4"/>
        <v>2046</v>
      </c>
      <c r="R34" s="21" t="s">
        <v>752</v>
      </c>
      <c r="S34" s="45" cm="1">
        <f t="array" ref="S34">IF(R34="Yes",(TREND($I$15:$I$16,$H$15:$H$16,Q34)*TREND($J$29:$J$30,$I$29:$I$30,Q34)),0)</f>
        <v>0</v>
      </c>
      <c r="T34" s="45" cm="1">
        <f t="array" ref="T34">IF(R34="Yes",(TREND($I$15:$I$16,$H$15:$H$16,Q34)*TREND($K$29:$K$30,$I$29:$I$30,Q34)),0)</f>
        <v>0.24549450549450522</v>
      </c>
      <c r="U34" s="45" cm="1">
        <f t="array" ref="U34">IF(R34="Yes",(TREND($I$15:$I$16,$H$15:$H$16,Q34)*TREND($L$29:$L$30,$I$29:$I$30,Q34)),0)</f>
        <v>0.73648351648351562</v>
      </c>
      <c r="V34" s="45" cm="1">
        <f t="array" ref="V34">IF(R34="Yes",(TREND($I$15:$I$16,$H$15:$H$16,Q34)*TREND($M$29:$M$30,$I$29:$I$30,Q34)),0)</f>
        <v>0.24549450549450522</v>
      </c>
      <c r="W34" s="45" cm="1">
        <f t="array" ref="W34">IF(R34="Yes",(TREND($I$15:$I$16,$H$15:$H$16,Q34)*TREND($N$29:$N$30,$I$29:$I$30,Q34)),0)</f>
        <v>0.98197802197802087</v>
      </c>
      <c r="X34" s="59">
        <f>IF(Q34&lt;=Assumptions!$D$15,SUMPRODUCT($I$6:$M$6,S34:W34),0)</f>
        <v>496218.04395604332</v>
      </c>
      <c r="AA34" s="496"/>
      <c r="AB34" s="44">
        <f t="shared" si="5"/>
        <v>2046</v>
      </c>
      <c r="AC34" s="21" t="str">
        <f>IF(AB34&gt;=(Assumptions!$D$45+Assumptions!$D$46),"Yes",IF(OR(AB34=Assumptions!$D$45,AB34=Assumptions!$D$45+Assumptions!$D$46-1),"Construction","No"))</f>
        <v>Yes</v>
      </c>
      <c r="AD34" s="45" cm="1">
        <f t="array" ref="AD34">IF(AC34="no",(TREND($I$15:$I$16,$H$15:$H$16,AB34)*TREND($J$29:$J$30,$I$29:$I$30,AB34)),IF(AC34="yes",(TREND($I$15:$I$16,$H$15:$H$16,AB34)*TREND($J$34:$J$35,$I$34:$I$35,AB34)),IF(AC34="Construction",0,0)))</f>
        <v>0</v>
      </c>
      <c r="AE34" s="45" cm="1">
        <f t="array" ref="AE34">IF(AC34="no",(TREND($I$15:$I$16,$H$15:$H$16,AB34)*TREND($K$29:$K$30,$I$29:$I$30,AB34)),IF(AC34="yes",(TREND($I$15:$I$16,$H$15:$H$16,AB34)*TREND($K$34:$K$35,$I$34:$I$35,AB34)),IF(AC34="Construction",0,0)))</f>
        <v>7.1193406593406505E-2</v>
      </c>
      <c r="AF34" s="45" cm="1">
        <f t="array" ref="AF34">IF(AC34="no",(TREND($I$15:$I$16,$H$15:$H$16,AB34)*TREND($L$29:$L$30,$I$29:$I$30,AB34)),IF(AC34="yes",(TREND($I$15:$I$16,$H$15:$H$16,AB34)*TREND($L$34:$L$35,$I$34:$I$35,AB34)),IF(AC34="Construction",0,0)))</f>
        <v>0.21358021978021952</v>
      </c>
      <c r="AG34" s="45" cm="1">
        <f t="array" ref="AG34">IF(AC34="no",(TREND($I$15:$I$16,$H$15:$H$16,AB34)*TREND($M$29:$M$30,$I$29:$I$30,AB34)),IF(AC34="yes",(TREND($I$15:$I$16,$H$15:$H$16,AB34)*TREND($M$34:$M$35,$I$34:$I$35,AB34)),IF(AC34="Construction",0,0)))</f>
        <v>7.1193406593406505E-2</v>
      </c>
      <c r="AH34" s="45" cm="1">
        <f t="array" ref="AH34">IF(AC34="no",(TREND($I$15:$I$16,$H$15:$H$16,AB34)*TREND($N$29:$N$30,$I$29:$I$30,AB34)),IF(AC34="yes",(TREND($I$15:$I$16,$H$15:$H$16,AB34)*TREND($N$34:$N$35,$I$34:$I$35,AB34)),IF(AC34="Construction",0,0)))</f>
        <v>0.28477362637362602</v>
      </c>
      <c r="AI34" s="59">
        <f>IF(AB34&lt;=Assumptions!$D$15,SUMPRODUCT($I$6:$M$6,AD34:AH34),0)</f>
        <v>143903.23274725256</v>
      </c>
      <c r="AJ34" s="212"/>
    </row>
    <row r="35" spans="1:36" ht="15" customHeight="1" x14ac:dyDescent="0.25">
      <c r="B35" s="441"/>
      <c r="C35" s="441"/>
      <c r="D35" s="441"/>
      <c r="E35" s="441"/>
      <c r="F35" s="441"/>
      <c r="H35" s="22" t="str">
        <f>Assumptions!$C$12</f>
        <v>Year for Traffic Volume Forecast</v>
      </c>
      <c r="I35" s="57">
        <f>'Traffic Volume and Route Data'!$C$12</f>
        <v>2040</v>
      </c>
      <c r="J35" s="249">
        <f t="shared" si="9"/>
        <v>0</v>
      </c>
      <c r="K35" s="249">
        <f t="shared" si="9"/>
        <v>8.9230769230769212E-6</v>
      </c>
      <c r="L35" s="249">
        <f t="shared" si="9"/>
        <v>2.6769230769230765E-5</v>
      </c>
      <c r="M35" s="249">
        <f t="shared" si="9"/>
        <v>8.9230769230769212E-6</v>
      </c>
      <c r="N35" s="249">
        <f t="shared" si="9"/>
        <v>3.5692307692307685E-5</v>
      </c>
      <c r="P35" s="496"/>
      <c r="Q35" s="44">
        <f t="shared" si="4"/>
        <v>2047</v>
      </c>
      <c r="R35" s="21" t="s">
        <v>752</v>
      </c>
      <c r="S35" s="45" cm="1">
        <f t="array" ref="S35">IF(R35="Yes",(TREND($I$15:$I$16,$H$15:$H$16,Q35)*TREND($J$29:$J$30,$I$29:$I$30,Q35)),0)</f>
        <v>0</v>
      </c>
      <c r="T35" s="45" cm="1">
        <f t="array" ref="T35">IF(R35="Yes",(TREND($I$15:$I$16,$H$15:$H$16,Q35)*TREND($K$29:$K$30,$I$29:$I$30,Q35)),0)</f>
        <v>0.24717948717948701</v>
      </c>
      <c r="U35" s="45" cm="1">
        <f t="array" ref="U35">IF(R35="Yes",(TREND($I$15:$I$16,$H$15:$H$16,Q35)*TREND($L$29:$L$30,$I$29:$I$30,Q35)),0)</f>
        <v>0.74153846153846104</v>
      </c>
      <c r="V35" s="45" cm="1">
        <f t="array" ref="V35">IF(R35="Yes",(TREND($I$15:$I$16,$H$15:$H$16,Q35)*TREND($M$29:$M$30,$I$29:$I$30,Q35)),0)</f>
        <v>0.24717948717948701</v>
      </c>
      <c r="W35" s="45" cm="1">
        <f t="array" ref="W35">IF(R35="Yes",(TREND($I$15:$I$16,$H$15:$H$16,Q35)*TREND($N$29:$N$30,$I$29:$I$30,Q35)),0)</f>
        <v>0.98871794871794805</v>
      </c>
      <c r="X35" s="59">
        <f>IF(Q35&lt;=Assumptions!$D$15,SUMPRODUCT($I$6:$M$6,S35:W35),0)</f>
        <v>499623.89743589709</v>
      </c>
      <c r="AA35" s="496"/>
      <c r="AB35" s="44">
        <f t="shared" si="5"/>
        <v>2047</v>
      </c>
      <c r="AC35" s="21" t="str">
        <f>IF(AB35&gt;=(Assumptions!$D$45+Assumptions!$D$46),"Yes",IF(OR(AB35=Assumptions!$D$45,AB35=Assumptions!$D$45+Assumptions!$D$46-1),"Construction","No"))</f>
        <v>Yes</v>
      </c>
      <c r="AD35" s="45" cm="1">
        <f t="array" ref="AD35">IF(AC35="no",(TREND($I$15:$I$16,$H$15:$H$16,AB35)*TREND($J$29:$J$30,$I$29:$I$30,AB35)),IF(AC35="yes",(TREND($I$15:$I$16,$H$15:$H$16,AB35)*TREND($J$34:$J$35,$I$34:$I$35,AB35)),IF(AC35="Construction",0,0)))</f>
        <v>0</v>
      </c>
      <c r="AE35" s="45" cm="1">
        <f t="array" ref="AE35">IF(AC35="no",(TREND($I$15:$I$16,$H$15:$H$16,AB35)*TREND($K$29:$K$30,$I$29:$I$30,AB35)),IF(AC35="yes",(TREND($I$15:$I$16,$H$15:$H$16,AB35)*TREND($K$34:$K$35,$I$34:$I$35,AB35)),IF(AC35="Construction",0,0)))</f>
        <v>7.1682051282051226E-2</v>
      </c>
      <c r="AF35" s="45" cm="1">
        <f t="array" ref="AF35">IF(AC35="no",(TREND($I$15:$I$16,$H$15:$H$16,AB35)*TREND($L$29:$L$30,$I$29:$I$30,AB35)),IF(AC35="yes",(TREND($I$15:$I$16,$H$15:$H$16,AB35)*TREND($L$34:$L$35,$I$34:$I$35,AB35)),IF(AC35="Construction",0,0)))</f>
        <v>0.21504615384615369</v>
      </c>
      <c r="AG35" s="45" cm="1">
        <f t="array" ref="AG35">IF(AC35="no",(TREND($I$15:$I$16,$H$15:$H$16,AB35)*TREND($M$29:$M$30,$I$29:$I$30,AB35)),IF(AC35="yes",(TREND($I$15:$I$16,$H$15:$H$16,AB35)*TREND($M$34:$M$35,$I$34:$I$35,AB35)),IF(AC35="Construction",0,0)))</f>
        <v>7.1682051282051226E-2</v>
      </c>
      <c r="AH35" s="45" cm="1">
        <f t="array" ref="AH35">IF(AC35="no",(TREND($I$15:$I$16,$H$15:$H$16,AB35)*TREND($N$29:$N$30,$I$29:$I$30,AB35)),IF(AC35="yes",(TREND($I$15:$I$16,$H$15:$H$16,AB35)*TREND($N$34:$N$35,$I$34:$I$35,AB35)),IF(AC35="Construction",0,0)))</f>
        <v>0.2867282051282049</v>
      </c>
      <c r="AI35" s="59">
        <f>IF(AB35&lt;=Assumptions!$D$15,SUMPRODUCT($I$6:$M$6,AD35:AH35),0)</f>
        <v>144890.93025641015</v>
      </c>
      <c r="AJ35" s="212"/>
    </row>
    <row r="36" spans="1:36" ht="15" customHeight="1" x14ac:dyDescent="0.25">
      <c r="A36" s="2"/>
      <c r="B36" s="441"/>
      <c r="C36" s="441"/>
      <c r="D36" s="441"/>
      <c r="E36" s="441"/>
      <c r="F36" s="441"/>
      <c r="M36" s="1"/>
      <c r="N36" s="1"/>
      <c r="P36" s="496"/>
      <c r="Q36" s="44">
        <f t="shared" si="4"/>
        <v>2048</v>
      </c>
      <c r="R36" s="21" t="s">
        <v>752</v>
      </c>
      <c r="S36" s="45" cm="1">
        <f t="array" ref="S36">IF(R36="Yes",(TREND($I$15:$I$16,$H$15:$H$16,Q36)*TREND($J$29:$J$30,$I$29:$I$30,Q36)),0)</f>
        <v>0</v>
      </c>
      <c r="T36" s="45" cm="1">
        <f t="array" ref="T36">IF(R36="Yes",(TREND($I$15:$I$16,$H$15:$H$16,Q36)*TREND($K$29:$K$30,$I$29:$I$30,Q36)),0)</f>
        <v>0.24886446886446881</v>
      </c>
      <c r="U36" s="45" cm="1">
        <f t="array" ref="U36">IF(R36="Yes",(TREND($I$15:$I$16,$H$15:$H$16,Q36)*TREND($L$29:$L$30,$I$29:$I$30,Q36)),0)</f>
        <v>0.74659340659340645</v>
      </c>
      <c r="V36" s="45" cm="1">
        <f t="array" ref="V36">IF(R36="Yes",(TREND($I$15:$I$16,$H$15:$H$16,Q36)*TREND($M$29:$M$30,$I$29:$I$30,Q36)),0)</f>
        <v>0.24886446886446881</v>
      </c>
      <c r="W36" s="45" cm="1">
        <f t="array" ref="W36">IF(R36="Yes",(TREND($I$15:$I$16,$H$15:$H$16,Q36)*TREND($N$29:$N$30,$I$29:$I$30,Q36)),0)</f>
        <v>0.99545787545787523</v>
      </c>
      <c r="X36" s="59">
        <f>IF(Q36&lt;=Assumptions!$D$15,SUMPRODUCT($I$6:$M$6,S36:W36),0)</f>
        <v>503029.7509157508</v>
      </c>
      <c r="AA36" s="496"/>
      <c r="AB36" s="44">
        <f t="shared" si="5"/>
        <v>2048</v>
      </c>
      <c r="AC36" s="21" t="str">
        <f>IF(AB36&gt;=(Assumptions!$D$45+Assumptions!$D$46),"Yes",IF(OR(AB36=Assumptions!$D$45,AB36=Assumptions!$D$45+Assumptions!$D$46-1),"Construction","No"))</f>
        <v>Yes</v>
      </c>
      <c r="AD36" s="45" cm="1">
        <f t="array" ref="AD36">IF(AC36="no",(TREND($I$15:$I$16,$H$15:$H$16,AB36)*TREND($J$29:$J$30,$I$29:$I$30,AB36)),IF(AC36="yes",(TREND($I$15:$I$16,$H$15:$H$16,AB36)*TREND($J$34:$J$35,$I$34:$I$35,AB36)),IF(AC36="Construction",0,0)))</f>
        <v>0</v>
      </c>
      <c r="AE36" s="45" cm="1">
        <f t="array" ref="AE36">IF(AC36="no",(TREND($I$15:$I$16,$H$15:$H$16,AB36)*TREND($K$29:$K$30,$I$29:$I$30,AB36)),IF(AC36="yes",(TREND($I$15:$I$16,$H$15:$H$16,AB36)*TREND($K$34:$K$35,$I$34:$I$35,AB36)),IF(AC36="Construction",0,0)))</f>
        <v>7.2170695970695947E-2</v>
      </c>
      <c r="AF36" s="45" cm="1">
        <f t="array" ref="AF36">IF(AC36="no",(TREND($I$15:$I$16,$H$15:$H$16,AB36)*TREND($L$29:$L$30,$I$29:$I$30,AB36)),IF(AC36="yes",(TREND($I$15:$I$16,$H$15:$H$16,AB36)*TREND($L$34:$L$35,$I$34:$I$35,AB36)),IF(AC36="Construction",0,0)))</f>
        <v>0.21651208791208784</v>
      </c>
      <c r="AG36" s="45" cm="1">
        <f t="array" ref="AG36">IF(AC36="no",(TREND($I$15:$I$16,$H$15:$H$16,AB36)*TREND($M$29:$M$30,$I$29:$I$30,AB36)),IF(AC36="yes",(TREND($I$15:$I$16,$H$15:$H$16,AB36)*TREND($M$34:$M$35,$I$34:$I$35,AB36)),IF(AC36="Construction",0,0)))</f>
        <v>7.2170695970695947E-2</v>
      </c>
      <c r="AH36" s="45" cm="1">
        <f t="array" ref="AH36">IF(AC36="no",(TREND($I$15:$I$16,$H$15:$H$16,AB36)*TREND($N$29:$N$30,$I$29:$I$30,AB36)),IF(AC36="yes",(TREND($I$15:$I$16,$H$15:$H$16,AB36)*TREND($N$34:$N$35,$I$34:$I$35,AB36)),IF(AC36="Construction",0,0)))</f>
        <v>0.28868278388278379</v>
      </c>
      <c r="AI36" s="59">
        <f>IF(AB36&lt;=Assumptions!$D$15,SUMPRODUCT($I$6:$M$6,AD36:AH36),0)</f>
        <v>145878.62776556774</v>
      </c>
      <c r="AJ36" s="212"/>
    </row>
    <row r="37" spans="1:36" ht="15" customHeight="1" x14ac:dyDescent="0.25">
      <c r="B37" s="441"/>
      <c r="C37" s="441"/>
      <c r="D37" s="441"/>
      <c r="E37" s="441"/>
      <c r="F37" s="441"/>
      <c r="H37" s="28" t="s">
        <v>795</v>
      </c>
      <c r="M37" s="1"/>
      <c r="N37" s="1"/>
      <c r="P37" s="496"/>
      <c r="Q37" s="44">
        <f>Q36+1</f>
        <v>2049</v>
      </c>
      <c r="R37" s="21" t="s">
        <v>752</v>
      </c>
      <c r="S37" s="45" cm="1">
        <f t="array" ref="S37">IF(R37="Yes",(TREND($I$15:$I$16,$H$15:$H$16,Q37)*TREND($J$29:$J$30,$I$29:$I$30,Q37)),0)</f>
        <v>0</v>
      </c>
      <c r="T37" s="45" cm="1">
        <f t="array" ref="T37">IF(R37="Yes",(TREND($I$15:$I$16,$H$15:$H$16,Q37)*TREND($K$29:$K$30,$I$29:$I$30,Q37)),0)</f>
        <v>0.2505494505494506</v>
      </c>
      <c r="U37" s="45" cm="1">
        <f t="array" ref="U37">IF(R37="Yes",(TREND($I$15:$I$16,$H$15:$H$16,Q37)*TREND($L$29:$L$30,$I$29:$I$30,Q37)),0)</f>
        <v>0.75164835164835175</v>
      </c>
      <c r="V37" s="45" cm="1">
        <f t="array" ref="V37">IF(R37="Yes",(TREND($I$15:$I$16,$H$15:$H$16,Q37)*TREND($M$29:$M$30,$I$29:$I$30,Q37)),0)</f>
        <v>0.2505494505494506</v>
      </c>
      <c r="W37" s="45" cm="1">
        <f t="array" ref="W37">IF(R37="Yes",(TREND($I$15:$I$16,$H$15:$H$16,Q37)*TREND($N$29:$N$30,$I$29:$I$30,Q37)),0)</f>
        <v>1.0021978021978024</v>
      </c>
      <c r="X37" s="59">
        <f>IF(Q37&lt;=Assumptions!$D$15,SUMPRODUCT($I$6:$M$6,S37:W37),0)</f>
        <v>0</v>
      </c>
      <c r="AA37" s="496"/>
      <c r="AB37" s="44">
        <f>AB36+1</f>
        <v>2049</v>
      </c>
      <c r="AC37" s="21" t="str">
        <f>IF(AB37&gt;=(Assumptions!$D$45+Assumptions!$D$46),"Yes",IF(OR(AB37=Assumptions!$D$45,AB37=Assumptions!$D$45+Assumptions!$D$46-1),"Construction","No"))</f>
        <v>Yes</v>
      </c>
      <c r="AD37" s="45" cm="1">
        <f t="array" ref="AD37">IF(AC37="no",(TREND($I$15:$I$16,$H$15:$H$16,AB37)*TREND($J$29:$J$30,$I$29:$I$30,AB37)),IF(AC37="yes",(TREND($I$15:$I$16,$H$15:$H$16,AB37)*TREND($J$34:$J$35,$I$34:$I$35,AB37)),IF(AC37="Construction",0,0)))</f>
        <v>0</v>
      </c>
      <c r="AE37" s="45" cm="1">
        <f t="array" ref="AE37">IF(AC37="no",(TREND($I$15:$I$16,$H$15:$H$16,AB37)*TREND($K$29:$K$30,$I$29:$I$30,AB37)),IF(AC37="yes",(TREND($I$15:$I$16,$H$15:$H$16,AB37)*TREND($K$34:$K$35,$I$34:$I$35,AB37)),IF(AC37="Construction",0,0)))</f>
        <v>7.2659340659340668E-2</v>
      </c>
      <c r="AF37" s="45" cm="1">
        <f t="array" ref="AF37">IF(AC37="no",(TREND($I$15:$I$16,$H$15:$H$16,AB37)*TREND($L$29:$L$30,$I$29:$I$30,AB37)),IF(AC37="yes",(TREND($I$15:$I$16,$H$15:$H$16,AB37)*TREND($L$34:$L$35,$I$34:$I$35,AB37)),IF(AC37="Construction",0,0)))</f>
        <v>0.21797802197802199</v>
      </c>
      <c r="AG37" s="45" cm="1">
        <f t="array" ref="AG37">IF(AC37="no",(TREND($I$15:$I$16,$H$15:$H$16,AB37)*TREND($M$29:$M$30,$I$29:$I$30,AB37)),IF(AC37="yes",(TREND($I$15:$I$16,$H$15:$H$16,AB37)*TREND($M$34:$M$35,$I$34:$I$35,AB37)),IF(AC37="Construction",0,0)))</f>
        <v>7.2659340659340668E-2</v>
      </c>
      <c r="AH37" s="45" cm="1">
        <f t="array" ref="AH37">IF(AC37="no",(TREND($I$15:$I$16,$H$15:$H$16,AB37)*TREND($N$29:$N$30,$I$29:$I$30,AB37)),IF(AC37="yes",(TREND($I$15:$I$16,$H$15:$H$16,AB37)*TREND($N$34:$N$35,$I$34:$I$35,AB37)),IF(AC37="Construction",0,0)))</f>
        <v>0.29063736263736267</v>
      </c>
      <c r="AI37" s="59">
        <f>IF(AB37&lt;=Assumptions!$D$15,SUMPRODUCT($I$6:$M$6,AD37:AH37),0)</f>
        <v>0</v>
      </c>
      <c r="AJ37" s="212"/>
    </row>
    <row r="38" spans="1:36" x14ac:dyDescent="0.25">
      <c r="B38" s="441"/>
      <c r="C38" s="441"/>
      <c r="D38" s="441"/>
      <c r="E38" s="441"/>
      <c r="F38" s="441"/>
      <c r="M38" s="1"/>
      <c r="N38" s="1"/>
      <c r="P38" s="496"/>
      <c r="Q38" s="44">
        <f t="shared" si="4"/>
        <v>2050</v>
      </c>
      <c r="R38" s="21" t="s">
        <v>752</v>
      </c>
      <c r="S38" s="45" cm="1">
        <f t="array" ref="S38">IF(R38="Yes",(TREND($I$15:$I$16,$H$15:$H$16,Q38)*TREND($J$29:$J$30,$I$29:$I$30,Q38)),0)</f>
        <v>0</v>
      </c>
      <c r="T38" s="45" cm="1">
        <f t="array" ref="T38">IF(R38="Yes",(TREND($I$15:$I$16,$H$15:$H$16,Q38)*TREND($K$29:$K$30,$I$29:$I$30,Q38)),0)</f>
        <v>0.25223443223443237</v>
      </c>
      <c r="U38" s="45" cm="1">
        <f t="array" ref="U38">IF(R38="Yes",(TREND($I$15:$I$16,$H$15:$H$16,Q38)*TREND($L$29:$L$30,$I$29:$I$30,Q38)),0)</f>
        <v>0.75670329670329717</v>
      </c>
      <c r="V38" s="45" cm="1">
        <f t="array" ref="V38">IF(R38="Yes",(TREND($I$15:$I$16,$H$15:$H$16,Q38)*TREND($M$29:$M$30,$I$29:$I$30,Q38)),0)</f>
        <v>0.25223443223443237</v>
      </c>
      <c r="W38" s="45" cm="1">
        <f t="array" ref="W38">IF(R38="Yes",(TREND($I$15:$I$16,$H$15:$H$16,Q38)*TREND($N$29:$N$30,$I$29:$I$30,Q38)),0)</f>
        <v>1.0089377289377295</v>
      </c>
      <c r="X38" s="59">
        <f>IF(Q38&lt;=Assumptions!$D$15,SUMPRODUCT($I$6:$M$6,S38:W38),0)</f>
        <v>0</v>
      </c>
      <c r="AA38" s="496"/>
      <c r="AB38" s="44">
        <f t="shared" si="5"/>
        <v>2050</v>
      </c>
      <c r="AC38" s="21" t="str">
        <f>IF(AB38&gt;=(Assumptions!$D$45+Assumptions!$D$46),"Yes",IF(OR(AB38=Assumptions!$D$45,AB38=Assumptions!$D$45+Assumptions!$D$46-1),"Construction","No"))</f>
        <v>Yes</v>
      </c>
      <c r="AD38" s="45" cm="1">
        <f t="array" ref="AD38">IF(AC38="no",(TREND($I$15:$I$16,$H$15:$H$16,AB38)*TREND($J$29:$J$30,$I$29:$I$30,AB38)),IF(AC38="yes",(TREND($I$15:$I$16,$H$15:$H$16,AB38)*TREND($J$34:$J$35,$I$34:$I$35,AB38)),IF(AC38="Construction",0,0)))</f>
        <v>0</v>
      </c>
      <c r="AE38" s="45" cm="1">
        <f t="array" ref="AE38">IF(AC38="no",(TREND($I$15:$I$16,$H$15:$H$16,AB38)*TREND($K$29:$K$30,$I$29:$I$30,AB38)),IF(AC38="yes",(TREND($I$15:$I$16,$H$15:$H$16,AB38)*TREND($K$34:$K$35,$I$34:$I$35,AB38)),IF(AC38="Construction",0,0)))</f>
        <v>7.3147985347985375E-2</v>
      </c>
      <c r="AF38" s="45" cm="1">
        <f t="array" ref="AF38">IF(AC38="no",(TREND($I$15:$I$16,$H$15:$H$16,AB38)*TREND($L$29:$L$30,$I$29:$I$30,AB38)),IF(AC38="yes",(TREND($I$15:$I$16,$H$15:$H$16,AB38)*TREND($L$34:$L$35,$I$34:$I$35,AB38)),IF(AC38="Construction",0,0)))</f>
        <v>0.21944395604395617</v>
      </c>
      <c r="AG38" s="45" cm="1">
        <f t="array" ref="AG38">IF(AC38="no",(TREND($I$15:$I$16,$H$15:$H$16,AB38)*TREND($M$29:$M$30,$I$29:$I$30,AB38)),IF(AC38="yes",(TREND($I$15:$I$16,$H$15:$H$16,AB38)*TREND($M$34:$M$35,$I$34:$I$35,AB38)),IF(AC38="Construction",0,0)))</f>
        <v>7.3147985347985375E-2</v>
      </c>
      <c r="AH38" s="45" cm="1">
        <f t="array" ref="AH38">IF(AC38="no",(TREND($I$15:$I$16,$H$15:$H$16,AB38)*TREND($N$29:$N$30,$I$29:$I$30,AB38)),IF(AC38="yes",(TREND($I$15:$I$16,$H$15:$H$16,AB38)*TREND($N$34:$N$35,$I$34:$I$35,AB38)),IF(AC38="Construction",0,0)))</f>
        <v>0.2925919413919415</v>
      </c>
      <c r="AI38" s="59">
        <f>IF(AB38&lt;=Assumptions!$D$15,SUMPRODUCT($I$6:$M$6,AD38:AH38),0)</f>
        <v>0</v>
      </c>
      <c r="AJ38" s="212"/>
    </row>
    <row r="39" spans="1:36" ht="15" customHeight="1" x14ac:dyDescent="0.25">
      <c r="B39" s="441"/>
      <c r="C39" s="441"/>
      <c r="D39" s="441"/>
      <c r="E39" s="441"/>
      <c r="F39" s="441"/>
      <c r="M39" s="1"/>
      <c r="N39" s="1"/>
      <c r="P39" s="496"/>
      <c r="Q39" s="44">
        <f t="shared" si="4"/>
        <v>2051</v>
      </c>
      <c r="R39" s="21" t="s">
        <v>752</v>
      </c>
      <c r="S39" s="45" cm="1">
        <f t="array" ref="S39">IF(R39="Yes",(TREND($I$15:$I$16,$H$15:$H$16,Q39)*TREND($J$29:$J$30,$I$29:$I$30,Q39)),0)</f>
        <v>0</v>
      </c>
      <c r="T39" s="45" cm="1">
        <f t="array" ref="T39">IF(R39="Yes",(TREND($I$15:$I$16,$H$15:$H$16,Q39)*TREND($K$29:$K$30,$I$29:$I$30,Q39)),0)</f>
        <v>0.25391941391941375</v>
      </c>
      <c r="U39" s="45" cm="1">
        <f t="array" ref="U39">IF(R39="Yes",(TREND($I$15:$I$16,$H$15:$H$16,Q39)*TREND($L$29:$L$30,$I$29:$I$30,Q39)),0)</f>
        <v>0.76175824175824125</v>
      </c>
      <c r="V39" s="45" cm="1">
        <f t="array" ref="V39">IF(R39="Yes",(TREND($I$15:$I$16,$H$15:$H$16,Q39)*TREND($M$29:$M$30,$I$29:$I$30,Q39)),0)</f>
        <v>0.25391941391941375</v>
      </c>
      <c r="W39" s="45" cm="1">
        <f t="array" ref="W39">IF(R39="Yes",(TREND($I$15:$I$16,$H$15:$H$16,Q39)*TREND($N$29:$N$30,$I$29:$I$30,Q39)),0)</f>
        <v>1.015677655677655</v>
      </c>
      <c r="X39" s="59">
        <f>IF(Q39&lt;=Assumptions!$D$15,SUMPRODUCT($I$6:$M$6,S39:W39),0)</f>
        <v>0</v>
      </c>
      <c r="AA39" s="496"/>
      <c r="AB39" s="44">
        <f t="shared" si="5"/>
        <v>2051</v>
      </c>
      <c r="AC39" s="21" t="str">
        <f>IF(AB39&gt;=(Assumptions!$D$45+Assumptions!$D$46),"Yes",IF(OR(AB39=Assumptions!$D$45,AB39=Assumptions!$D$45+Assumptions!$D$46-1),"Construction","No"))</f>
        <v>Yes</v>
      </c>
      <c r="AD39" s="45" cm="1">
        <f t="array" ref="AD39">IF(AC39="no",(TREND($I$15:$I$16,$H$15:$H$16,AB39)*TREND($J$29:$J$30,$I$29:$I$30,AB39)),IF(AC39="yes",(TREND($I$15:$I$16,$H$15:$H$16,AB39)*TREND($J$34:$J$35,$I$34:$I$35,AB39)),IF(AC39="Construction",0,0)))</f>
        <v>0</v>
      </c>
      <c r="AE39" s="45" cm="1">
        <f t="array" ref="AE39">IF(AC39="no",(TREND($I$15:$I$16,$H$15:$H$16,AB39)*TREND($K$29:$K$30,$I$29:$I$30,AB39)),IF(AC39="yes",(TREND($I$15:$I$16,$H$15:$H$16,AB39)*TREND($K$34:$K$35,$I$34:$I$35,AB39)),IF(AC39="Construction",0,0)))</f>
        <v>7.3636630036629971E-2</v>
      </c>
      <c r="AF39" s="45" cm="1">
        <f t="array" ref="AF39">IF(AC39="no",(TREND($I$15:$I$16,$H$15:$H$16,AB39)*TREND($L$29:$L$30,$I$29:$I$30,AB39)),IF(AC39="yes",(TREND($I$15:$I$16,$H$15:$H$16,AB39)*TREND($L$34:$L$35,$I$34:$I$35,AB39)),IF(AC39="Construction",0,0)))</f>
        <v>0.22090989010988993</v>
      </c>
      <c r="AG39" s="45" cm="1">
        <f t="array" ref="AG39">IF(AC39="no",(TREND($I$15:$I$16,$H$15:$H$16,AB39)*TREND($M$29:$M$30,$I$29:$I$30,AB39)),IF(AC39="yes",(TREND($I$15:$I$16,$H$15:$H$16,AB39)*TREND($M$34:$M$35,$I$34:$I$35,AB39)),IF(AC39="Construction",0,0)))</f>
        <v>7.3636630036629971E-2</v>
      </c>
      <c r="AH39" s="45" cm="1">
        <f t="array" ref="AH39">IF(AC39="no",(TREND($I$15:$I$16,$H$15:$H$16,AB39)*TREND($N$29:$N$30,$I$29:$I$30,AB39)),IF(AC39="yes",(TREND($I$15:$I$16,$H$15:$H$16,AB39)*TREND($N$34:$N$35,$I$34:$I$35,AB39)),IF(AC39="Construction",0,0)))</f>
        <v>0.29454652014651989</v>
      </c>
      <c r="AI39" s="59">
        <f>IF(AB39&lt;=Assumptions!$D$15,SUMPRODUCT($I$6:$M$6,AD39:AH39),0)</f>
        <v>0</v>
      </c>
      <c r="AJ39" s="212"/>
    </row>
    <row r="40" spans="1:36" ht="15" customHeight="1" x14ac:dyDescent="0.25">
      <c r="M40" s="1"/>
      <c r="N40" s="1"/>
      <c r="P40" s="496"/>
      <c r="Q40" s="44">
        <f t="shared" si="4"/>
        <v>2052</v>
      </c>
      <c r="R40" s="21" t="s">
        <v>752</v>
      </c>
      <c r="S40" s="45" cm="1">
        <f t="array" ref="S40">IF(R40="Yes",(TREND($I$15:$I$16,$H$15:$H$16,Q40)*TREND($J$29:$J$30,$I$29:$I$30,Q40)),0)</f>
        <v>0</v>
      </c>
      <c r="T40" s="45" cm="1">
        <f t="array" ref="T40">IF(R40="Yes",(TREND($I$15:$I$16,$H$15:$H$16,Q40)*TREND($K$29:$K$30,$I$29:$I$30,Q40)),0)</f>
        <v>0.25560439560439552</v>
      </c>
      <c r="U40" s="45" cm="1">
        <f t="array" ref="U40">IF(R40="Yes",(TREND($I$15:$I$16,$H$15:$H$16,Q40)*TREND($L$29:$L$30,$I$29:$I$30,Q40)),0)</f>
        <v>0.76681318681318655</v>
      </c>
      <c r="V40" s="45" cm="1">
        <f t="array" ref="V40">IF(R40="Yes",(TREND($I$15:$I$16,$H$15:$H$16,Q40)*TREND($M$29:$M$30,$I$29:$I$30,Q40)),0)</f>
        <v>0.25560439560439552</v>
      </c>
      <c r="W40" s="45" cm="1">
        <f t="array" ref="W40">IF(R40="Yes",(TREND($I$15:$I$16,$H$15:$H$16,Q40)*TREND($N$29:$N$30,$I$29:$I$30,Q40)),0)</f>
        <v>1.0224175824175821</v>
      </c>
      <c r="X40" s="59">
        <f>IF(Q40&lt;=Assumptions!$D$15,SUMPRODUCT($I$6:$M$6,S40:W40),0)</f>
        <v>0</v>
      </c>
      <c r="AA40" s="496"/>
      <c r="AB40" s="44">
        <f t="shared" si="5"/>
        <v>2052</v>
      </c>
      <c r="AC40" s="21" t="str">
        <f>IF(AB40&gt;=(Assumptions!$D$45+Assumptions!$D$46),"Yes",IF(OR(AB40=Assumptions!$D$45,AB40=Assumptions!$D$45+Assumptions!$D$46-1),"Construction","No"))</f>
        <v>Yes</v>
      </c>
      <c r="AD40" s="45" cm="1">
        <f t="array" ref="AD40">IF(AC40="no",(TREND($I$15:$I$16,$H$15:$H$16,AB40)*TREND($J$29:$J$30,$I$29:$I$30,AB40)),IF(AC40="yes",(TREND($I$15:$I$16,$H$15:$H$16,AB40)*TREND($J$34:$J$35,$I$34:$I$35,AB40)),IF(AC40="Construction",0,0)))</f>
        <v>0</v>
      </c>
      <c r="AE40" s="45" cm="1">
        <f t="array" ref="AE40">IF(AC40="no",(TREND($I$15:$I$16,$H$15:$H$16,AB40)*TREND($K$29:$K$30,$I$29:$I$30,AB40)),IF(AC40="yes",(TREND($I$15:$I$16,$H$15:$H$16,AB40)*TREND($K$34:$K$35,$I$34:$I$35,AB40)),IF(AC40="Construction",0,0)))</f>
        <v>7.4125274725274692E-2</v>
      </c>
      <c r="AF40" s="45" cm="1">
        <f t="array" ref="AF40">IF(AC40="no",(TREND($I$15:$I$16,$H$15:$H$16,AB40)*TREND($L$29:$L$30,$I$29:$I$30,AB40)),IF(AC40="yes",(TREND($I$15:$I$16,$H$15:$H$16,AB40)*TREND($L$34:$L$35,$I$34:$I$35,AB40)),IF(AC40="Construction",0,0)))</f>
        <v>0.22237582417582408</v>
      </c>
      <c r="AG40" s="45" cm="1">
        <f t="array" ref="AG40">IF(AC40="no",(TREND($I$15:$I$16,$H$15:$H$16,AB40)*TREND($M$29:$M$30,$I$29:$I$30,AB40)),IF(AC40="yes",(TREND($I$15:$I$16,$H$15:$H$16,AB40)*TREND($M$34:$M$35,$I$34:$I$35,AB40)),IF(AC40="Construction",0,0)))</f>
        <v>7.4125274725274692E-2</v>
      </c>
      <c r="AH40" s="45" cm="1">
        <f t="array" ref="AH40">IF(AC40="no",(TREND($I$15:$I$16,$H$15:$H$16,AB40)*TREND($N$29:$N$30,$I$29:$I$30,AB40)),IF(AC40="yes",(TREND($I$15:$I$16,$H$15:$H$16,AB40)*TREND($N$34:$N$35,$I$34:$I$35,AB40)),IF(AC40="Construction",0,0)))</f>
        <v>0.29650109890109877</v>
      </c>
      <c r="AI40" s="59">
        <f>IF(AB40&lt;=Assumptions!$D$15,SUMPRODUCT($I$6:$M$6,AD40:AH40),0)</f>
        <v>0</v>
      </c>
      <c r="AJ40" s="212"/>
    </row>
    <row r="41" spans="1:36" ht="15" customHeight="1" x14ac:dyDescent="0.25">
      <c r="A41" s="2" t="s">
        <v>16</v>
      </c>
      <c r="B41" s="441" t="s">
        <v>248</v>
      </c>
      <c r="C41" s="441"/>
      <c r="D41" s="441"/>
      <c r="E41" s="441"/>
      <c r="F41" s="441"/>
      <c r="M41" s="1"/>
      <c r="N41" s="1"/>
      <c r="P41" s="496"/>
      <c r="Q41" s="44">
        <f t="shared" si="4"/>
        <v>2053</v>
      </c>
      <c r="R41" s="21" t="s">
        <v>752</v>
      </c>
      <c r="S41" s="45" cm="1">
        <f t="array" ref="S41">IF(R41="Yes",(TREND($I$15:$I$16,$H$15:$H$16,Q41)*TREND($J$29:$J$30,$I$29:$I$30,Q41)),0)</f>
        <v>0</v>
      </c>
      <c r="T41" s="45" cm="1">
        <f t="array" ref="T41">IF(R41="Yes",(TREND($I$15:$I$16,$H$15:$H$16,Q41)*TREND($K$29:$K$30,$I$29:$I$30,Q41)),0)</f>
        <v>0.25728937728937734</v>
      </c>
      <c r="U41" s="45" cm="1">
        <f t="array" ref="U41">IF(R41="Yes",(TREND($I$15:$I$16,$H$15:$H$16,Q41)*TREND($L$29:$L$30,$I$29:$I$30,Q41)),0)</f>
        <v>0.77186813186813197</v>
      </c>
      <c r="V41" s="45" cm="1">
        <f t="array" ref="V41">IF(R41="Yes",(TREND($I$15:$I$16,$H$15:$H$16,Q41)*TREND($M$29:$M$30,$I$29:$I$30,Q41)),0)</f>
        <v>0.25728937728937734</v>
      </c>
      <c r="W41" s="45" cm="1">
        <f t="array" ref="W41">IF(R41="Yes",(TREND($I$15:$I$16,$H$15:$H$16,Q41)*TREND($N$29:$N$30,$I$29:$I$30,Q41)),0)</f>
        <v>1.0291575091575094</v>
      </c>
      <c r="X41" s="59">
        <f>IF(Q41&lt;=Assumptions!$D$15,SUMPRODUCT($I$6:$M$6,S41:W41),0)</f>
        <v>0</v>
      </c>
      <c r="AA41" s="496"/>
      <c r="AB41" s="44">
        <f t="shared" si="5"/>
        <v>2053</v>
      </c>
      <c r="AC41" s="21" t="str">
        <f>IF(AB41&gt;=(Assumptions!$D$45+Assumptions!$D$46),"Yes",IF(OR(AB41=Assumptions!$D$45,AB41=Assumptions!$D$45+Assumptions!$D$46-1),"Construction","No"))</f>
        <v>Yes</v>
      </c>
      <c r="AD41" s="45" cm="1">
        <f t="array" ref="AD41">IF(AC41="no",(TREND($I$15:$I$16,$H$15:$H$16,AB41)*TREND($J$29:$J$30,$I$29:$I$30,AB41)),IF(AC41="yes",(TREND($I$15:$I$16,$H$15:$H$16,AB41)*TREND($J$34:$J$35,$I$34:$I$35,AB41)),IF(AC41="Construction",0,0)))</f>
        <v>0</v>
      </c>
      <c r="AE41" s="45" cm="1">
        <f t="array" ref="AE41">IF(AC41="no",(TREND($I$15:$I$16,$H$15:$H$16,AB41)*TREND($K$29:$K$30,$I$29:$I$30,AB41)),IF(AC41="yes",(TREND($I$15:$I$16,$H$15:$H$16,AB41)*TREND($K$34:$K$35,$I$34:$I$35,AB41)),IF(AC41="Construction",0,0)))</f>
        <v>7.4613919413919413E-2</v>
      </c>
      <c r="AF41" s="45" cm="1">
        <f t="array" ref="AF41">IF(AC41="no",(TREND($I$15:$I$16,$H$15:$H$16,AB41)*TREND($L$29:$L$30,$I$29:$I$30,AB41)),IF(AC41="yes",(TREND($I$15:$I$16,$H$15:$H$16,AB41)*TREND($L$34:$L$35,$I$34:$I$35,AB41)),IF(AC41="Construction",0,0)))</f>
        <v>0.22384175824175825</v>
      </c>
      <c r="AG41" s="45" cm="1">
        <f t="array" ref="AG41">IF(AC41="no",(TREND($I$15:$I$16,$H$15:$H$16,AB41)*TREND($M$29:$M$30,$I$29:$I$30,AB41)),IF(AC41="yes",(TREND($I$15:$I$16,$H$15:$H$16,AB41)*TREND($M$34:$M$35,$I$34:$I$35,AB41)),IF(AC41="Construction",0,0)))</f>
        <v>7.4613919413919413E-2</v>
      </c>
      <c r="AH41" s="45" cm="1">
        <f t="array" ref="AH41">IF(AC41="no",(TREND($I$15:$I$16,$H$15:$H$16,AB41)*TREND($N$29:$N$30,$I$29:$I$30,AB41)),IF(AC41="yes",(TREND($I$15:$I$16,$H$15:$H$16,AB41)*TREND($N$34:$N$35,$I$34:$I$35,AB41)),IF(AC41="Construction",0,0)))</f>
        <v>0.29845567765567765</v>
      </c>
      <c r="AI41" s="59">
        <f>IF(AB41&lt;=Assumptions!$D$15,SUMPRODUCT($I$6:$M$6,AD41:AH41),0)</f>
        <v>0</v>
      </c>
      <c r="AJ41" s="212"/>
    </row>
    <row r="42" spans="1:36" ht="15" customHeight="1" x14ac:dyDescent="0.25">
      <c r="B42" s="441"/>
      <c r="C42" s="441"/>
      <c r="D42" s="441"/>
      <c r="E42" s="441"/>
      <c r="F42" s="441"/>
      <c r="M42" s="1"/>
      <c r="N42" s="1"/>
      <c r="P42" s="496"/>
      <c r="Q42" s="44">
        <f t="shared" si="4"/>
        <v>2054</v>
      </c>
      <c r="R42" s="21" t="s">
        <v>752</v>
      </c>
      <c r="S42" s="45" cm="1">
        <f t="array" ref="S42">IF(R42="Yes",(TREND($I$15:$I$16,$H$15:$H$16,Q42)*TREND($J$29:$J$30,$I$29:$I$30,Q42)),0)</f>
        <v>0</v>
      </c>
      <c r="T42" s="45" cm="1">
        <f t="array" ref="T42">IF(R42="Yes",(TREND($I$15:$I$16,$H$15:$H$16,Q42)*TREND($K$29:$K$30,$I$29:$I$30,Q42)),0)</f>
        <v>0.25897435897435911</v>
      </c>
      <c r="U42" s="45" cm="1">
        <f t="array" ref="U42">IF(R42="Yes",(TREND($I$15:$I$16,$H$15:$H$16,Q42)*TREND($L$29:$L$30,$I$29:$I$30,Q42)),0)</f>
        <v>0.77692307692307738</v>
      </c>
      <c r="V42" s="45" cm="1">
        <f t="array" ref="V42">IF(R42="Yes",(TREND($I$15:$I$16,$H$15:$H$16,Q42)*TREND($M$29:$M$30,$I$29:$I$30,Q42)),0)</f>
        <v>0.25897435897435911</v>
      </c>
      <c r="W42" s="45" cm="1">
        <f t="array" ref="W42">IF(R42="Yes",(TREND($I$15:$I$16,$H$15:$H$16,Q42)*TREND($N$29:$N$30,$I$29:$I$30,Q42)),0)</f>
        <v>1.0358974358974364</v>
      </c>
      <c r="X42" s="59">
        <f>IF(Q42&lt;=Assumptions!$D$15,SUMPRODUCT($I$6:$M$6,S42:W42),0)</f>
        <v>0</v>
      </c>
      <c r="AA42" s="496"/>
      <c r="AB42" s="44">
        <f t="shared" si="5"/>
        <v>2054</v>
      </c>
      <c r="AC42" s="21" t="str">
        <f>IF(AB42&gt;=(Assumptions!$D$45+Assumptions!$D$46),"Yes",IF(OR(AB42=Assumptions!$D$45,AB42=Assumptions!$D$45+Assumptions!$D$46-1),"Construction","No"))</f>
        <v>Yes</v>
      </c>
      <c r="AD42" s="45" cm="1">
        <f t="array" ref="AD42">IF(AC42="no",(TREND($I$15:$I$16,$H$15:$H$16,AB42)*TREND($J$29:$J$30,$I$29:$I$30,AB42)),IF(AC42="yes",(TREND($I$15:$I$16,$H$15:$H$16,AB42)*TREND($J$34:$J$35,$I$34:$I$35,AB42)),IF(AC42="Construction",0,0)))</f>
        <v>0</v>
      </c>
      <c r="AE42" s="45" cm="1">
        <f t="array" ref="AE42">IF(AC42="no",(TREND($I$15:$I$16,$H$15:$H$16,AB42)*TREND($K$29:$K$30,$I$29:$I$30,AB42)),IF(AC42="yes",(TREND($I$15:$I$16,$H$15:$H$16,AB42)*TREND($K$34:$K$35,$I$34:$I$35,AB42)),IF(AC42="Construction",0,0)))</f>
        <v>7.5102564102564134E-2</v>
      </c>
      <c r="AF42" s="45" cm="1">
        <f t="array" ref="AF42">IF(AC42="no",(TREND($I$15:$I$16,$H$15:$H$16,AB42)*TREND($L$29:$L$30,$I$29:$I$30,AB42)),IF(AC42="yes",(TREND($I$15:$I$16,$H$15:$H$16,AB42)*TREND($L$34:$L$35,$I$34:$I$35,AB42)),IF(AC42="Construction",0,0)))</f>
        <v>0.2253076923076924</v>
      </c>
      <c r="AG42" s="45" cm="1">
        <f t="array" ref="AG42">IF(AC42="no",(TREND($I$15:$I$16,$H$15:$H$16,AB42)*TREND($M$29:$M$30,$I$29:$I$30,AB42)),IF(AC42="yes",(TREND($I$15:$I$16,$H$15:$H$16,AB42)*TREND($M$34:$M$35,$I$34:$I$35,AB42)),IF(AC42="Construction",0,0)))</f>
        <v>7.5102564102564134E-2</v>
      </c>
      <c r="AH42" s="45" cm="1">
        <f t="array" ref="AH42">IF(AC42="no",(TREND($I$15:$I$16,$H$15:$H$16,AB42)*TREND($N$29:$N$30,$I$29:$I$30,AB42)),IF(AC42="yes",(TREND($I$15:$I$16,$H$15:$H$16,AB42)*TREND($N$34:$N$35,$I$34:$I$35,AB42)),IF(AC42="Construction",0,0)))</f>
        <v>0.30041025641025654</v>
      </c>
      <c r="AI42" s="59">
        <f>IF(AB42&lt;=Assumptions!$D$15,SUMPRODUCT($I$6:$M$6,AD42:AH42),0)</f>
        <v>0</v>
      </c>
      <c r="AJ42" s="212"/>
    </row>
    <row r="43" spans="1:36" x14ac:dyDescent="0.25">
      <c r="B43" s="441"/>
      <c r="C43" s="441"/>
      <c r="D43" s="441"/>
      <c r="E43" s="441"/>
      <c r="F43" s="441"/>
      <c r="M43" s="1"/>
      <c r="N43" s="1"/>
      <c r="P43" s="496"/>
      <c r="Q43" s="44">
        <f t="shared" si="4"/>
        <v>2055</v>
      </c>
      <c r="R43" s="21" t="s">
        <v>752</v>
      </c>
      <c r="S43" s="45" cm="1">
        <f t="array" ref="S43">IF(R43="Yes",(TREND($I$15:$I$16,$H$15:$H$16,Q43)*TREND($J$29:$J$30,$I$29:$I$30,Q43)),0)</f>
        <v>0</v>
      </c>
      <c r="T43" s="45" cm="1">
        <f t="array" ref="T43">IF(R43="Yes",(TREND($I$15:$I$16,$H$15:$H$16,Q43)*TREND($K$29:$K$30,$I$29:$I$30,Q43)),0)</f>
        <v>0.26065934065934043</v>
      </c>
      <c r="U43" s="45" cm="1">
        <f t="array" ref="U43">IF(R43="Yes",(TREND($I$15:$I$16,$H$15:$H$16,Q43)*TREND($L$29:$L$30,$I$29:$I$30,Q43)),0)</f>
        <v>0.78197802197802135</v>
      </c>
      <c r="V43" s="45" cm="1">
        <f t="array" ref="V43">IF(R43="Yes",(TREND($I$15:$I$16,$H$15:$H$16,Q43)*TREND($M$29:$M$30,$I$29:$I$30,Q43)),0)</f>
        <v>0.26065934065934043</v>
      </c>
      <c r="W43" s="45" cm="1">
        <f t="array" ref="W43">IF(R43="Yes",(TREND($I$15:$I$16,$H$15:$H$16,Q43)*TREND($N$29:$N$30,$I$29:$I$30,Q43)),0)</f>
        <v>1.0426373626373617</v>
      </c>
      <c r="X43" s="59">
        <f>IF(Q43&lt;=Assumptions!$D$15,SUMPRODUCT($I$6:$M$6,S43:W43),0)</f>
        <v>0</v>
      </c>
      <c r="AA43" s="496"/>
      <c r="AB43" s="44">
        <f t="shared" si="5"/>
        <v>2055</v>
      </c>
      <c r="AC43" s="21" t="str">
        <f>IF(AB43&gt;=(Assumptions!$D$45+Assumptions!$D$46),"Yes",IF(OR(AB43=Assumptions!$D$45,AB43=Assumptions!$D$45+Assumptions!$D$46-1),"Construction","No"))</f>
        <v>Yes</v>
      </c>
      <c r="AD43" s="45" cm="1">
        <f t="array" ref="AD43">IF(AC43="no",(TREND($I$15:$I$16,$H$15:$H$16,AB43)*TREND($J$29:$J$30,$I$29:$I$30,AB43)),IF(AC43="yes",(TREND($I$15:$I$16,$H$15:$H$16,AB43)*TREND($J$34:$J$35,$I$34:$I$35,AB43)),IF(AC43="Construction",0,0)))</f>
        <v>0</v>
      </c>
      <c r="AE43" s="45" cm="1">
        <f t="array" ref="AE43">IF(AC43="no",(TREND($I$15:$I$16,$H$15:$H$16,AB43)*TREND($K$29:$K$30,$I$29:$I$30,AB43)),IF(AC43="yes",(TREND($I$15:$I$16,$H$15:$H$16,AB43)*TREND($K$34:$K$35,$I$34:$I$35,AB43)),IF(AC43="Construction",0,0)))</f>
        <v>7.5591208791208717E-2</v>
      </c>
      <c r="AF43" s="45" cm="1">
        <f t="array" ref="AF43">IF(AC43="no",(TREND($I$15:$I$16,$H$15:$H$16,AB43)*TREND($L$29:$L$30,$I$29:$I$30,AB43)),IF(AC43="yes",(TREND($I$15:$I$16,$H$15:$H$16,AB43)*TREND($L$34:$L$35,$I$34:$I$35,AB43)),IF(AC43="Construction",0,0)))</f>
        <v>0.22677362637362616</v>
      </c>
      <c r="AG43" s="45" cm="1">
        <f t="array" ref="AG43">IF(AC43="no",(TREND($I$15:$I$16,$H$15:$H$16,AB43)*TREND($M$29:$M$30,$I$29:$I$30,AB43)),IF(AC43="yes",(TREND($I$15:$I$16,$H$15:$H$16,AB43)*TREND($M$34:$M$35,$I$34:$I$35,AB43)),IF(AC43="Construction",0,0)))</f>
        <v>7.5591208791208717E-2</v>
      </c>
      <c r="AH43" s="45" cm="1">
        <f t="array" ref="AH43">IF(AC43="no",(TREND($I$15:$I$16,$H$15:$H$16,AB43)*TREND($N$29:$N$30,$I$29:$I$30,AB43)),IF(AC43="yes",(TREND($I$15:$I$16,$H$15:$H$16,AB43)*TREND($N$34:$N$35,$I$34:$I$35,AB43)),IF(AC43="Construction",0,0)))</f>
        <v>0.30236483516483487</v>
      </c>
      <c r="AI43" s="59">
        <f>IF(AB43&lt;=Assumptions!$D$15,SUMPRODUCT($I$6:$M$6,AD43:AH43),0)</f>
        <v>0</v>
      </c>
      <c r="AJ43" s="212"/>
    </row>
    <row r="44" spans="1:36" ht="15" customHeight="1" x14ac:dyDescent="0.25">
      <c r="B44" s="7"/>
      <c r="C44" s="7"/>
      <c r="D44" s="7"/>
      <c r="E44" s="7"/>
      <c r="F44" s="7"/>
      <c r="M44" s="1"/>
      <c r="N44" s="1"/>
      <c r="P44" s="496"/>
      <c r="Q44" s="44">
        <f t="shared" si="4"/>
        <v>2056</v>
      </c>
      <c r="R44" s="21" t="s">
        <v>752</v>
      </c>
      <c r="S44" s="45" cm="1">
        <f t="array" ref="S44">IF(R44="Yes",(TREND($I$15:$I$16,$H$15:$H$16,Q44)*TREND($J$29:$J$30,$I$29:$I$30,Q44)),0)</f>
        <v>0</v>
      </c>
      <c r="T44" s="45" cm="1">
        <f t="array" ref="T44">IF(R44="Yes",(TREND($I$15:$I$16,$H$15:$H$16,Q44)*TREND($K$29:$K$30,$I$29:$I$30,Q44)),0)</f>
        <v>0.26234432234432226</v>
      </c>
      <c r="U44" s="45" cm="1">
        <f t="array" ref="U44">IF(R44="Yes",(TREND($I$15:$I$16,$H$15:$H$16,Q44)*TREND($L$29:$L$30,$I$29:$I$30,Q44)),0)</f>
        <v>0.78703296703296677</v>
      </c>
      <c r="V44" s="45" cm="1">
        <f t="array" ref="V44">IF(R44="Yes",(TREND($I$15:$I$16,$H$15:$H$16,Q44)*TREND($M$29:$M$30,$I$29:$I$30,Q44)),0)</f>
        <v>0.26234432234432226</v>
      </c>
      <c r="W44" s="45" cm="1">
        <f t="array" ref="W44">IF(R44="Yes",(TREND($I$15:$I$16,$H$15:$H$16,Q44)*TREND($N$29:$N$30,$I$29:$I$30,Q44)),0)</f>
        <v>1.049377289377289</v>
      </c>
      <c r="X44" s="59">
        <f>IF(Q44&lt;=Assumptions!$D$15,SUMPRODUCT($I$6:$M$6,S44:W44),0)</f>
        <v>0</v>
      </c>
      <c r="AA44" s="496"/>
      <c r="AB44" s="44">
        <f t="shared" si="5"/>
        <v>2056</v>
      </c>
      <c r="AC44" s="21" t="str">
        <f>IF(AB44&gt;=(Assumptions!$D$45+Assumptions!$D$46),"Yes",IF(OR(AB44=Assumptions!$D$45,AB44=Assumptions!$D$45+Assumptions!$D$46-1),"Construction","No"))</f>
        <v>Yes</v>
      </c>
      <c r="AD44" s="45" cm="1">
        <f t="array" ref="AD44">IF(AC44="no",(TREND($I$15:$I$16,$H$15:$H$16,AB44)*TREND($J$29:$J$30,$I$29:$I$30,AB44)),IF(AC44="yes",(TREND($I$15:$I$16,$H$15:$H$16,AB44)*TREND($J$34:$J$35,$I$34:$I$35,AB44)),IF(AC44="Construction",0,0)))</f>
        <v>0</v>
      </c>
      <c r="AE44" s="45" cm="1">
        <f t="array" ref="AE44">IF(AC44="no",(TREND($I$15:$I$16,$H$15:$H$16,AB44)*TREND($K$29:$K$30,$I$29:$I$30,AB44)),IF(AC44="yes",(TREND($I$15:$I$16,$H$15:$H$16,AB44)*TREND($K$34:$K$35,$I$34:$I$35,AB44)),IF(AC44="Construction",0,0)))</f>
        <v>7.6079853479853438E-2</v>
      </c>
      <c r="AF44" s="45" cm="1">
        <f t="array" ref="AF44">IF(AC44="no",(TREND($I$15:$I$16,$H$15:$H$16,AB44)*TREND($L$29:$L$30,$I$29:$I$30,AB44)),IF(AC44="yes",(TREND($I$15:$I$16,$H$15:$H$16,AB44)*TREND($L$34:$L$35,$I$34:$I$35,AB44)),IF(AC44="Construction",0,0)))</f>
        <v>0.22823956043956034</v>
      </c>
      <c r="AG44" s="45" cm="1">
        <f t="array" ref="AG44">IF(AC44="no",(TREND($I$15:$I$16,$H$15:$H$16,AB44)*TREND($M$29:$M$30,$I$29:$I$30,AB44)),IF(AC44="yes",(TREND($I$15:$I$16,$H$15:$H$16,AB44)*TREND($M$34:$M$35,$I$34:$I$35,AB44)),IF(AC44="Construction",0,0)))</f>
        <v>7.6079853479853438E-2</v>
      </c>
      <c r="AH44" s="45" cm="1">
        <f t="array" ref="AH44">IF(AC44="no",(TREND($I$15:$I$16,$H$15:$H$16,AB44)*TREND($N$29:$N$30,$I$29:$I$30,AB44)),IF(AC44="yes",(TREND($I$15:$I$16,$H$15:$H$16,AB44)*TREND($N$34:$N$35,$I$34:$I$35,AB44)),IF(AC44="Construction",0,0)))</f>
        <v>0.30431941391941375</v>
      </c>
      <c r="AI44" s="59">
        <f>IF(AB44&lt;=Assumptions!$D$15,SUMPRODUCT($I$6:$M$6,AD44:AH44),0)</f>
        <v>0</v>
      </c>
      <c r="AJ44" s="212"/>
    </row>
    <row r="45" spans="1:36" ht="15" customHeight="1" x14ac:dyDescent="0.25">
      <c r="B45" s="7"/>
      <c r="C45" s="7"/>
      <c r="D45" s="7"/>
      <c r="E45" s="7"/>
      <c r="F45" s="7"/>
      <c r="N45" s="1"/>
      <c r="P45" s="496"/>
      <c r="Q45" s="44">
        <f t="shared" si="4"/>
        <v>2057</v>
      </c>
      <c r="R45" s="21" t="s">
        <v>752</v>
      </c>
      <c r="S45" s="45" cm="1">
        <f t="array" ref="S45">IF(R45="Yes",(TREND($I$15:$I$16,$H$15:$H$16,Q45)*TREND($J$29:$J$30,$I$29:$I$30,Q45)),0)</f>
        <v>0</v>
      </c>
      <c r="T45" s="45" cm="1">
        <f t="array" ref="T45">IF(R45="Yes",(TREND($I$15:$I$16,$H$15:$H$16,Q45)*TREND($K$29:$K$30,$I$29:$I$30,Q45)),0)</f>
        <v>0.26402930402930402</v>
      </c>
      <c r="U45" s="45" cm="1">
        <f t="array" ref="U45">IF(R45="Yes",(TREND($I$15:$I$16,$H$15:$H$16,Q45)*TREND($L$29:$L$30,$I$29:$I$30,Q45)),0)</f>
        <v>0.79208791208791207</v>
      </c>
      <c r="V45" s="45" cm="1">
        <f t="array" ref="V45">IF(R45="Yes",(TREND($I$15:$I$16,$H$15:$H$16,Q45)*TREND($M$29:$M$30,$I$29:$I$30,Q45)),0)</f>
        <v>0.26402930402930402</v>
      </c>
      <c r="W45" s="45" cm="1">
        <f t="array" ref="W45">IF(R45="Yes",(TREND($I$15:$I$16,$H$15:$H$16,Q45)*TREND($N$29:$N$30,$I$29:$I$30,Q45)),0)</f>
        <v>1.0561172161172161</v>
      </c>
      <c r="X45" s="59">
        <f>IF(Q45&lt;=Assumptions!$D$15,SUMPRODUCT($I$6:$M$6,S45:W45),0)</f>
        <v>0</v>
      </c>
      <c r="AA45" s="496"/>
      <c r="AB45" s="44">
        <f t="shared" si="5"/>
        <v>2057</v>
      </c>
      <c r="AC45" s="21" t="str">
        <f>IF(AB45&gt;=(Assumptions!$D$45+Assumptions!$D$46),"Yes",IF(OR(AB45=Assumptions!$D$45,AB45=Assumptions!$D$45+Assumptions!$D$46-1),"Construction","No"))</f>
        <v>Yes</v>
      </c>
      <c r="AD45" s="45" cm="1">
        <f t="array" ref="AD45">IF(AC45="no",(TREND($I$15:$I$16,$H$15:$H$16,AB45)*TREND($J$29:$J$30,$I$29:$I$30,AB45)),IF(AC45="yes",(TREND($I$15:$I$16,$H$15:$H$16,AB45)*TREND($J$34:$J$35,$I$34:$I$35,AB45)),IF(AC45="Construction",0,0)))</f>
        <v>0</v>
      </c>
      <c r="AE45" s="45" cm="1">
        <f t="array" ref="AE45">IF(AC45="no",(TREND($I$15:$I$16,$H$15:$H$16,AB45)*TREND($K$29:$K$30,$I$29:$I$30,AB45)),IF(AC45="yes",(TREND($I$15:$I$16,$H$15:$H$16,AB45)*TREND($K$34:$K$35,$I$34:$I$35,AB45)),IF(AC45="Construction",0,0)))</f>
        <v>7.6568498168498159E-2</v>
      </c>
      <c r="AF45" s="45" cm="1">
        <f t="array" ref="AF45">IF(AC45="no",(TREND($I$15:$I$16,$H$15:$H$16,AB45)*TREND($L$29:$L$30,$I$29:$I$30,AB45)),IF(AC45="yes",(TREND($I$15:$I$16,$H$15:$H$16,AB45)*TREND($L$34:$L$35,$I$34:$I$35,AB45)),IF(AC45="Construction",0,0)))</f>
        <v>0.22970549450549449</v>
      </c>
      <c r="AG45" s="45" cm="1">
        <f t="array" ref="AG45">IF(AC45="no",(TREND($I$15:$I$16,$H$15:$H$16,AB45)*TREND($M$29:$M$30,$I$29:$I$30,AB45)),IF(AC45="yes",(TREND($I$15:$I$16,$H$15:$H$16,AB45)*TREND($M$34:$M$35,$I$34:$I$35,AB45)),IF(AC45="Construction",0,0)))</f>
        <v>7.6568498168498159E-2</v>
      </c>
      <c r="AH45" s="45" cm="1">
        <f t="array" ref="AH45">IF(AC45="no",(TREND($I$15:$I$16,$H$15:$H$16,AB45)*TREND($N$29:$N$30,$I$29:$I$30,AB45)),IF(AC45="yes",(TREND($I$15:$I$16,$H$15:$H$16,AB45)*TREND($N$34:$N$35,$I$34:$I$35,AB45)),IF(AC45="Construction",0,0)))</f>
        <v>0.30627399267399263</v>
      </c>
      <c r="AI45" s="59">
        <f>IF(AB45&lt;=Assumptions!$D$15,SUMPRODUCT($I$6:$M$6,AD45:AH45),0)</f>
        <v>0</v>
      </c>
      <c r="AJ45" s="212"/>
    </row>
    <row r="46" spans="1:36" x14ac:dyDescent="0.25">
      <c r="P46" s="496"/>
      <c r="Q46" s="44">
        <f t="shared" si="4"/>
        <v>2058</v>
      </c>
      <c r="R46" s="21" t="s">
        <v>752</v>
      </c>
      <c r="S46" s="45" cm="1">
        <f t="array" ref="S46">IF(R46="Yes",(TREND($I$15:$I$16,$H$15:$H$16,Q46)*TREND($J$29:$J$30,$I$29:$I$30,Q46)),0)</f>
        <v>0</v>
      </c>
      <c r="T46" s="45" cm="1">
        <f t="array" ref="T46">IF(R46="Yes",(TREND($I$15:$I$16,$H$15:$H$16,Q46)*TREND($K$29:$K$30,$I$29:$I$30,Q46)),0)</f>
        <v>0.26571428571428585</v>
      </c>
      <c r="U46" s="45" cm="1">
        <f t="array" ref="U46">IF(R46="Yes",(TREND($I$15:$I$16,$H$15:$H$16,Q46)*TREND($L$29:$L$30,$I$29:$I$30,Q46)),0)</f>
        <v>0.79714285714285749</v>
      </c>
      <c r="V46" s="45" cm="1">
        <f t="array" ref="V46">IF(R46="Yes",(TREND($I$15:$I$16,$H$15:$H$16,Q46)*TREND($M$29:$M$30,$I$29:$I$30,Q46)),0)</f>
        <v>0.26571428571428585</v>
      </c>
      <c r="W46" s="45" cm="1">
        <f t="array" ref="W46">IF(R46="Yes",(TREND($I$15:$I$16,$H$15:$H$16,Q46)*TREND($N$29:$N$30,$I$29:$I$30,Q46)),0)</f>
        <v>1.0628571428571434</v>
      </c>
      <c r="X46" s="59">
        <f>IF(Q46&lt;=Assumptions!$D$15,SUMPRODUCT($I$6:$M$6,S46:W46),0)</f>
        <v>0</v>
      </c>
      <c r="AA46" s="496"/>
      <c r="AB46" s="44">
        <f t="shared" si="5"/>
        <v>2058</v>
      </c>
      <c r="AC46" s="21" t="str">
        <f>IF(AB46&gt;=(Assumptions!$D$45+Assumptions!$D$46),"Yes",IF(OR(AB46=Assumptions!$D$45,AB46=Assumptions!$D$45+Assumptions!$D$46-1),"Construction","No"))</f>
        <v>Yes</v>
      </c>
      <c r="AD46" s="45" cm="1">
        <f t="array" ref="AD46">IF(AC46="no",(TREND($I$15:$I$16,$H$15:$H$16,AB46)*TREND($J$29:$J$30,$I$29:$I$30,AB46)),IF(AC46="yes",(TREND($I$15:$I$16,$H$15:$H$16,AB46)*TREND($J$34:$J$35,$I$34:$I$35,AB46)),IF(AC46="Construction",0,0)))</f>
        <v>0</v>
      </c>
      <c r="AE46" s="45" cm="1">
        <f t="array" ref="AE46">IF(AC46="no",(TREND($I$15:$I$16,$H$15:$H$16,AB46)*TREND($K$29:$K$30,$I$29:$I$30,AB46)),IF(AC46="yes",(TREND($I$15:$I$16,$H$15:$H$16,AB46)*TREND($K$34:$K$35,$I$34:$I$35,AB46)),IF(AC46="Construction",0,0)))</f>
        <v>7.705714285714288E-2</v>
      </c>
      <c r="AF46" s="45" cm="1">
        <f t="array" ref="AF46">IF(AC46="no",(TREND($I$15:$I$16,$H$15:$H$16,AB46)*TREND($L$29:$L$30,$I$29:$I$30,AB46)),IF(AC46="yes",(TREND($I$15:$I$16,$H$15:$H$16,AB46)*TREND($L$34:$L$35,$I$34:$I$35,AB46)),IF(AC46="Construction",0,0)))</f>
        <v>0.23117142857142864</v>
      </c>
      <c r="AG46" s="45" cm="1">
        <f t="array" ref="AG46">IF(AC46="no",(TREND($I$15:$I$16,$H$15:$H$16,AB46)*TREND($M$29:$M$30,$I$29:$I$30,AB46)),IF(AC46="yes",(TREND($I$15:$I$16,$H$15:$H$16,AB46)*TREND($M$34:$M$35,$I$34:$I$35,AB46)),IF(AC46="Construction",0,0)))</f>
        <v>7.705714285714288E-2</v>
      </c>
      <c r="AH46" s="45" cm="1">
        <f t="array" ref="AH46">IF(AC46="no",(TREND($I$15:$I$16,$H$15:$H$16,AB46)*TREND($N$29:$N$30,$I$29:$I$30,AB46)),IF(AC46="yes",(TREND($I$15:$I$16,$H$15:$H$16,AB46)*TREND($N$34:$N$35,$I$34:$I$35,AB46)),IF(AC46="Construction",0,0)))</f>
        <v>0.30822857142857152</v>
      </c>
      <c r="AI46" s="59">
        <f>IF(AB46&lt;=Assumptions!$D$15,SUMPRODUCT($I$6:$M$6,AD46:AH46),0)</f>
        <v>0</v>
      </c>
      <c r="AJ46" s="212"/>
    </row>
    <row r="47" spans="1:36" x14ac:dyDescent="0.25">
      <c r="P47" s="497"/>
      <c r="Q47" s="44">
        <f t="shared" si="4"/>
        <v>2059</v>
      </c>
      <c r="R47" s="21" t="s">
        <v>752</v>
      </c>
      <c r="S47" s="45" cm="1">
        <f t="array" ref="S47">IF(R47="Yes",(TREND($I$15:$I$16,$H$15:$H$16,Q47)*TREND($J$29:$J$30,$I$29:$I$30,Q47)),0)</f>
        <v>0</v>
      </c>
      <c r="T47" s="45" cm="1">
        <f t="array" ref="T47">IF(R47="Yes",(TREND($I$15:$I$16,$H$15:$H$16,Q47)*TREND($K$29:$K$30,$I$29:$I$30,Q47)),0)</f>
        <v>0.26739926739926717</v>
      </c>
      <c r="U47" s="45" cm="1">
        <f t="array" ref="U47">IF(R47="Yes",(TREND($I$15:$I$16,$H$15:$H$16,Q47)*TREND($L$29:$L$30,$I$29:$I$30,Q47)),0)</f>
        <v>0.80219780219780157</v>
      </c>
      <c r="V47" s="45" cm="1">
        <f t="array" ref="V47">IF(R47="Yes",(TREND($I$15:$I$16,$H$15:$H$16,Q47)*TREND($M$29:$M$30,$I$29:$I$30,Q47)),0)</f>
        <v>0.26739926739926717</v>
      </c>
      <c r="W47" s="45" cm="1">
        <f t="array" ref="W47">IF(R47="Yes",(TREND($I$15:$I$16,$H$15:$H$16,Q47)*TREND($N$29:$N$30,$I$29:$I$30,Q47)),0)</f>
        <v>1.0695970695970687</v>
      </c>
      <c r="X47" s="59">
        <f>IF(Q47&lt;=Assumptions!$D$15,SUMPRODUCT($I$6:$M$6,S47:W47),0)</f>
        <v>0</v>
      </c>
      <c r="AA47" s="497"/>
      <c r="AB47" s="44">
        <f t="shared" si="5"/>
        <v>2059</v>
      </c>
      <c r="AC47" s="21" t="str">
        <f>IF(AB47&gt;=(Assumptions!$D$45+Assumptions!$D$46),"Yes",IF(OR(AB47=Assumptions!$D$45,AB47=Assumptions!$D$45+Assumptions!$D$46-1),"Construction","No"))</f>
        <v>Yes</v>
      </c>
      <c r="AD47" s="45" cm="1">
        <f t="array" ref="AD47">IF(AC47="no",(TREND($I$15:$I$16,$H$15:$H$16,AB47)*TREND($J$29:$J$30,$I$29:$I$30,AB47)),IF(AC47="yes",(TREND($I$15:$I$16,$H$15:$H$16,AB47)*TREND($J$34:$J$35,$I$34:$I$35,AB47)),IF(AC47="Construction",0,0)))</f>
        <v>0</v>
      </c>
      <c r="AE47" s="45" cm="1">
        <f t="array" ref="AE47">IF(AC47="no",(TREND($I$15:$I$16,$H$15:$H$16,AB47)*TREND($K$29:$K$30,$I$29:$I$30,AB47)),IF(AC47="yes",(TREND($I$15:$I$16,$H$15:$H$16,AB47)*TREND($K$34:$K$35,$I$34:$I$35,AB47)),IF(AC47="Construction",0,0)))</f>
        <v>7.7545787545787462E-2</v>
      </c>
      <c r="AF47" s="45" cm="1">
        <f t="array" ref="AF47">IF(AC47="no",(TREND($I$15:$I$16,$H$15:$H$16,AB47)*TREND($L$29:$L$30,$I$29:$I$30,AB47)),IF(AC47="yes",(TREND($I$15:$I$16,$H$15:$H$16,AB47)*TREND($L$34:$L$35,$I$34:$I$35,AB47)),IF(AC47="Construction",0,0)))</f>
        <v>0.23263736263736243</v>
      </c>
      <c r="AG47" s="45" cm="1">
        <f t="array" ref="AG47">IF(AC47="no",(TREND($I$15:$I$16,$H$15:$H$16,AB47)*TREND($M$29:$M$30,$I$29:$I$30,AB47)),IF(AC47="yes",(TREND($I$15:$I$16,$H$15:$H$16,AB47)*TREND($M$34:$M$35,$I$34:$I$35,AB47)),IF(AC47="Construction",0,0)))</f>
        <v>7.7545787545787462E-2</v>
      </c>
      <c r="AH47" s="45" cm="1">
        <f t="array" ref="AH47">IF(AC47="no",(TREND($I$15:$I$16,$H$15:$H$16,AB47)*TREND($N$29:$N$30,$I$29:$I$30,AB47)),IF(AC47="yes",(TREND($I$15:$I$16,$H$15:$H$16,AB47)*TREND($N$34:$N$35,$I$34:$I$35,AB47)),IF(AC47="Construction",0,0)))</f>
        <v>0.31018315018314985</v>
      </c>
      <c r="AI47" s="59">
        <f>IF(AB47&lt;=Assumptions!$D$15,SUMPRODUCT($I$6:$M$6,AD47:AH47),0)</f>
        <v>0</v>
      </c>
      <c r="AJ47" s="212"/>
    </row>
    <row r="48" spans="1:36" ht="15" customHeight="1" x14ac:dyDescent="0.25">
      <c r="P48" s="480" t="s">
        <v>897</v>
      </c>
      <c r="Q48" s="480"/>
      <c r="R48" s="480"/>
      <c r="S48" s="480"/>
      <c r="T48" s="480"/>
      <c r="U48" s="480"/>
      <c r="V48" s="480"/>
      <c r="W48" s="480"/>
      <c r="X48" s="480"/>
      <c r="AA48" s="480" t="s">
        <v>898</v>
      </c>
      <c r="AB48" s="480"/>
      <c r="AC48" s="480"/>
      <c r="AD48" s="480"/>
      <c r="AE48" s="480"/>
      <c r="AF48" s="480"/>
      <c r="AG48" s="480"/>
      <c r="AH48" s="480"/>
      <c r="AI48" s="480"/>
      <c r="AJ48" s="181"/>
    </row>
    <row r="49" spans="9:36" x14ac:dyDescent="0.25">
      <c r="P49" s="441"/>
      <c r="Q49" s="441"/>
      <c r="R49" s="441"/>
      <c r="S49" s="441"/>
      <c r="T49" s="441"/>
      <c r="U49" s="441"/>
      <c r="V49" s="441"/>
      <c r="W49" s="441"/>
      <c r="X49" s="441"/>
      <c r="AA49" s="441"/>
      <c r="AB49" s="441"/>
      <c r="AC49" s="441"/>
      <c r="AD49" s="441"/>
      <c r="AE49" s="441"/>
      <c r="AF49" s="441"/>
      <c r="AG49" s="441"/>
      <c r="AH49" s="441"/>
      <c r="AI49" s="441"/>
      <c r="AJ49" s="181"/>
    </row>
    <row r="50" spans="9:36" ht="15" customHeight="1" x14ac:dyDescent="0.25">
      <c r="P50" s="441"/>
      <c r="Q50" s="441"/>
      <c r="R50" s="441"/>
      <c r="S50" s="441"/>
      <c r="T50" s="441"/>
      <c r="U50" s="441"/>
      <c r="V50" s="441"/>
      <c r="W50" s="441"/>
      <c r="X50" s="441"/>
      <c r="AA50" s="441"/>
      <c r="AB50" s="441"/>
      <c r="AC50" s="441"/>
      <c r="AD50" s="441"/>
      <c r="AE50" s="441"/>
      <c r="AF50" s="441"/>
      <c r="AG50" s="441"/>
      <c r="AH50" s="441"/>
      <c r="AI50" s="441"/>
      <c r="AJ50" s="181"/>
    </row>
    <row r="51" spans="9:36" ht="15" customHeight="1" x14ac:dyDescent="0.25">
      <c r="P51" s="441"/>
      <c r="Q51" s="441"/>
      <c r="R51" s="441"/>
      <c r="S51" s="441"/>
      <c r="T51" s="441"/>
      <c r="U51" s="441"/>
      <c r="V51" s="441"/>
      <c r="W51" s="441"/>
      <c r="X51" s="441"/>
      <c r="AA51" s="441"/>
      <c r="AB51" s="441"/>
      <c r="AC51" s="441"/>
      <c r="AD51" s="441"/>
      <c r="AE51" s="441"/>
      <c r="AF51" s="441"/>
      <c r="AG51" s="441"/>
      <c r="AH51" s="441"/>
      <c r="AI51" s="441"/>
      <c r="AJ51" s="181"/>
    </row>
    <row r="52" spans="9:36" ht="15" customHeight="1" x14ac:dyDescent="0.25">
      <c r="P52" s="441"/>
      <c r="Q52" s="441"/>
      <c r="R52" s="441"/>
      <c r="S52" s="441"/>
      <c r="T52" s="441"/>
      <c r="U52" s="441"/>
      <c r="V52" s="441"/>
      <c r="W52" s="441"/>
      <c r="X52" s="441"/>
      <c r="AA52" s="441"/>
      <c r="AB52" s="441"/>
      <c r="AC52" s="441"/>
      <c r="AD52" s="441"/>
      <c r="AE52" s="441"/>
      <c r="AF52" s="441"/>
      <c r="AG52" s="441"/>
      <c r="AH52" s="441"/>
      <c r="AI52" s="441"/>
      <c r="AJ52" s="181"/>
    </row>
    <row r="53" spans="9:36" x14ac:dyDescent="0.25">
      <c r="P53" s="441"/>
      <c r="Q53" s="441"/>
      <c r="R53" s="441"/>
      <c r="S53" s="441"/>
      <c r="T53" s="441"/>
      <c r="U53" s="441"/>
      <c r="V53" s="441"/>
      <c r="W53" s="441"/>
      <c r="X53" s="441"/>
      <c r="Y53" s="181"/>
      <c r="Z53" s="181"/>
      <c r="AA53" s="441"/>
      <c r="AB53" s="441"/>
      <c r="AC53" s="441"/>
      <c r="AD53" s="441"/>
      <c r="AE53" s="441"/>
      <c r="AF53" s="441"/>
      <c r="AG53" s="441"/>
      <c r="AH53" s="441"/>
      <c r="AI53" s="441"/>
      <c r="AJ53" s="181"/>
    </row>
    <row r="54" spans="9:36" ht="15" customHeight="1" x14ac:dyDescent="0.25">
      <c r="P54" s="441"/>
      <c r="Q54" s="441"/>
      <c r="R54" s="441"/>
      <c r="S54" s="441"/>
      <c r="T54" s="441"/>
      <c r="U54" s="441"/>
      <c r="V54" s="441"/>
      <c r="W54" s="441"/>
      <c r="X54" s="441"/>
      <c r="Y54" s="180"/>
      <c r="AA54" s="441"/>
      <c r="AB54" s="441"/>
      <c r="AC54" s="441"/>
      <c r="AD54" s="441"/>
      <c r="AE54" s="441"/>
      <c r="AF54" s="441"/>
      <c r="AG54" s="441"/>
      <c r="AH54" s="441"/>
      <c r="AI54" s="441"/>
    </row>
    <row r="55" spans="9:36" ht="15" customHeight="1" x14ac:dyDescent="0.25">
      <c r="AA55" s="441"/>
      <c r="AB55" s="441"/>
      <c r="AC55" s="441"/>
      <c r="AD55" s="441"/>
      <c r="AE55" s="441"/>
      <c r="AF55" s="441"/>
      <c r="AG55" s="441"/>
      <c r="AH55" s="441"/>
      <c r="AI55" s="441"/>
    </row>
    <row r="56" spans="9:36" x14ac:dyDescent="0.25">
      <c r="P56" s="28"/>
    </row>
    <row r="57" spans="9:36" ht="15" customHeight="1" x14ac:dyDescent="0.25"/>
    <row r="59" spans="9:36" ht="15" customHeight="1" x14ac:dyDescent="0.25"/>
    <row r="61" spans="9:36" x14ac:dyDescent="0.25">
      <c r="I61" s="58"/>
    </row>
    <row r="62" spans="9:36" ht="15" customHeight="1" x14ac:dyDescent="0.25"/>
    <row r="68" spans="8:8" x14ac:dyDescent="0.25">
      <c r="H68" s="12" t="s">
        <v>230</v>
      </c>
    </row>
    <row r="69" spans="8:8" x14ac:dyDescent="0.25">
      <c r="H69" t="s">
        <v>229</v>
      </c>
    </row>
    <row r="105" spans="24:24" x14ac:dyDescent="0.25">
      <c r="X105" s="3"/>
    </row>
  </sheetData>
  <mergeCells count="15">
    <mergeCell ref="C3:F3"/>
    <mergeCell ref="B4:B5"/>
    <mergeCell ref="C4:C5"/>
    <mergeCell ref="D4:D5"/>
    <mergeCell ref="E4:E5"/>
    <mergeCell ref="F4:F5"/>
    <mergeCell ref="P48:X54"/>
    <mergeCell ref="AA48:AI55"/>
    <mergeCell ref="B41:F43"/>
    <mergeCell ref="P6:P47"/>
    <mergeCell ref="AA6:AA47"/>
    <mergeCell ref="B30:F32"/>
    <mergeCell ref="B34:F39"/>
    <mergeCell ref="H19:H20"/>
    <mergeCell ref="I19:I20"/>
  </mergeCells>
  <pageMargins left="0.25" right="0.25" top="0.75" bottom="0.75" header="0.3" footer="0.3"/>
  <pageSetup paperSize="3"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3977-B58E-44C4-B571-2D4E4629EE30}">
  <sheetPr codeName="Sheet7">
    <tabColor theme="3" tint="0.79998168889431442"/>
    <pageSetUpPr fitToPage="1"/>
  </sheetPr>
  <dimension ref="A1:AJ105"/>
  <sheetViews>
    <sheetView view="pageBreakPreview" zoomScale="80" zoomScaleNormal="90" zoomScaleSheetLayoutView="80" workbookViewId="0"/>
  </sheetViews>
  <sheetFormatPr defaultRowHeight="15" x14ac:dyDescent="0.25"/>
  <cols>
    <col min="1" max="1" width="7.7109375" customWidth="1"/>
    <col min="2" max="6" width="20.7109375" customWidth="1"/>
    <col min="7" max="7" width="10.85546875" customWidth="1"/>
    <col min="8" max="8" width="23.42578125" customWidth="1"/>
    <col min="9" max="9" width="16" bestFit="1" customWidth="1"/>
    <col min="10" max="10" width="14.28515625" bestFit="1" customWidth="1"/>
    <col min="11" max="11" width="12.7109375" bestFit="1" customWidth="1"/>
    <col min="12" max="12" width="10.5703125" bestFit="1" customWidth="1"/>
    <col min="13" max="13" width="13.42578125" bestFit="1" customWidth="1"/>
    <col min="14" max="14" width="20.140625" customWidth="1"/>
    <col min="15" max="15" width="13.140625" bestFit="1" customWidth="1"/>
    <col min="16" max="16" width="5.85546875" bestFit="1" customWidth="1"/>
    <col min="17" max="17" width="18.85546875" bestFit="1" customWidth="1"/>
    <col min="18" max="18" width="6.42578125" bestFit="1" customWidth="1"/>
    <col min="19" max="19" width="6.42578125" customWidth="1"/>
    <col min="20" max="20" width="6.5703125" bestFit="1" customWidth="1"/>
    <col min="21" max="21" width="6.5703125" customWidth="1"/>
    <col min="22" max="22" width="5.28515625" bestFit="1" customWidth="1"/>
    <col min="23" max="23" width="16.85546875" customWidth="1"/>
    <col min="27" max="27" width="5.85546875" bestFit="1" customWidth="1"/>
    <col min="28" max="28" width="29.42578125" bestFit="1" customWidth="1"/>
    <col min="29" max="30" width="29" bestFit="1" customWidth="1"/>
    <col min="31" max="31" width="6.28515625" bestFit="1" customWidth="1"/>
    <col min="32" max="32" width="6.5703125" bestFit="1" customWidth="1"/>
    <col min="33" max="33" width="5" bestFit="1" customWidth="1"/>
    <col min="34" max="34" width="6" bestFit="1" customWidth="1"/>
    <col min="35" max="35" width="7.140625" bestFit="1" customWidth="1"/>
    <col min="36" max="36" width="15.42578125" bestFit="1" customWidth="1"/>
  </cols>
  <sheetData>
    <row r="1" spans="1:36" ht="15" customHeight="1" x14ac:dyDescent="0.25">
      <c r="A1" s="74"/>
      <c r="B1" s="41"/>
      <c r="C1" s="41"/>
      <c r="D1" s="41"/>
      <c r="E1" s="41"/>
      <c r="F1" s="41"/>
      <c r="G1" s="41"/>
      <c r="H1" s="41"/>
      <c r="I1" s="41"/>
      <c r="J1" s="41"/>
      <c r="K1" s="41"/>
      <c r="L1" s="41"/>
      <c r="M1" s="41"/>
      <c r="N1" s="41"/>
      <c r="AI1" s="41"/>
    </row>
    <row r="2" spans="1:36" ht="15.75" thickBot="1" x14ac:dyDescent="0.3">
      <c r="B2" s="1" t="s">
        <v>769</v>
      </c>
      <c r="C2" s="1"/>
      <c r="D2" s="1"/>
    </row>
    <row r="3" spans="1:36" ht="15.75" thickBot="1" x14ac:dyDescent="0.3">
      <c r="B3" s="1"/>
      <c r="C3" s="435" t="s">
        <v>53</v>
      </c>
      <c r="D3" s="479"/>
      <c r="E3" s="479"/>
      <c r="F3" s="436"/>
      <c r="G3" s="60"/>
      <c r="H3" s="60"/>
      <c r="I3" s="60"/>
      <c r="J3" s="60"/>
      <c r="K3" s="60"/>
      <c r="L3" s="60"/>
      <c r="M3" s="60"/>
      <c r="N3" s="60"/>
      <c r="AI3" s="60"/>
    </row>
    <row r="4" spans="1:36" ht="30" customHeight="1" x14ac:dyDescent="0.25">
      <c r="B4" s="445" t="s">
        <v>0</v>
      </c>
      <c r="C4" s="445" t="s">
        <v>28</v>
      </c>
      <c r="D4" s="445" t="s">
        <v>29</v>
      </c>
      <c r="E4" s="493" t="s">
        <v>26</v>
      </c>
      <c r="F4" s="442" t="s">
        <v>186</v>
      </c>
      <c r="G4" s="33"/>
      <c r="H4" s="33"/>
      <c r="I4" s="33"/>
      <c r="J4" s="33"/>
      <c r="K4" s="33"/>
      <c r="L4" s="33"/>
      <c r="M4" s="33"/>
      <c r="N4" s="33"/>
      <c r="AI4" s="33"/>
    </row>
    <row r="5" spans="1:36" ht="30" customHeight="1" thickBot="1" x14ac:dyDescent="0.3">
      <c r="B5" s="446"/>
      <c r="C5" s="446"/>
      <c r="D5" s="446"/>
      <c r="E5" s="494"/>
      <c r="F5" s="443"/>
      <c r="G5" s="33"/>
      <c r="H5" s="30" t="s">
        <v>83</v>
      </c>
      <c r="I5" s="40"/>
      <c r="J5" s="40"/>
      <c r="K5" s="40"/>
      <c r="L5" s="40"/>
      <c r="M5" s="40"/>
      <c r="N5" s="33"/>
      <c r="O5" s="1" t="s">
        <v>931</v>
      </c>
      <c r="Q5" s="1"/>
      <c r="Z5" s="1" t="s">
        <v>932</v>
      </c>
      <c r="AB5" s="1"/>
      <c r="AC5" s="1"/>
      <c r="AD5" s="1"/>
      <c r="AI5" s="33"/>
    </row>
    <row r="6" spans="1:36" ht="15" customHeight="1" x14ac:dyDescent="0.25">
      <c r="B6" s="152">
        <f>Assumptions!D45</f>
        <v>2027</v>
      </c>
      <c r="C6" s="95">
        <f>_xlfn.XLOOKUP($B6,$P$7:$P$47,$W$7:$W$47,0,0,1)</f>
        <v>585220.57142857171</v>
      </c>
      <c r="D6" s="95">
        <f t="shared" ref="D6:D7" si="0">IFERROR(_xlfn.XLOOKUP($B6,$AA$7:$AA$47,$AJ$7:$AJ$47,0,0,1),0)</f>
        <v>597420.34108170005</v>
      </c>
      <c r="E6" s="282">
        <f>C6-D6</f>
        <v>-12199.769653128344</v>
      </c>
      <c r="F6" s="283">
        <f>E6*(1+Assumptions!$D$24)^-(B6-Assumptions!$D$10)</f>
        <v>-10472.691351672715</v>
      </c>
      <c r="G6" s="24"/>
      <c r="H6" s="21" t="s">
        <v>46</v>
      </c>
      <c r="I6" s="21" t="s">
        <v>234</v>
      </c>
      <c r="J6" s="21" t="s">
        <v>235</v>
      </c>
      <c r="K6" s="21" t="s">
        <v>236</v>
      </c>
      <c r="L6" s="21" t="s">
        <v>237</v>
      </c>
      <c r="M6" s="21" t="s">
        <v>220</v>
      </c>
      <c r="O6" s="495" t="s">
        <v>25</v>
      </c>
      <c r="P6" s="21" t="s">
        <v>22</v>
      </c>
      <c r="Q6" s="21" t="s">
        <v>225</v>
      </c>
      <c r="R6" s="21" t="s">
        <v>242</v>
      </c>
      <c r="S6" s="21" t="s">
        <v>243</v>
      </c>
      <c r="T6" s="27" t="s">
        <v>244</v>
      </c>
      <c r="U6" s="27" t="s">
        <v>245</v>
      </c>
      <c r="V6" s="27" t="s">
        <v>215</v>
      </c>
      <c r="W6" s="27" t="s">
        <v>82</v>
      </c>
      <c r="Z6" s="495" t="s">
        <v>12</v>
      </c>
      <c r="AA6" s="21" t="s">
        <v>22</v>
      </c>
      <c r="AB6" s="21" t="s">
        <v>225</v>
      </c>
      <c r="AC6" s="21" t="s">
        <v>226</v>
      </c>
      <c r="AD6" s="21" t="s">
        <v>930</v>
      </c>
      <c r="AE6" s="21" t="s">
        <v>242</v>
      </c>
      <c r="AF6" s="21" t="s">
        <v>243</v>
      </c>
      <c r="AG6" s="27" t="s">
        <v>244</v>
      </c>
      <c r="AH6" s="27" t="s">
        <v>245</v>
      </c>
      <c r="AI6" s="27" t="s">
        <v>215</v>
      </c>
      <c r="AJ6" s="27" t="s">
        <v>82</v>
      </c>
    </row>
    <row r="7" spans="1:36" ht="15.75" thickBot="1" x14ac:dyDescent="0.3">
      <c r="B7" s="62">
        <f>B6+1</f>
        <v>2028</v>
      </c>
      <c r="C7" s="279">
        <f t="shared" ref="C7" si="1">_xlfn.XLOOKUP($B7,$P$7:$P$47,$W$7:$W$47,0,0,1)</f>
        <v>589513.14285714331</v>
      </c>
      <c r="D7" s="279">
        <f t="shared" si="0"/>
        <v>714153.01909807581</v>
      </c>
      <c r="E7" s="280">
        <f t="shared" ref="E7" si="2">C7-D7</f>
        <v>-124639.8762409325</v>
      </c>
      <c r="F7" s="281">
        <f>E7*(1+Assumptions!$D$24)^-(B7-Assumptions!$D$10)</f>
        <v>-103777.93324615857</v>
      </c>
      <c r="G7" s="24"/>
      <c r="H7" s="21" t="s">
        <v>31</v>
      </c>
      <c r="I7" s="242">
        <f>'Corridor Safety Improvement'!I6</f>
        <v>12500000</v>
      </c>
      <c r="J7" s="242">
        <f>'Corridor Safety Improvement'!J6</f>
        <v>1188200</v>
      </c>
      <c r="K7" s="242">
        <f>'Corridor Safety Improvement'!K6</f>
        <v>233800</v>
      </c>
      <c r="L7" s="242">
        <f>'Corridor Safety Improvement'!L6</f>
        <v>111700</v>
      </c>
      <c r="M7" s="242">
        <f>'Corridor Safety Improvement'!M6</f>
        <v>5000</v>
      </c>
      <c r="O7" s="496"/>
      <c r="P7" s="44">
        <f>$H$12</f>
        <v>2019</v>
      </c>
      <c r="Q7" s="21" t="str">
        <f>IF(P7=Assumptions!$D$45,"Construction First Year",IF(P7=Assumptions!$D$45+Assumptions!$D$46-1,"Construction Last Year","No"))</f>
        <v>No</v>
      </c>
      <c r="R7" s="45" cm="1">
        <f t="array" ref="R7">IF(OR(Q7="Construction First Year",Q7="Construction Last Year"),TREND($I$12:$I$13,$H$12:$H$13,P7)*TREND($I$18:$I$19,$H$18:$H$19,P7),0)</f>
        <v>0</v>
      </c>
      <c r="S7" s="45" cm="1">
        <f t="array" ref="S7">IF(OR(Q7="Construction First Year",Q7="Construction Last Year"),TREND($I$12:$I$13,$H$12:$H$13,P7)*TREND($J$18:$J$19,$H$18:$H$19,P7),0)</f>
        <v>0</v>
      </c>
      <c r="T7" s="45" cm="1">
        <f t="array" ref="T7">IF(OR(Q7="Construction First Year",Q7="Construction Last Year"),TREND($I$12:$I$13,$H$12:$H$13,P7)*TREND($K$18:$K$19,$H$18:$H$19,P7),0)</f>
        <v>0</v>
      </c>
      <c r="U7" s="45" cm="1">
        <f t="array" ref="U7">IF(OR(Q7="Construction First Year",Q7="Construction Last Year"),TREND($I$12:$I$13,$H$12:$H$13,P7)*TREND($L$18:$L$19,$H$18:$H$19,P7),0)</f>
        <v>0</v>
      </c>
      <c r="V7" s="45" cm="1">
        <f t="array" ref="V7">IF(OR(Q7="Construction First Year",Q7="Construction Last Year"),TREND($I$12:$I$13,$H$12:$H$13,P7)*TREND($M$18:$M$19,$H$18:$H$19,P7),0)</f>
        <v>0</v>
      </c>
      <c r="W7" s="59">
        <f>IF(P7&lt;=Assumptions!$D$15,SUMPRODUCT($I$7:$M$7,R7:V7),0)</f>
        <v>0</v>
      </c>
      <c r="Z7" s="496"/>
      <c r="AA7" s="44">
        <f>$H$12</f>
        <v>2019</v>
      </c>
      <c r="AB7" s="21" t="str">
        <f>IF(AA7=Assumptions!$D$45,"Construction First Year",IF(AA7=Assumptions!$D$45+Assumptions!$D$46-1,"Construction Last Year","No"))</f>
        <v>No</v>
      </c>
      <c r="AC7" s="21">
        <f>IF(AB7="Construction First Year",Assumptions!$D$47/12,IF(AB7="Construction Last Year",Assumptions!$D$48/12,0))</f>
        <v>0</v>
      </c>
      <c r="AD7" s="390">
        <f>AC7*VOC_Construction!$O$27</f>
        <v>0</v>
      </c>
      <c r="AE7" s="45" cm="1">
        <f t="array" ref="AE7">IF($AD7=0,0,TREND($K$12:$K$13,$H$12:$H$13,$AA7)*((($AD7)*TREND($I$23:$I$24,$H$23:$H$24,$AA7))+(((1-$AD7))*TREND($I$18:$I$19,$H$18:$H$19,$AA7))))</f>
        <v>0</v>
      </c>
      <c r="AF7" s="45" cm="1">
        <f t="array" ref="AF7">IF($AD7=0,0,TREND($K$12:$K$13,$H$12:$H$13,$AA7)*((($AD7)*TREND($J$23:$J$24,$H$23:$H$24,$AA7))+(((1-$AD7))*TREND($J$18:$J$19,$H$18:$H$19,$AA7))))</f>
        <v>0</v>
      </c>
      <c r="AG7" s="45" cm="1">
        <f t="array" ref="AG7">IF($AD7=0,0,TREND($K$12:$K$13,$H$12:$H$13,$AA7)*((($AD7)*TREND($K$23:$K$24,$H$23:$H$24,$AA7)))+(((1-$AD7))*TREND($K$18:$K$19,$H$18:$H$19,$AA7)))</f>
        <v>0</v>
      </c>
      <c r="AH7" s="45" cm="1">
        <f t="array" ref="AH7">IF($AD7=0,0,TREND($K$12:$K$13,$H$12:$H$13,$AA7)*((($AD7)*TREND($L$23:$L$24,$H$23:$H$24,$AA7))+(((1-$AD7))*TREND($L$18:$L$19,$H$18:$H$19,$AA7))))</f>
        <v>0</v>
      </c>
      <c r="AI7" s="45" cm="1">
        <f t="array" ref="AI7">IF($AD7=0,0,TREND($K$12:$K$13,$H$12:$H$13,$AA7)*((($AD7)*TREND($M$23:$M$24,$H$23:$H$24,$AA7))+(((1-$AD7))*TREND($M$18:$M$19,$H$18:$H$19,$AA7))))</f>
        <v>0</v>
      </c>
      <c r="AJ7" s="59">
        <f>IF(AA7&lt;=Assumptions!$D$15,SUMPRODUCT($I$7:$M$7,AE7:AI7),0)</f>
        <v>0</v>
      </c>
    </row>
    <row r="8" spans="1:36" ht="15" customHeight="1" thickBot="1" x14ac:dyDescent="0.3">
      <c r="E8" s="67" t="s">
        <v>1</v>
      </c>
      <c r="F8" s="112">
        <f>SUM(F6:F7)</f>
        <v>-114250.62459783128</v>
      </c>
      <c r="G8" s="24"/>
      <c r="O8" s="496"/>
      <c r="P8" s="44">
        <f>P7+1</f>
        <v>2020</v>
      </c>
      <c r="Q8" s="21" t="str">
        <f>IF(P8=Assumptions!$D$45,"Construction First Year",IF(P8=Assumptions!$D$45+Assumptions!$D$46-1,"Construction Last Year","No"))</f>
        <v>No</v>
      </c>
      <c r="R8" s="45" cm="1">
        <f t="array" ref="R8">IF(OR(Q8="Construction First Year",Q8="Construction Last Year"),TREND($I$12:$I$13,$H$12:$H$13,P8)*TREND($I$18:$I$19,$H$18:$H$19,P8),0)</f>
        <v>0</v>
      </c>
      <c r="S8" s="45" cm="1">
        <f t="array" ref="S8">IF(OR(Q8="Construction First Year",Q8="Construction Last Year"),TREND($I$12:$I$13,$H$12:$H$13,P8)*TREND($J$18:$J$19,$H$18:$H$19,P8),0)</f>
        <v>0</v>
      </c>
      <c r="T8" s="45" cm="1">
        <f t="array" ref="T8">IF(OR(Q8="Construction First Year",Q8="Construction Last Year"),TREND($I$12:$I$13,$H$12:$H$13,P8)*TREND($K$18:$K$19,$H$18:$H$19,P8),0)</f>
        <v>0</v>
      </c>
      <c r="U8" s="45" cm="1">
        <f t="array" ref="U8">IF(OR(Q8="Construction First Year",Q8="Construction Last Year"),TREND($I$12:$I$13,$H$12:$H$13,P8)*TREND($L$18:$L$19,$H$18:$H$19,P8),0)</f>
        <v>0</v>
      </c>
      <c r="V8" s="45" cm="1">
        <f t="array" ref="V8">IF(OR(Q8="Construction First Year",Q8="Construction Last Year"),TREND($I$12:$I$13,$H$12:$H$13,P8)*TREND($M$18:$M$19,$H$18:$H$19,P8),0)</f>
        <v>0</v>
      </c>
      <c r="W8" s="59">
        <f>IF(P8&lt;=Assumptions!$D$15,SUMPRODUCT($I$7:$M$7,R8:V8),0)</f>
        <v>0</v>
      </c>
      <c r="Z8" s="496"/>
      <c r="AA8" s="44">
        <f>AA7+1</f>
        <v>2020</v>
      </c>
      <c r="AB8" s="21" t="str">
        <f>IF(AA8=Assumptions!$D$45,"Construction First Year",IF(AA8=Assumptions!$D$45+Assumptions!$D$46-1,"Construction Last Year","No"))</f>
        <v>No</v>
      </c>
      <c r="AC8" s="21">
        <f>IF(AB8="Construction First Year",Assumptions!$D$47/12,IF(AB8="Construction Last Year",Assumptions!$D$48/12,0))</f>
        <v>0</v>
      </c>
      <c r="AD8" s="390">
        <f>AC8*VOC_Construction!$O$27</f>
        <v>0</v>
      </c>
      <c r="AE8" s="45" cm="1">
        <f t="array" ref="AE8">IF($AD8=0,0,TREND($K$12:$K$13,$H$12:$H$13,$AA8)*((($AD8)*TREND($I$23:$I$24,$H$23:$H$24,$AA8))+(((1-$AD8))*TREND($I$18:$I$19,$H$18:$H$19,$AA8))))</f>
        <v>0</v>
      </c>
      <c r="AF8" s="45" cm="1">
        <f t="array" ref="AF8">IF($AD8=0,0,TREND($K$12:$K$13,$H$12:$H$13,$AA8)*((($AD8)*TREND($J$23:$J$24,$H$23:$H$24,$AA8))+(((1-$AD8))*TREND($J$18:$J$19,$H$18:$H$19,$AA8))))</f>
        <v>0</v>
      </c>
      <c r="AG8" s="45" cm="1">
        <f t="array" ref="AG8">IF($AD8=0,0,TREND($K$12:$K$13,$H$12:$H$13,$AA8)*((($AD8)*TREND($K$23:$K$24,$H$23:$H$24,$AA8)))+(((1-$AD8))*TREND($K$18:$K$19,$H$18:$H$19,$AA8)))</f>
        <v>0</v>
      </c>
      <c r="AH8" s="45" cm="1">
        <f t="array" ref="AH8">IF($AD8=0,0,TREND($K$12:$K$13,$H$12:$H$13,$AA8)*((($AD8)*TREND($L$23:$L$24,$H$23:$H$24,$AA8))+(((1-$AD8))*TREND($L$18:$L$19,$H$18:$H$19,$AA8))))</f>
        <v>0</v>
      </c>
      <c r="AI8" s="45" cm="1">
        <f t="array" ref="AI8">IF($AD8=0,0,TREND($K$12:$K$13,$H$12:$H$13,$AA8)*((($AD8)*TREND($M$23:$M$24,$H$23:$H$24,$AA8))+(((1-$AD8))*TREND($M$18:$M$19,$H$18:$H$19,$AA8))))</f>
        <v>0</v>
      </c>
      <c r="AJ8" s="59">
        <f>IF(AA8&lt;=Assumptions!$D$15,SUMPRODUCT($I$7:$M$7,AE8:AI8),0)</f>
        <v>0</v>
      </c>
    </row>
    <row r="9" spans="1:36" ht="15.75" customHeight="1" x14ac:dyDescent="0.25">
      <c r="G9" s="24"/>
      <c r="H9" s="1" t="s">
        <v>224</v>
      </c>
      <c r="O9" s="496"/>
      <c r="P9" s="44">
        <f t="shared" ref="P9:P47" si="3">P8+1</f>
        <v>2021</v>
      </c>
      <c r="Q9" s="21" t="str">
        <f>IF(P9=Assumptions!$D$45,"Construction First Year",IF(P9=Assumptions!$D$45+Assumptions!$D$46-1,"Construction Last Year","No"))</f>
        <v>No</v>
      </c>
      <c r="R9" s="45" cm="1">
        <f t="array" ref="R9">IF(OR(Q9="Construction First Year",Q9="Construction Last Year"),TREND($I$12:$I$13,$H$12:$H$13,P9)*TREND($I$18:$I$19,$H$18:$H$19,P9),0)</f>
        <v>0</v>
      </c>
      <c r="S9" s="45" cm="1">
        <f t="array" ref="S9">IF(OR(Q9="Construction First Year",Q9="Construction Last Year"),TREND($I$12:$I$13,$H$12:$H$13,P9)*TREND($J$18:$J$19,$H$18:$H$19,P9),0)</f>
        <v>0</v>
      </c>
      <c r="T9" s="45" cm="1">
        <f t="array" ref="T9">IF(OR(Q9="Construction First Year",Q9="Construction Last Year"),TREND($I$12:$I$13,$H$12:$H$13,P9)*TREND($K$18:$K$19,$H$18:$H$19,P9),0)</f>
        <v>0</v>
      </c>
      <c r="U9" s="45" cm="1">
        <f t="array" ref="U9">IF(OR(Q9="Construction First Year",Q9="Construction Last Year"),TREND($I$12:$I$13,$H$12:$H$13,P9)*TREND($L$18:$L$19,$H$18:$H$19,P9),0)</f>
        <v>0</v>
      </c>
      <c r="V9" s="45" cm="1">
        <f t="array" ref="V9">IF(OR(Q9="Construction First Year",Q9="Construction Last Year"),TREND($I$12:$I$13,$H$12:$H$13,P9)*TREND($M$18:$M$19,$H$18:$H$19,P9),0)</f>
        <v>0</v>
      </c>
      <c r="W9" s="59">
        <f>IF(P9&lt;=Assumptions!$D$15,SUMPRODUCT($I$7:$M$7,R9:V9),0)</f>
        <v>0</v>
      </c>
      <c r="Z9" s="496"/>
      <c r="AA9" s="44">
        <f t="shared" ref="AA9:AA47" si="4">AA8+1</f>
        <v>2021</v>
      </c>
      <c r="AB9" s="21" t="str">
        <f>IF(AA9=Assumptions!$D$45,"Construction First Year",IF(AA9=Assumptions!$D$45+Assumptions!$D$46-1,"Construction Last Year","No"))</f>
        <v>No</v>
      </c>
      <c r="AC9" s="21">
        <f>IF(AB9="Construction First Year",Assumptions!$D$47/12,IF(AB9="Construction Last Year",Assumptions!$D$48/12,0))</f>
        <v>0</v>
      </c>
      <c r="AD9" s="390">
        <f>AC9*VOC_Construction!$O$27</f>
        <v>0</v>
      </c>
      <c r="AE9" s="45" cm="1">
        <f t="array" ref="AE9">IF($AD9=0,0,TREND($K$12:$K$13,$H$12:$H$13,$AA9)*((($AD9)*TREND($I$23:$I$24,$H$23:$H$24,$AA9))+(((1-$AD9))*TREND($I$18:$I$19,$H$18:$H$19,$AA9))))</f>
        <v>0</v>
      </c>
      <c r="AF9" s="45" cm="1">
        <f t="array" ref="AF9">IF($AD9=0,0,TREND($K$12:$K$13,$H$12:$H$13,$AA9)*((($AD9)*TREND($J$23:$J$24,$H$23:$H$24,$AA9))+(((1-$AD9))*TREND($J$18:$J$19,$H$18:$H$19,$AA9))))</f>
        <v>0</v>
      </c>
      <c r="AG9" s="45" cm="1">
        <f t="array" ref="AG9">IF($AD9=0,0,TREND($K$12:$K$13,$H$12:$H$13,$AA9)*((($AD9)*TREND($K$23:$K$24,$H$23:$H$24,$AA9)))+(((1-$AD9))*TREND($K$18:$K$19,$H$18:$H$19,$AA9)))</f>
        <v>0</v>
      </c>
      <c r="AH9" s="45" cm="1">
        <f t="array" ref="AH9">IF($AD9=0,0,TREND($K$12:$K$13,$H$12:$H$13,$AA9)*((($AD9)*TREND($L$23:$L$24,$H$23:$H$24,$AA9))+(((1-$AD9))*TREND($L$18:$L$19,$H$18:$H$19,$AA9))))</f>
        <v>0</v>
      </c>
      <c r="AI9" s="45" cm="1">
        <f t="array" ref="AI9">IF($AD9=0,0,TREND($K$12:$K$13,$H$12:$H$13,$AA9)*((($AD9)*TREND($M$23:$M$24,$H$23:$H$24,$AA9))+(((1-$AD9))*TREND($M$18:$M$19,$H$18:$H$19,$AA9))))</f>
        <v>0</v>
      </c>
      <c r="AJ9" s="59">
        <f>IF(AA9&lt;=Assumptions!$D$15,SUMPRODUCT($I$7:$M$7,AE9:AI9),0)</f>
        <v>0</v>
      </c>
    </row>
    <row r="10" spans="1:36" ht="15" customHeight="1" x14ac:dyDescent="0.25">
      <c r="B10" s="1" t="s">
        <v>2</v>
      </c>
      <c r="G10" s="24"/>
      <c r="I10" s="21" t="s">
        <v>798</v>
      </c>
      <c r="J10" s="21" t="s">
        <v>179</v>
      </c>
      <c r="K10" s="21" t="s">
        <v>144</v>
      </c>
      <c r="O10" s="496"/>
      <c r="P10" s="44">
        <f t="shared" si="3"/>
        <v>2022</v>
      </c>
      <c r="Q10" s="21" t="str">
        <f>IF(P10=Assumptions!$D$45,"Construction First Year",IF(P10=Assumptions!$D$45+Assumptions!$D$46-1,"Construction Last Year","No"))</f>
        <v>No</v>
      </c>
      <c r="R10" s="45" cm="1">
        <f t="array" ref="R10">IF(OR(Q10="Construction First Year",Q10="Construction Last Year"),TREND($I$12:$I$13,$H$12:$H$13,P10)*TREND($I$18:$I$19,$H$18:$H$19,P10),0)</f>
        <v>0</v>
      </c>
      <c r="S10" s="45" cm="1">
        <f t="array" ref="S10">IF(OR(Q10="Construction First Year",Q10="Construction Last Year"),TREND($I$12:$I$13,$H$12:$H$13,P10)*TREND($J$18:$J$19,$H$18:$H$19,P10),0)</f>
        <v>0</v>
      </c>
      <c r="T10" s="45" cm="1">
        <f t="array" ref="T10">IF(OR(Q10="Construction First Year",Q10="Construction Last Year"),TREND($I$12:$I$13,$H$12:$H$13,P10)*TREND($K$18:$K$19,$H$18:$H$19,P10),0)</f>
        <v>0</v>
      </c>
      <c r="U10" s="45" cm="1">
        <f t="array" ref="U10">IF(OR(Q10="Construction First Year",Q10="Construction Last Year"),TREND($I$12:$I$13,$H$12:$H$13,P10)*TREND($L$18:$L$19,$H$18:$H$19,P10),0)</f>
        <v>0</v>
      </c>
      <c r="V10" s="45" cm="1">
        <f t="array" ref="V10">IF(OR(Q10="Construction First Year",Q10="Construction Last Year"),TREND($I$12:$I$13,$H$12:$H$13,P10)*TREND($M$18:$M$19,$H$18:$H$19,P10),0)</f>
        <v>0</v>
      </c>
      <c r="W10" s="59">
        <f>IF(P10&lt;=Assumptions!$D$15,SUMPRODUCT($I$7:$M$7,R10:V10),0)</f>
        <v>0</v>
      </c>
      <c r="Z10" s="496"/>
      <c r="AA10" s="44">
        <f t="shared" si="4"/>
        <v>2022</v>
      </c>
      <c r="AB10" s="21" t="str">
        <f>IF(AA10=Assumptions!$D$45,"Construction First Year",IF(AA10=Assumptions!$D$45+Assumptions!$D$46-1,"Construction Last Year","No"))</f>
        <v>No</v>
      </c>
      <c r="AC10" s="21">
        <f>IF(AB10="Construction First Year",Assumptions!$D$47/12,IF(AB10="Construction Last Year",Assumptions!$D$48/12,0))</f>
        <v>0</v>
      </c>
      <c r="AD10" s="390">
        <f>AC10*VOC_Construction!$O$27</f>
        <v>0</v>
      </c>
      <c r="AE10" s="45" cm="1">
        <f t="array" ref="AE10">IF($AD10=0,0,TREND($K$12:$K$13,$H$12:$H$13,$AA10)*((($AD10)*TREND($I$23:$I$24,$H$23:$H$24,$AA10))+(((1-$AD10))*TREND($I$18:$I$19,$H$18:$H$19,$AA10))))</f>
        <v>0</v>
      </c>
      <c r="AF10" s="45" cm="1">
        <f t="array" ref="AF10">IF($AD10=0,0,TREND($K$12:$K$13,$H$12:$H$13,$AA10)*((($AD10)*TREND($J$23:$J$24,$H$23:$H$24,$AA10))+(((1-$AD10))*TREND($J$18:$J$19,$H$18:$H$19,$AA10))))</f>
        <v>0</v>
      </c>
      <c r="AG10" s="45" cm="1">
        <f t="array" ref="AG10">IF($AD10=0,0,TREND($K$12:$K$13,$H$12:$H$13,$AA10)*((($AD10)*TREND($K$23:$K$24,$H$23:$H$24,$AA10)))+(((1-$AD10))*TREND($K$18:$K$19,$H$18:$H$19,$AA10)))</f>
        <v>0</v>
      </c>
      <c r="AH10" s="45" cm="1">
        <f t="array" ref="AH10">IF($AD10=0,0,TREND($K$12:$K$13,$H$12:$H$13,$AA10)*((($AD10)*TREND($L$23:$L$24,$H$23:$H$24,$AA10))+(((1-$AD10))*TREND($L$18:$L$19,$H$18:$H$19,$AA10))))</f>
        <v>0</v>
      </c>
      <c r="AI10" s="45" cm="1">
        <f t="array" ref="AI10">IF($AD10=0,0,TREND($K$12:$K$13,$H$12:$H$13,$AA10)*((($AD10)*TREND($M$23:$M$24,$H$23:$H$24,$AA10))+(((1-$AD10))*TREND($M$18:$M$19,$H$18:$H$19,$AA10))))</f>
        <v>0</v>
      </c>
      <c r="AJ10" s="59">
        <f>IF(AA10&lt;=Assumptions!$D$15,SUMPRODUCT($I$7:$M$7,AE10:AI10),0)</f>
        <v>0</v>
      </c>
    </row>
    <row r="11" spans="1:36" x14ac:dyDescent="0.25">
      <c r="A11" s="2" t="s">
        <v>14</v>
      </c>
      <c r="B11" s="406" t="s">
        <v>899</v>
      </c>
      <c r="C11" s="406"/>
      <c r="D11" s="406"/>
      <c r="E11" s="406"/>
      <c r="F11" s="406"/>
      <c r="G11" s="24"/>
      <c r="H11" s="21" t="s">
        <v>22</v>
      </c>
      <c r="I11" s="21" t="s">
        <v>35</v>
      </c>
      <c r="J11" s="21" t="s">
        <v>35</v>
      </c>
      <c r="K11" s="21" t="s">
        <v>35</v>
      </c>
      <c r="O11" s="496"/>
      <c r="P11" s="44">
        <f t="shared" si="3"/>
        <v>2023</v>
      </c>
      <c r="Q11" s="21" t="str">
        <f>IF(P11=Assumptions!$D$45,"Construction First Year",IF(P11=Assumptions!$D$45+Assumptions!$D$46-1,"Construction Last Year","No"))</f>
        <v>No</v>
      </c>
      <c r="R11" s="45" cm="1">
        <f t="array" ref="R11">IF(OR(Q11="Construction First Year",Q11="Construction Last Year"),TREND($I$12:$I$13,$H$12:$H$13,P11)*TREND($I$18:$I$19,$H$18:$H$19,P11),0)</f>
        <v>0</v>
      </c>
      <c r="S11" s="45" cm="1">
        <f t="array" ref="S11">IF(OR(Q11="Construction First Year",Q11="Construction Last Year"),TREND($I$12:$I$13,$H$12:$H$13,P11)*TREND($J$18:$J$19,$H$18:$H$19,P11),0)</f>
        <v>0</v>
      </c>
      <c r="T11" s="45" cm="1">
        <f t="array" ref="T11">IF(OR(Q11="Construction First Year",Q11="Construction Last Year"),TREND($I$12:$I$13,$H$12:$H$13,P11)*TREND($K$18:$K$19,$H$18:$H$19,P11),0)</f>
        <v>0</v>
      </c>
      <c r="U11" s="45" cm="1">
        <f t="array" ref="U11">IF(OR(Q11="Construction First Year",Q11="Construction Last Year"),TREND($I$12:$I$13,$H$12:$H$13,P11)*TREND($L$18:$L$19,$H$18:$H$19,P11),0)</f>
        <v>0</v>
      </c>
      <c r="V11" s="45" cm="1">
        <f t="array" ref="V11">IF(OR(Q11="Construction First Year",Q11="Construction Last Year"),TREND($I$12:$I$13,$H$12:$H$13,P11)*TREND($M$18:$M$19,$H$18:$H$19,P11),0)</f>
        <v>0</v>
      </c>
      <c r="W11" s="59">
        <f>IF(P11&lt;=Assumptions!$D$15,SUMPRODUCT($I$7:$M$7,R11:V11),0)</f>
        <v>0</v>
      </c>
      <c r="Z11" s="496"/>
      <c r="AA11" s="44">
        <f t="shared" si="4"/>
        <v>2023</v>
      </c>
      <c r="AB11" s="21" t="str">
        <f>IF(AA11=Assumptions!$D$45,"Construction First Year",IF(AA11=Assumptions!$D$45+Assumptions!$D$46-1,"Construction Last Year","No"))</f>
        <v>No</v>
      </c>
      <c r="AC11" s="21">
        <f>IF(AB11="Construction First Year",Assumptions!$D$47/12,IF(AB11="Construction Last Year",Assumptions!$D$48/12,0))</f>
        <v>0</v>
      </c>
      <c r="AD11" s="390">
        <f>AC11*VOC_Construction!$O$27</f>
        <v>0</v>
      </c>
      <c r="AE11" s="45" cm="1">
        <f t="array" ref="AE11">IF($AD11=0,0,TREND($K$12:$K$13,$H$12:$H$13,$AA11)*((($AD11)*TREND($I$23:$I$24,$H$23:$H$24,$AA11))+(((1-$AD11))*TREND($I$18:$I$19,$H$18:$H$19,$AA11))))</f>
        <v>0</v>
      </c>
      <c r="AF11" s="45" cm="1">
        <f t="array" ref="AF11">IF($AD11=0,0,TREND($K$12:$K$13,$H$12:$H$13,$AA11)*((($AD11)*TREND($J$23:$J$24,$H$23:$H$24,$AA11))+(((1-$AD11))*TREND($J$18:$J$19,$H$18:$H$19,$AA11))))</f>
        <v>0</v>
      </c>
      <c r="AG11" s="45" cm="1">
        <f t="array" ref="AG11">IF($AD11=0,0,TREND($K$12:$K$13,$H$12:$H$13,$AA11)*((($AD11)*TREND($K$23:$K$24,$H$23:$H$24,$AA11)))+(((1-$AD11))*TREND($K$18:$K$19,$H$18:$H$19,$AA11)))</f>
        <v>0</v>
      </c>
      <c r="AH11" s="45" cm="1">
        <f t="array" ref="AH11">IF($AD11=0,0,TREND($K$12:$K$13,$H$12:$H$13,$AA11)*((($AD11)*TREND($L$23:$L$24,$H$23:$H$24,$AA11))+(((1-$AD11))*TREND($L$18:$L$19,$H$18:$H$19,$AA11))))</f>
        <v>0</v>
      </c>
      <c r="AI11" s="45" cm="1">
        <f t="array" ref="AI11">IF($AD11=0,0,TREND($K$12:$K$13,$H$12:$H$13,$AA11)*((($AD11)*TREND($M$23:$M$24,$H$23:$H$24,$AA11))+(((1-$AD11))*TREND($M$18:$M$19,$H$18:$H$19,$AA11))))</f>
        <v>0</v>
      </c>
      <c r="AJ11" s="59">
        <f>IF(AA11&lt;=Assumptions!$D$15,SUMPRODUCT($I$7:$M$7,AE11:AI11),0)</f>
        <v>0</v>
      </c>
    </row>
    <row r="12" spans="1:36" x14ac:dyDescent="0.25">
      <c r="B12" s="406"/>
      <c r="C12" s="406"/>
      <c r="D12" s="406"/>
      <c r="E12" s="406"/>
      <c r="F12" s="406"/>
      <c r="G12" s="24"/>
      <c r="H12" s="21">
        <f>'Traffic Volume and Route Data'!$C$11</f>
        <v>2019</v>
      </c>
      <c r="I12" s="252">
        <f>'Traffic Volume and Route Data'!D11</f>
        <v>5500</v>
      </c>
      <c r="J12" s="177">
        <f>'Network Crash Calcs'!D15</f>
        <v>4233.333333333333</v>
      </c>
      <c r="K12" s="57">
        <f>I12</f>
        <v>5500</v>
      </c>
      <c r="O12" s="496"/>
      <c r="P12" s="44">
        <f t="shared" si="3"/>
        <v>2024</v>
      </c>
      <c r="Q12" s="21" t="str">
        <f>IF(P12=Assumptions!$D$45,"Construction First Year",IF(P12=Assumptions!$D$45+Assumptions!$D$46-1,"Construction Last Year","No"))</f>
        <v>No</v>
      </c>
      <c r="R12" s="45" cm="1">
        <f t="array" ref="R12">IF(OR(Q12="Construction First Year",Q12="Construction Last Year"),TREND($I$12:$I$13,$H$12:$H$13,P12)*TREND($I$18:$I$19,$H$18:$H$19,P12),0)</f>
        <v>0</v>
      </c>
      <c r="S12" s="45" cm="1">
        <f t="array" ref="S12">IF(OR(Q12="Construction First Year",Q12="Construction Last Year"),TREND($I$12:$I$13,$H$12:$H$13,P12)*TREND($J$18:$J$19,$H$18:$H$19,P12),0)</f>
        <v>0</v>
      </c>
      <c r="T12" s="45" cm="1">
        <f t="array" ref="T12">IF(OR(Q12="Construction First Year",Q12="Construction Last Year"),TREND($I$12:$I$13,$H$12:$H$13,P12)*TREND($K$18:$K$19,$H$18:$H$19,P12),0)</f>
        <v>0</v>
      </c>
      <c r="U12" s="45" cm="1">
        <f t="array" ref="U12">IF(OR(Q12="Construction First Year",Q12="Construction Last Year"),TREND($I$12:$I$13,$H$12:$H$13,P12)*TREND($L$18:$L$19,$H$18:$H$19,P12),0)</f>
        <v>0</v>
      </c>
      <c r="V12" s="45" cm="1">
        <f t="array" ref="V12">IF(OR(Q12="Construction First Year",Q12="Construction Last Year"),TREND($I$12:$I$13,$H$12:$H$13,P12)*TREND($M$18:$M$19,$H$18:$H$19,P12),0)</f>
        <v>0</v>
      </c>
      <c r="W12" s="59">
        <f>IF(P12&lt;=Assumptions!$D$15,SUMPRODUCT($I$7:$M$7,R12:V12),0)</f>
        <v>0</v>
      </c>
      <c r="Z12" s="496"/>
      <c r="AA12" s="44">
        <f t="shared" si="4"/>
        <v>2024</v>
      </c>
      <c r="AB12" s="21" t="str">
        <f>IF(AA12=Assumptions!$D$45,"Construction First Year",IF(AA12=Assumptions!$D$45+Assumptions!$D$46-1,"Construction Last Year","No"))</f>
        <v>No</v>
      </c>
      <c r="AC12" s="21">
        <f>IF(AB12="Construction First Year",Assumptions!$D$47/12,IF(AB12="Construction Last Year",Assumptions!$D$48/12,0))</f>
        <v>0</v>
      </c>
      <c r="AD12" s="390">
        <f>AC12*VOC_Construction!$O$27</f>
        <v>0</v>
      </c>
      <c r="AE12" s="45" cm="1">
        <f t="array" ref="AE12">IF($AD12=0,0,TREND($K$12:$K$13,$H$12:$H$13,$AA12)*((($AD12)*TREND($I$23:$I$24,$H$23:$H$24,$AA12))+(((1-$AD12))*TREND($I$18:$I$19,$H$18:$H$19,$AA12))))</f>
        <v>0</v>
      </c>
      <c r="AF12" s="45" cm="1">
        <f t="array" ref="AF12">IF($AD12=0,0,TREND($K$12:$K$13,$H$12:$H$13,$AA12)*((($AD12)*TREND($J$23:$J$24,$H$23:$H$24,$AA12))+(((1-$AD12))*TREND($J$18:$J$19,$H$18:$H$19,$AA12))))</f>
        <v>0</v>
      </c>
      <c r="AG12" s="45" cm="1">
        <f t="array" ref="AG12">IF($AD12=0,0,TREND($K$12:$K$13,$H$12:$H$13,$AA12)*((($AD12)*TREND($K$23:$K$24,$H$23:$H$24,$AA12)))+(((1-$AD12))*TREND($K$18:$K$19,$H$18:$H$19,$AA12)))</f>
        <v>0</v>
      </c>
      <c r="AH12" s="45" cm="1">
        <f t="array" ref="AH12">IF($AD12=0,0,TREND($K$12:$K$13,$H$12:$H$13,$AA12)*((($AD12)*TREND($L$23:$L$24,$H$23:$H$24,$AA12))+(((1-$AD12))*TREND($L$18:$L$19,$H$18:$H$19,$AA12))))</f>
        <v>0</v>
      </c>
      <c r="AI12" s="45" cm="1">
        <f t="array" ref="AI12">IF($AD12=0,0,TREND($K$12:$K$13,$H$12:$H$13,$AA12)*((($AD12)*TREND($M$23:$M$24,$H$23:$H$24,$AA12))+(((1-$AD12))*TREND($M$18:$M$19,$H$18:$H$19,$AA12))))</f>
        <v>0</v>
      </c>
      <c r="AJ12" s="59">
        <f>IF(AA12&lt;=Assumptions!$D$15,SUMPRODUCT($I$7:$M$7,AE12:AI12),0)</f>
        <v>0</v>
      </c>
    </row>
    <row r="13" spans="1:36" ht="15" customHeight="1" x14ac:dyDescent="0.25">
      <c r="B13" s="406"/>
      <c r="C13" s="406"/>
      <c r="D13" s="406"/>
      <c r="E13" s="406"/>
      <c r="F13" s="406"/>
      <c r="G13" s="24"/>
      <c r="H13" s="21">
        <f>'Traffic Volume and Route Data'!$C$12</f>
        <v>2040</v>
      </c>
      <c r="I13" s="57">
        <f>'Traffic Volume and Route Data'!D12</f>
        <v>6400</v>
      </c>
      <c r="J13" s="177">
        <f>J12*(1+I14)^(H13-H12)</f>
        <v>4926.060606060616</v>
      </c>
      <c r="K13" s="177">
        <f>K12*(1+I14)^(H13-H12)</f>
        <v>6400.0000000000127</v>
      </c>
      <c r="O13" s="496"/>
      <c r="P13" s="44">
        <f t="shared" si="3"/>
        <v>2025</v>
      </c>
      <c r="Q13" s="21" t="str">
        <f>IF(P13=Assumptions!$D$45,"Construction First Year",IF(P13=Assumptions!$D$45+Assumptions!$D$46-1,"Construction Last Year","No"))</f>
        <v>No</v>
      </c>
      <c r="R13" s="45" cm="1">
        <f t="array" ref="R13">IF(OR(Q13="Construction First Year",Q13="Construction Last Year"),TREND($I$12:$I$13,$H$12:$H$13,P13)*TREND($I$18:$I$19,$H$18:$H$19,P13),0)</f>
        <v>0</v>
      </c>
      <c r="S13" s="45" cm="1">
        <f t="array" ref="S13">IF(OR(Q13="Construction First Year",Q13="Construction Last Year"),TREND($I$12:$I$13,$H$12:$H$13,P13)*TREND($J$18:$J$19,$H$18:$H$19,P13),0)</f>
        <v>0</v>
      </c>
      <c r="T13" s="45" cm="1">
        <f t="array" ref="T13">IF(OR(Q13="Construction First Year",Q13="Construction Last Year"),TREND($I$12:$I$13,$H$12:$H$13,P13)*TREND($K$18:$K$19,$H$18:$H$19,P13),0)</f>
        <v>0</v>
      </c>
      <c r="U13" s="45" cm="1">
        <f t="array" ref="U13">IF(OR(Q13="Construction First Year",Q13="Construction Last Year"),TREND($I$12:$I$13,$H$12:$H$13,P13)*TREND($L$18:$L$19,$H$18:$H$19,P13),0)</f>
        <v>0</v>
      </c>
      <c r="V13" s="45" cm="1">
        <f t="array" ref="V13">IF(OR(Q13="Construction First Year",Q13="Construction Last Year"),TREND($I$12:$I$13,$H$12:$H$13,P13)*TREND($M$18:$M$19,$H$18:$H$19,P13),0)</f>
        <v>0</v>
      </c>
      <c r="W13" s="59">
        <f>IF(P13&lt;=Assumptions!$D$15,SUMPRODUCT($I$7:$M$7,R13:V13),0)</f>
        <v>0</v>
      </c>
      <c r="Z13" s="496"/>
      <c r="AA13" s="44">
        <f t="shared" si="4"/>
        <v>2025</v>
      </c>
      <c r="AB13" s="21" t="str">
        <f>IF(AA13=Assumptions!$D$45,"Construction First Year",IF(AA13=Assumptions!$D$45+Assumptions!$D$46-1,"Construction Last Year","No"))</f>
        <v>No</v>
      </c>
      <c r="AC13" s="21">
        <f>IF(AB13="Construction First Year",Assumptions!$D$47/12,IF(AB13="Construction Last Year",Assumptions!$D$48/12,0))</f>
        <v>0</v>
      </c>
      <c r="AD13" s="390">
        <f>AC13*VOC_Construction!$O$27</f>
        <v>0</v>
      </c>
      <c r="AE13" s="45" cm="1">
        <f t="array" ref="AE13">IF($AD13=0,0,TREND($K$12:$K$13,$H$12:$H$13,$AA13)*((($AD13)*TREND($I$23:$I$24,$H$23:$H$24,$AA13))+(((1-$AD13))*TREND($I$18:$I$19,$H$18:$H$19,$AA13))))</f>
        <v>0</v>
      </c>
      <c r="AF13" s="45" cm="1">
        <f t="array" ref="AF13">IF($AD13=0,0,TREND($K$12:$K$13,$H$12:$H$13,$AA13)*((($AD13)*TREND($J$23:$J$24,$H$23:$H$24,$AA13))+(((1-$AD13))*TREND($J$18:$J$19,$H$18:$H$19,$AA13))))</f>
        <v>0</v>
      </c>
      <c r="AG13" s="45" cm="1">
        <f t="array" ref="AG13">IF($AD13=0,0,TREND($K$12:$K$13,$H$12:$H$13,$AA13)*((($AD13)*TREND($K$23:$K$24,$H$23:$H$24,$AA13)))+(((1-$AD13))*TREND($K$18:$K$19,$H$18:$H$19,$AA13)))</f>
        <v>0</v>
      </c>
      <c r="AH13" s="45" cm="1">
        <f t="array" ref="AH13">IF($AD13=0,0,TREND($K$12:$K$13,$H$12:$H$13,$AA13)*((($AD13)*TREND($L$23:$L$24,$H$23:$H$24,$AA13))+(((1-$AD13))*TREND($L$18:$L$19,$H$18:$H$19,$AA13))))</f>
        <v>0</v>
      </c>
      <c r="AI13" s="45" cm="1">
        <f t="array" ref="AI13">IF($AD13=0,0,TREND($K$12:$K$13,$H$12:$H$13,$AA13)*((($AD13)*TREND($M$23:$M$24,$H$23:$H$24,$AA13))+(((1-$AD13))*TREND($M$18:$M$19,$H$18:$H$19,$AA13))))</f>
        <v>0</v>
      </c>
      <c r="AJ13" s="59">
        <f>IF(AA13&lt;=Assumptions!$D$15,SUMPRODUCT($I$7:$M$7,AE13:AI13),0)</f>
        <v>0</v>
      </c>
    </row>
    <row r="14" spans="1:36" ht="15" customHeight="1" x14ac:dyDescent="0.25">
      <c r="B14" s="406"/>
      <c r="C14" s="406"/>
      <c r="D14" s="406"/>
      <c r="E14" s="406"/>
      <c r="F14" s="406"/>
      <c r="G14" s="69"/>
      <c r="H14" s="21" t="s">
        <v>142</v>
      </c>
      <c r="I14" s="188">
        <f>((I13/I12)^(1/($H$13-$H$12))-1)</f>
        <v>7.2427646735135909E-3</v>
      </c>
      <c r="J14" s="188">
        <f>((J13/J12)^(1/($H$13-$H$12))-1)</f>
        <v>7.2427646735135909E-3</v>
      </c>
      <c r="K14" s="188">
        <f t="shared" ref="K14" si="5">((K13/K12)^(1/($H$13-$H$12))-1)</f>
        <v>7.2427646735135909E-3</v>
      </c>
      <c r="O14" s="496"/>
      <c r="P14" s="44">
        <f t="shared" si="3"/>
        <v>2026</v>
      </c>
      <c r="Q14" s="21" t="str">
        <f>IF(P14=Assumptions!$D$45,"Construction First Year",IF(P14=Assumptions!$D$45+Assumptions!$D$46-1,"Construction Last Year","No"))</f>
        <v>No</v>
      </c>
      <c r="R14" s="45" cm="1">
        <f t="array" ref="R14">IF(OR(Q14="Construction First Year",Q14="Construction Last Year"),TREND($I$12:$I$13,$H$12:$H$13,P14)*TREND($I$18:$I$19,$H$18:$H$19,P14),0)</f>
        <v>0</v>
      </c>
      <c r="S14" s="45" cm="1">
        <f t="array" ref="S14">IF(OR(Q14="Construction First Year",Q14="Construction Last Year"),TREND($I$12:$I$13,$H$12:$H$13,P14)*TREND($J$18:$J$19,$H$18:$H$19,P14),0)</f>
        <v>0</v>
      </c>
      <c r="T14" s="45" cm="1">
        <f t="array" ref="T14">IF(OR(Q14="Construction First Year",Q14="Construction Last Year"),TREND($I$12:$I$13,$H$12:$H$13,P14)*TREND($K$18:$K$19,$H$18:$H$19,P14),0)</f>
        <v>0</v>
      </c>
      <c r="U14" s="45" cm="1">
        <f t="array" ref="U14">IF(OR(Q14="Construction First Year",Q14="Construction Last Year"),TREND($I$12:$I$13,$H$12:$H$13,P14)*TREND($L$18:$L$19,$H$18:$H$19,P14),0)</f>
        <v>0</v>
      </c>
      <c r="V14" s="45" cm="1">
        <f t="array" ref="V14">IF(OR(Q14="Construction First Year",Q14="Construction Last Year"),TREND($I$12:$I$13,$H$12:$H$13,P14)*TREND($M$18:$M$19,$H$18:$H$19,P14),0)</f>
        <v>0</v>
      </c>
      <c r="W14" s="59">
        <f>IF(P14&lt;=Assumptions!$D$15,SUMPRODUCT($I$7:$M$7,R14:V14),0)</f>
        <v>0</v>
      </c>
      <c r="Z14" s="496"/>
      <c r="AA14" s="44">
        <f t="shared" si="4"/>
        <v>2026</v>
      </c>
      <c r="AB14" s="21" t="str">
        <f>IF(AA14=Assumptions!$D$45,"Construction First Year",IF(AA14=Assumptions!$D$45+Assumptions!$D$46-1,"Construction Last Year","No"))</f>
        <v>No</v>
      </c>
      <c r="AC14" s="21">
        <f>IF(AB14="Construction First Year",Assumptions!$D$47/12,IF(AB14="Construction Last Year",Assumptions!$D$48/12,0))</f>
        <v>0</v>
      </c>
      <c r="AD14" s="390">
        <f>AC14*VOC_Construction!$O$27</f>
        <v>0</v>
      </c>
      <c r="AE14" s="45" cm="1">
        <f t="array" ref="AE14">IF($AD14=0,0,TREND($K$12:$K$13,$H$12:$H$13,$AA14)*((($AD14)*TREND($I$23:$I$24,$H$23:$H$24,$AA14))+(((1-$AD14))*TREND($I$18:$I$19,$H$18:$H$19,$AA14))))</f>
        <v>0</v>
      </c>
      <c r="AF14" s="45" cm="1">
        <f t="array" ref="AF14">IF($AD14=0,0,TREND($K$12:$K$13,$H$12:$H$13,$AA14)*((($AD14)*TREND($J$23:$J$24,$H$23:$H$24,$AA14))+(((1-$AD14))*TREND($J$18:$J$19,$H$18:$H$19,$AA14))))</f>
        <v>0</v>
      </c>
      <c r="AG14" s="45" cm="1">
        <f t="array" ref="AG14">IF($AD14=0,0,TREND($K$12:$K$13,$H$12:$H$13,$AA14)*((($AD14)*TREND($K$23:$K$24,$H$23:$H$24,$AA14)))+(((1-$AD14))*TREND($K$18:$K$19,$H$18:$H$19,$AA14)))</f>
        <v>0</v>
      </c>
      <c r="AH14" s="45" cm="1">
        <f t="array" ref="AH14">IF($AD14=0,0,TREND($K$12:$K$13,$H$12:$H$13,$AA14)*((($AD14)*TREND($L$23:$L$24,$H$23:$H$24,$AA14))+(((1-$AD14))*TREND($L$18:$L$19,$H$18:$H$19,$AA14))))</f>
        <v>0</v>
      </c>
      <c r="AI14" s="45" cm="1">
        <f t="array" ref="AI14">IF($AD14=0,0,TREND($K$12:$K$13,$H$12:$H$13,$AA14)*((($AD14)*TREND($M$23:$M$24,$H$23:$H$24,$AA14))+(((1-$AD14))*TREND($M$18:$M$19,$H$18:$H$19,$AA14))))</f>
        <v>0</v>
      </c>
      <c r="AJ14" s="59">
        <f>IF(AA14&lt;=Assumptions!$D$15,SUMPRODUCT($I$7:$M$7,AE14:AI14),0)</f>
        <v>0</v>
      </c>
    </row>
    <row r="15" spans="1:36" x14ac:dyDescent="0.25">
      <c r="A15" s="2"/>
      <c r="B15" s="406"/>
      <c r="C15" s="406"/>
      <c r="D15" s="406"/>
      <c r="E15" s="406"/>
      <c r="F15" s="406"/>
      <c r="G15" s="69"/>
      <c r="O15" s="496"/>
      <c r="P15" s="44">
        <f t="shared" si="3"/>
        <v>2027</v>
      </c>
      <c r="Q15" s="21" t="str">
        <f>IF(P15=Assumptions!$D$45,"Construction First Year",IF(P15=Assumptions!$D$45+Assumptions!$D$46-1,"Construction Last Year","No"))</f>
        <v>Construction First Year</v>
      </c>
      <c r="R15" s="45" cm="1">
        <f t="array" ref="R15">IF(OR(Q15="Construction First Year",Q15="Construction Last Year"),TREND($I$12:$I$13,$H$12:$H$13,P15)*TREND($I$18:$I$19,$H$18:$H$19,P15),0)</f>
        <v>0</v>
      </c>
      <c r="S15" s="45" cm="1">
        <f t="array" ref="S15">IF(OR(Q15="Construction First Year",Q15="Construction Last Year"),TREND($I$12:$I$13,$H$12:$H$13,P15)*TREND($J$18:$J$19,$H$18:$H$19,P15),0)</f>
        <v>0.21246753246753255</v>
      </c>
      <c r="T15" s="45" cm="1">
        <f t="array" ref="T15">IF(OR(Q15="Construction First Year",Q15="Construction Last Year"),TREND($I$12:$I$13,$H$12:$H$13,P15)*TREND($K$18:$K$19,$H$18:$H$19,P15),0)</f>
        <v>0.42493506493506511</v>
      </c>
      <c r="U15" s="45" cm="1">
        <f t="array" ref="U15">IF(OR(Q15="Construction First Year",Q15="Construction Last Year"),TREND($I$12:$I$13,$H$12:$H$13,P15)*TREND($L$18:$L$19,$H$18:$H$19,P15),0)</f>
        <v>1.6997402597402604</v>
      </c>
      <c r="V15" s="45" cm="1">
        <f t="array" ref="V15">IF(OR(Q15="Construction First Year",Q15="Construction Last Year"),TREND($I$12:$I$13,$H$12:$H$13,P15)*TREND($M$18:$M$19,$H$18:$H$19,P15),0)</f>
        <v>8.711168831168834</v>
      </c>
      <c r="W15" s="59">
        <f>IF(P15&lt;=Assumptions!$D$15,SUMPRODUCT($I$7:$M$7,R15:V15),0)</f>
        <v>585220.57142857171</v>
      </c>
      <c r="Z15" s="496"/>
      <c r="AA15" s="44">
        <f t="shared" si="4"/>
        <v>2027</v>
      </c>
      <c r="AB15" s="21" t="str">
        <f>IF(AA15=Assumptions!$D$45,"Construction First Year",IF(AA15=Assumptions!$D$45+Assumptions!$D$46-1,"Construction Last Year","No"))</f>
        <v>Construction First Year</v>
      </c>
      <c r="AC15" s="376">
        <f>IF(AB15="Construction First Year",Assumptions!$D$47/12,IF(AB15="Construction Last Year",Assumptions!$D$48/12,0))</f>
        <v>0.33333333333333331</v>
      </c>
      <c r="AD15" s="390">
        <f>AC15*VOC_Construction!$O$27</f>
        <v>0.3</v>
      </c>
      <c r="AE15" s="45" cm="1">
        <f t="array" ref="AE15">IF($AD15=0,0,TREND($K$12:$K$13,$H$12:$H$13,$AA15)*((($AD15)*TREND($I$23:$I$24,$H$23:$H$24,$AA15))+(((1-$AD15))*TREND($I$18:$I$19,$H$18:$H$19,$AA15))))</f>
        <v>0</v>
      </c>
      <c r="AF15" s="45" cm="1">
        <f t="array" ref="AF15">IF($AD15=0,0,TREND($K$12:$K$13,$H$12:$H$13,$AA15)*((($AD15)*TREND($J$23:$J$24,$H$23:$H$24,$AA15))+(((1-$AD15))*TREND($J$18:$J$19,$H$18:$H$19,$AA15))))</f>
        <v>0.1881173208813659</v>
      </c>
      <c r="AG15" s="45" cm="1">
        <f t="array" ref="AG15">IF($AD15=0,0,TREND($K$12:$K$13,$H$12:$H$13,$AA15)*((($AD15)*TREND($K$23:$K$24,$H$23:$H$24,$AA15)))+(((1-$AD15))*TREND($K$18:$K$19,$H$18:$H$19,$AA15)))</f>
        <v>0.19700114986137465</v>
      </c>
      <c r="AH15" s="45" cm="1">
        <f t="array" ref="AH15">IF($AD15=0,0,TREND($K$12:$K$13,$H$12:$H$13,$AA15)*((($AD15)*TREND($L$23:$L$24,$H$23:$H$24,$AA15))+(((1-$AD15))*TREND($L$18:$L$19,$H$18:$H$19,$AA15))))</f>
        <v>2.4926075522480025</v>
      </c>
      <c r="AI15" s="45" cm="1">
        <f t="array" ref="AI15">IF($AD15=0,0,TREND($K$12:$K$13,$H$12:$H$13,$AA15)*((($AD15)*TREND($M$23:$M$24,$H$23:$H$24,$AA15))+(((1-$AD15))*TREND($M$18:$M$19,$H$18:$H$19,$AA15))))</f>
        <v>9.88324159735396</v>
      </c>
      <c r="AJ15" s="59">
        <f>IF(AA15&lt;=Assumptions!$D$15,SUMPRODUCT($I$7:$M$7,AE15:AI15),0)</f>
        <v>597420.34108170005</v>
      </c>
    </row>
    <row r="16" spans="1:36" x14ac:dyDescent="0.25">
      <c r="B16" s="35"/>
      <c r="C16" s="35"/>
      <c r="D16" s="35"/>
      <c r="E16" s="35"/>
      <c r="F16" s="35"/>
      <c r="G16" s="69"/>
      <c r="H16" s="1" t="s">
        <v>928</v>
      </c>
      <c r="K16" s="1"/>
      <c r="L16" s="1"/>
      <c r="M16" s="1"/>
      <c r="O16" s="496"/>
      <c r="P16" s="44">
        <f t="shared" si="3"/>
        <v>2028</v>
      </c>
      <c r="Q16" s="21" t="str">
        <f>IF(P16=Assumptions!$D$45,"Construction First Year",IF(P16=Assumptions!$D$45+Assumptions!$D$46-1,"Construction Last Year","No"))</f>
        <v>Construction Last Year</v>
      </c>
      <c r="R16" s="45" cm="1">
        <f t="array" ref="R16">IF(OR(Q16="Construction First Year",Q16="Construction Last Year"),TREND($I$12:$I$13,$H$12:$H$13,P16)*TREND($I$18:$I$19,$H$18:$H$19,P16),0)</f>
        <v>0</v>
      </c>
      <c r="S16" s="45" cm="1">
        <f t="array" ref="S16">IF(OR(Q16="Construction First Year",Q16="Construction Last Year"),TREND($I$12:$I$13,$H$12:$H$13,P16)*TREND($J$18:$J$19,$H$18:$H$19,P16),0)</f>
        <v>0.21402597402597417</v>
      </c>
      <c r="T16" s="45" cm="1">
        <f t="array" ref="T16">IF(OR(Q16="Construction First Year",Q16="Construction Last Year"),TREND($I$12:$I$13,$H$12:$H$13,P16)*TREND($K$18:$K$19,$H$18:$H$19,P16),0)</f>
        <v>0.42805194805194835</v>
      </c>
      <c r="U16" s="45" cm="1">
        <f t="array" ref="U16">IF(OR(Q16="Construction First Year",Q16="Construction Last Year"),TREND($I$12:$I$13,$H$12:$H$13,P16)*TREND($L$18:$L$19,$H$18:$H$19,P16),0)</f>
        <v>1.7122077922077934</v>
      </c>
      <c r="V16" s="45" cm="1">
        <f t="array" ref="V16">IF(OR(Q16="Construction First Year",Q16="Construction Last Year"),TREND($I$12:$I$13,$H$12:$H$13,P16)*TREND($M$18:$M$19,$H$18:$H$19,P16),0)</f>
        <v>8.7750649350649415</v>
      </c>
      <c r="W16" s="59">
        <f>IF(P16&lt;=Assumptions!$D$15,SUMPRODUCT($I$7:$M$7,R16:V16),0)</f>
        <v>589513.14285714331</v>
      </c>
      <c r="Z16" s="496"/>
      <c r="AA16" s="44">
        <f t="shared" si="4"/>
        <v>2028</v>
      </c>
      <c r="AB16" s="21" t="str">
        <f>IF(AA16=Assumptions!$D$45,"Construction First Year",IF(AA16=Assumptions!$D$45+Assumptions!$D$46-1,"Construction Last Year","No"))</f>
        <v>Construction Last Year</v>
      </c>
      <c r="AC16" s="376">
        <f>IF(AB16="Construction First Year",Assumptions!$D$47/12,IF(AB16="Construction Last Year",Assumptions!$D$48/12,0))</f>
        <v>0.66666666666666663</v>
      </c>
      <c r="AD16" s="390">
        <f>AC16*VOC_Construction!$O$27</f>
        <v>0.6</v>
      </c>
      <c r="AE16" s="45" cm="1">
        <f t="array" ref="AE16">IF($AD16=0,0,TREND($K$12:$K$13,$H$12:$H$13,$AA16)*((($AD16)*TREND($I$23:$I$24,$H$23:$H$24,$AA16))+(((1-$AD16))*TREND($I$18:$I$19,$H$18:$H$19,$AA16))))</f>
        <v>0</v>
      </c>
      <c r="AF16" s="45" cm="1">
        <f t="array" ref="AF16">IF($AD16=0,0,TREND($K$12:$K$13,$H$12:$H$13,$AA16)*((($AD16)*TREND($J$23:$J$24,$H$23:$H$24,$AA16))+(((1-$AD16))*TREND($J$18:$J$19,$H$18:$H$19,$AA16))))</f>
        <v>0.1649683350357509</v>
      </c>
      <c r="AG16" s="45" cm="1">
        <f t="array" ref="AG16">IF($AD16=0,0,TREND($K$12:$K$13,$H$12:$H$13,$AA16)*((($AD16)*TREND($K$23:$K$24,$H$23:$H$24,$AA16)))+(((1-$AD16))*TREND($K$18:$K$19,$H$18:$H$19,$AA16)))</f>
        <v>0.39681881803589697</v>
      </c>
      <c r="AH16" s="45" cm="1">
        <f t="array" ref="AH16">IF($AD16=0,0,TREND($K$12:$K$13,$H$12:$H$13,$AA16)*((($AD16)*TREND($L$23:$L$24,$H$23:$H$24,$AA16))+(((1-$AD16))*TREND($L$18:$L$19,$H$18:$H$19,$AA16))))</f>
        <v>3.3095736822478417</v>
      </c>
      <c r="AI16" s="45" cm="1">
        <f t="array" ref="AI16">IF($AD16=0,0,TREND($K$12:$K$13,$H$12:$H$13,$AA16)*((($AD16)*TREND($M$23:$M$24,$H$23:$H$24,$AA16))+(((1-$AD16))*TREND($M$18:$M$19,$H$18:$H$19,$AA16))))</f>
        <v>11.136404688944022</v>
      </c>
      <c r="AJ16" s="59">
        <f>IF(AA16&lt;=Assumptions!$D$15,SUMPRODUCT($I$7:$M$7,AE16:AI16),0)</f>
        <v>714153.01909807581</v>
      </c>
    </row>
    <row r="17" spans="1:36" ht="15" customHeight="1" x14ac:dyDescent="0.25">
      <c r="A17" s="2" t="s">
        <v>15</v>
      </c>
      <c r="B17" s="441" t="s">
        <v>261</v>
      </c>
      <c r="C17" s="441"/>
      <c r="D17" s="441"/>
      <c r="E17" s="441"/>
      <c r="F17" s="441"/>
      <c r="G17" s="69"/>
      <c r="H17" s="21" t="s">
        <v>22</v>
      </c>
      <c r="I17" s="21" t="s">
        <v>234</v>
      </c>
      <c r="J17" s="21" t="s">
        <v>235</v>
      </c>
      <c r="K17" s="21" t="s">
        <v>236</v>
      </c>
      <c r="L17" s="21" t="s">
        <v>237</v>
      </c>
      <c r="M17" s="21" t="s">
        <v>220</v>
      </c>
      <c r="O17" s="496"/>
      <c r="P17" s="44">
        <f t="shared" si="3"/>
        <v>2029</v>
      </c>
      <c r="Q17" s="21" t="str">
        <f>IF(P17=Assumptions!$D$45,"Construction First Year",IF(P17=Assumptions!$D$45+Assumptions!$D$46-1,"Construction Last Year","No"))</f>
        <v>No</v>
      </c>
      <c r="R17" s="45" cm="1">
        <f t="array" ref="R17">IF(OR(Q17="Construction First Year",Q17="Construction Last Year"),TREND($I$12:$I$13,$H$12:$H$13,P17)*TREND($I$18:$I$19,$H$18:$H$19,P17),0)</f>
        <v>0</v>
      </c>
      <c r="S17" s="45" cm="1">
        <f t="array" ref="S17">IF(OR(Q17="Construction First Year",Q17="Construction Last Year"),TREND($I$12:$I$13,$H$12:$H$13,P17)*TREND($J$18:$J$19,$H$18:$H$19,P17),0)</f>
        <v>0</v>
      </c>
      <c r="T17" s="45" cm="1">
        <f t="array" ref="T17">IF(OR(Q17="Construction First Year",Q17="Construction Last Year"),TREND($I$12:$I$13,$H$12:$H$13,P17)*TREND($K$18:$K$19,$H$18:$H$19,P17),0)</f>
        <v>0</v>
      </c>
      <c r="U17" s="45" cm="1">
        <f t="array" ref="U17">IF(OR(Q17="Construction First Year",Q17="Construction Last Year"),TREND($I$12:$I$13,$H$12:$H$13,P17)*TREND($L$18:$L$19,$H$18:$H$19,P17),0)</f>
        <v>0</v>
      </c>
      <c r="V17" s="45" cm="1">
        <f t="array" ref="V17">IF(OR(Q17="Construction First Year",Q17="Construction Last Year"),TREND($I$12:$I$13,$H$12:$H$13,P17)*TREND($M$18:$M$19,$H$18:$H$19,P17),0)</f>
        <v>0</v>
      </c>
      <c r="W17" s="59">
        <f>IF(P17&lt;=Assumptions!$D$15,SUMPRODUCT($I$7:$M$7,R17:V17),0)</f>
        <v>0</v>
      </c>
      <c r="Z17" s="496"/>
      <c r="AA17" s="44">
        <f t="shared" si="4"/>
        <v>2029</v>
      </c>
      <c r="AB17" s="21" t="str">
        <f>IF(AA17=Assumptions!$D$45,"Construction First Year",IF(AA17=Assumptions!$D$45+Assumptions!$D$46-1,"Construction Last Year","No"))</f>
        <v>No</v>
      </c>
      <c r="AC17" s="21">
        <f>IF(AB17="Construction First Year",Assumptions!$D$47/12,IF(AB17="Construction Last Year",Assumptions!$D$48/12,0))</f>
        <v>0</v>
      </c>
      <c r="AD17" s="390">
        <f>AC17*VOC_Construction!$O$27</f>
        <v>0</v>
      </c>
      <c r="AE17" s="45" cm="1">
        <f t="array" ref="AE17">IF($AD17=0,0,TREND($K$12:$K$13,$H$12:$H$13,$AA17)*((($AD17)*TREND($I$23:$I$24,$H$23:$H$24,$AA17))+(((1-$AD17))*TREND($I$18:$I$19,$H$18:$H$19,$AA17))))</f>
        <v>0</v>
      </c>
      <c r="AF17" s="45" cm="1">
        <f t="array" ref="AF17">IF($AD17=0,0,TREND($K$12:$K$13,$H$12:$H$13,$AA17)*((($AD17)*TREND($J$23:$J$24,$H$23:$H$24,$AA17))+(((1-$AD17))*TREND($J$18:$J$19,$H$18:$H$19,$AA17))))</f>
        <v>0</v>
      </c>
      <c r="AG17" s="45" cm="1">
        <f t="array" ref="AG17">IF($AD17=0,0,TREND($K$12:$K$13,$H$12:$H$13,$AA17)*((($AD17)*TREND($K$23:$K$24,$H$23:$H$24,$AA17)))+(((1-$AD17))*TREND($K$18:$K$19,$H$18:$H$19,$AA17)))</f>
        <v>0</v>
      </c>
      <c r="AH17" s="45" cm="1">
        <f t="array" ref="AH17">IF($AD17=0,0,TREND($K$12:$K$13,$H$12:$H$13,$AA17)*((($AD17)*TREND($L$23:$L$24,$H$23:$H$24,$AA17))+(((1-$AD17))*TREND($L$18:$L$19,$H$18:$H$19,$AA17))))</f>
        <v>0</v>
      </c>
      <c r="AI17" s="45" cm="1">
        <f t="array" ref="AI17">IF($AD17=0,0,TREND($K$12:$K$13,$H$12:$H$13,$AA17)*((($AD17)*TREND($M$23:$M$24,$H$23:$H$24,$AA17))+(((1-$AD17))*TREND($M$18:$M$19,$H$18:$H$19,$AA17))))</f>
        <v>0</v>
      </c>
      <c r="AJ17" s="59">
        <f>IF(AA17&lt;=Assumptions!$D$15,SUMPRODUCT($I$7:$M$7,AE17:AI17),0)</f>
        <v>0</v>
      </c>
    </row>
    <row r="18" spans="1:36" ht="15" customHeight="1" x14ac:dyDescent="0.25">
      <c r="B18" s="441"/>
      <c r="C18" s="441"/>
      <c r="D18" s="441"/>
      <c r="E18" s="441"/>
      <c r="F18" s="441"/>
      <c r="G18" s="69"/>
      <c r="H18" s="57">
        <f>'Traffic Volume and Route Data'!$C$11</f>
        <v>2019</v>
      </c>
      <c r="I18" s="248">
        <f>'Corridor Safety Improvement'!J29</f>
        <v>0</v>
      </c>
      <c r="J18" s="248">
        <f>'Corridor Safety Improvement'!K29</f>
        <v>3.6363636363636364E-5</v>
      </c>
      <c r="K18" s="248">
        <f>'Corridor Safety Improvement'!L29</f>
        <v>7.2727272727272728E-5</v>
      </c>
      <c r="L18" s="248">
        <f>'Corridor Safety Improvement'!M29</f>
        <v>2.9090909090909091E-4</v>
      </c>
      <c r="M18" s="248">
        <f>'Corridor Safety Improvement'!N29</f>
        <v>1.4909090909090909E-3</v>
      </c>
      <c r="O18" s="496"/>
      <c r="P18" s="44">
        <f t="shared" si="3"/>
        <v>2030</v>
      </c>
      <c r="Q18" s="21" t="str">
        <f>IF(P18=Assumptions!$D$45,"Construction First Year",IF(P18=Assumptions!$D$45+Assumptions!$D$46-1,"Construction Last Year","No"))</f>
        <v>No</v>
      </c>
      <c r="R18" s="45" cm="1">
        <f t="array" ref="R18">IF(OR(Q18="Construction First Year",Q18="Construction Last Year"),TREND($I$12:$I$13,$H$12:$H$13,P18)*TREND($I$18:$I$19,$H$18:$H$19,P18),0)</f>
        <v>0</v>
      </c>
      <c r="S18" s="45" cm="1">
        <f t="array" ref="S18">IF(OR(Q18="Construction First Year",Q18="Construction Last Year"),TREND($I$12:$I$13,$H$12:$H$13,P18)*TREND($J$18:$J$19,$H$18:$H$19,P18),0)</f>
        <v>0</v>
      </c>
      <c r="T18" s="45" cm="1">
        <f t="array" ref="T18">IF(OR(Q18="Construction First Year",Q18="Construction Last Year"),TREND($I$12:$I$13,$H$12:$H$13,P18)*TREND($K$18:$K$19,$H$18:$H$19,P18),0)</f>
        <v>0</v>
      </c>
      <c r="U18" s="45" cm="1">
        <f t="array" ref="U18">IF(OR(Q18="Construction First Year",Q18="Construction Last Year"),TREND($I$12:$I$13,$H$12:$H$13,P18)*TREND($L$18:$L$19,$H$18:$H$19,P18),0)</f>
        <v>0</v>
      </c>
      <c r="V18" s="45" cm="1">
        <f t="array" ref="V18">IF(OR(Q18="Construction First Year",Q18="Construction Last Year"),TREND($I$12:$I$13,$H$12:$H$13,P18)*TREND($M$18:$M$19,$H$18:$H$19,P18),0)</f>
        <v>0</v>
      </c>
      <c r="W18" s="59">
        <f>IF(P18&lt;=Assumptions!$D$15,SUMPRODUCT($I$7:$M$7,R18:V18),0)</f>
        <v>0</v>
      </c>
      <c r="Z18" s="496"/>
      <c r="AA18" s="44">
        <f t="shared" si="4"/>
        <v>2030</v>
      </c>
      <c r="AB18" s="21" t="str">
        <f>IF(AA18=Assumptions!$D$45,"Construction First Year",IF(AA18=Assumptions!$D$45+Assumptions!$D$46-1,"Construction Last Year","No"))</f>
        <v>No</v>
      </c>
      <c r="AC18" s="21">
        <f>IF(AB18="Construction First Year",Assumptions!$D$47/12,IF(AB18="Construction Last Year",Assumptions!$D$48/12,0))</f>
        <v>0</v>
      </c>
      <c r="AD18" s="390">
        <f>AC18*VOC_Construction!$O$27</f>
        <v>0</v>
      </c>
      <c r="AE18" s="45" cm="1">
        <f t="array" ref="AE18">IF($AD18=0,0,TREND($K$12:$K$13,$H$12:$H$13,$AA18)*((($AD18)*TREND($I$23:$I$24,$H$23:$H$24,$AA18))+(((1-$AD18))*TREND($I$18:$I$19,$H$18:$H$19,$AA18))))</f>
        <v>0</v>
      </c>
      <c r="AF18" s="45" cm="1">
        <f t="array" ref="AF18">IF($AD18=0,0,TREND($K$12:$K$13,$H$12:$H$13,$AA18)*((($AD18)*TREND($J$23:$J$24,$H$23:$H$24,$AA18))+(((1-$AD18))*TREND($J$18:$J$19,$H$18:$H$19,$AA18))))</f>
        <v>0</v>
      </c>
      <c r="AG18" s="45" cm="1">
        <f t="array" ref="AG18">IF($AD18=0,0,TREND($K$12:$K$13,$H$12:$H$13,$AA18)*((($AD18)*TREND($K$23:$K$24,$H$23:$H$24,$AA18)))+(((1-$AD18))*TREND($K$18:$K$19,$H$18:$H$19,$AA18)))</f>
        <v>0</v>
      </c>
      <c r="AH18" s="45" cm="1">
        <f t="array" ref="AH18">IF($AD18=0,0,TREND($K$12:$K$13,$H$12:$H$13,$AA18)*((($AD18)*TREND($L$23:$L$24,$H$23:$H$24,$AA18))+(((1-$AD18))*TREND($L$18:$L$19,$H$18:$H$19,$AA18))))</f>
        <v>0</v>
      </c>
      <c r="AI18" s="45" cm="1">
        <f t="array" ref="AI18">IF($AD18=0,0,TREND($K$12:$K$13,$H$12:$H$13,$AA18)*((($AD18)*TREND($M$23:$M$24,$H$23:$H$24,$AA18))+(((1-$AD18))*TREND($M$18:$M$19,$H$18:$H$19,$AA18))))</f>
        <v>0</v>
      </c>
      <c r="AJ18" s="59">
        <f>IF(AA18&lt;=Assumptions!$D$15,SUMPRODUCT($I$7:$M$7,AE18:AI18),0)</f>
        <v>0</v>
      </c>
    </row>
    <row r="19" spans="1:36" x14ac:dyDescent="0.25">
      <c r="B19" s="441"/>
      <c r="C19" s="441"/>
      <c r="D19" s="441"/>
      <c r="E19" s="441"/>
      <c r="F19" s="441"/>
      <c r="G19" s="69"/>
      <c r="H19" s="57">
        <f>'Traffic Volume and Route Data'!$C$12</f>
        <v>2040</v>
      </c>
      <c r="I19" s="248">
        <f>'Corridor Safety Improvement'!J30</f>
        <v>0</v>
      </c>
      <c r="J19" s="248">
        <f>'Corridor Safety Improvement'!K30</f>
        <v>3.6363636363636364E-5</v>
      </c>
      <c r="K19" s="248">
        <f>'Corridor Safety Improvement'!L30</f>
        <v>7.2727272727272728E-5</v>
      </c>
      <c r="L19" s="248">
        <f>'Corridor Safety Improvement'!M30</f>
        <v>2.9090909090909091E-4</v>
      </c>
      <c r="M19" s="248">
        <f>'Corridor Safety Improvement'!N30</f>
        <v>1.4909090909090909E-3</v>
      </c>
      <c r="O19" s="496"/>
      <c r="P19" s="44">
        <f t="shared" si="3"/>
        <v>2031</v>
      </c>
      <c r="Q19" s="21" t="str">
        <f>IF(P19=Assumptions!$D$45,"Construction First Year",IF(P19=Assumptions!$D$45+Assumptions!$D$46-1,"Construction Last Year","No"))</f>
        <v>No</v>
      </c>
      <c r="R19" s="45" cm="1">
        <f t="array" ref="R19">IF(OR(Q19="Construction First Year",Q19="Construction Last Year"),TREND($I$12:$I$13,$H$12:$H$13,P19)*TREND($I$18:$I$19,$H$18:$H$19,P19),0)</f>
        <v>0</v>
      </c>
      <c r="S19" s="45" cm="1">
        <f t="array" ref="S19">IF(OR(Q19="Construction First Year",Q19="Construction Last Year"),TREND($I$12:$I$13,$H$12:$H$13,P19)*TREND($J$18:$J$19,$H$18:$H$19,P19),0)</f>
        <v>0</v>
      </c>
      <c r="T19" s="45" cm="1">
        <f t="array" ref="T19">IF(OR(Q19="Construction First Year",Q19="Construction Last Year"),TREND($I$12:$I$13,$H$12:$H$13,P19)*TREND($K$18:$K$19,$H$18:$H$19,P19),0)</f>
        <v>0</v>
      </c>
      <c r="U19" s="45" cm="1">
        <f t="array" ref="U19">IF(OR(Q19="Construction First Year",Q19="Construction Last Year"),TREND($I$12:$I$13,$H$12:$H$13,P19)*TREND($L$18:$L$19,$H$18:$H$19,P19),0)</f>
        <v>0</v>
      </c>
      <c r="V19" s="45" cm="1">
        <f t="array" ref="V19">IF(OR(Q19="Construction First Year",Q19="Construction Last Year"),TREND($I$12:$I$13,$H$12:$H$13,P19)*TREND($M$18:$M$19,$H$18:$H$19,P19),0)</f>
        <v>0</v>
      </c>
      <c r="W19" s="59">
        <f>IF(P19&lt;=Assumptions!$D$15,SUMPRODUCT($I$7:$M$7,R19:V19),0)</f>
        <v>0</v>
      </c>
      <c r="Z19" s="496"/>
      <c r="AA19" s="44">
        <f t="shared" si="4"/>
        <v>2031</v>
      </c>
      <c r="AB19" s="21" t="str">
        <f>IF(AA19=Assumptions!$D$45,"Construction First Year",IF(AA19=Assumptions!$D$45+Assumptions!$D$46-1,"Construction Last Year","No"))</f>
        <v>No</v>
      </c>
      <c r="AC19" s="21">
        <f>IF(AB19="Construction First Year",Assumptions!$D$47/12,IF(AB19="Construction Last Year",Assumptions!$D$48/12,0))</f>
        <v>0</v>
      </c>
      <c r="AD19" s="390">
        <f>AC19*VOC_Construction!$O$27</f>
        <v>0</v>
      </c>
      <c r="AE19" s="45" cm="1">
        <f t="array" ref="AE19">IF($AD19=0,0,TREND($K$12:$K$13,$H$12:$H$13,$AA19)*((($AD19)*TREND($I$23:$I$24,$H$23:$H$24,$AA19))+(((1-$AD19))*TREND($I$18:$I$19,$H$18:$H$19,$AA19))))</f>
        <v>0</v>
      </c>
      <c r="AF19" s="45" cm="1">
        <f t="array" ref="AF19">IF($AD19=0,0,TREND($K$12:$K$13,$H$12:$H$13,$AA19)*((($AD19)*TREND($J$23:$J$24,$H$23:$H$24,$AA19))+(((1-$AD19))*TREND($J$18:$J$19,$H$18:$H$19,$AA19))))</f>
        <v>0</v>
      </c>
      <c r="AG19" s="45" cm="1">
        <f t="array" ref="AG19">IF($AD19=0,0,TREND($K$12:$K$13,$H$12:$H$13,$AA19)*((($AD19)*TREND($K$23:$K$24,$H$23:$H$24,$AA19)))+(((1-$AD19))*TREND($K$18:$K$19,$H$18:$H$19,$AA19)))</f>
        <v>0</v>
      </c>
      <c r="AH19" s="45" cm="1">
        <f t="array" ref="AH19">IF($AD19=0,0,TREND($K$12:$K$13,$H$12:$H$13,$AA19)*((($AD19)*TREND($L$23:$L$24,$H$23:$H$24,$AA19))+(((1-$AD19))*TREND($L$18:$L$19,$H$18:$H$19,$AA19))))</f>
        <v>0</v>
      </c>
      <c r="AI19" s="45" cm="1">
        <f t="array" ref="AI19">IF($AD19=0,0,TREND($K$12:$K$13,$H$12:$H$13,$AA19)*((($AD19)*TREND($M$23:$M$24,$H$23:$H$24,$AA19))+(((1-$AD19))*TREND($M$18:$M$19,$H$18:$H$19,$AA19))))</f>
        <v>0</v>
      </c>
      <c r="AJ19" s="59">
        <f>IF(AA19&lt;=Assumptions!$D$15,SUMPRODUCT($I$7:$M$7,AE19:AI19),0)</f>
        <v>0</v>
      </c>
    </row>
    <row r="20" spans="1:36" x14ac:dyDescent="0.25">
      <c r="G20" s="69"/>
      <c r="O20" s="496"/>
      <c r="P20" s="44">
        <f t="shared" si="3"/>
        <v>2032</v>
      </c>
      <c r="Q20" s="21" t="str">
        <f>IF(P20=Assumptions!$D$45,"Construction First Year",IF(P20=Assumptions!$D$45+Assumptions!$D$46-1,"Construction Last Year","No"))</f>
        <v>No</v>
      </c>
      <c r="R20" s="45" cm="1">
        <f t="array" ref="R20">IF(OR(Q20="Construction First Year",Q20="Construction Last Year"),TREND($I$12:$I$13,$H$12:$H$13,P20)*TREND($I$18:$I$19,$H$18:$H$19,P20),0)</f>
        <v>0</v>
      </c>
      <c r="S20" s="45" cm="1">
        <f t="array" ref="S20">IF(OR(Q20="Construction First Year",Q20="Construction Last Year"),TREND($I$12:$I$13,$H$12:$H$13,P20)*TREND($J$18:$J$19,$H$18:$H$19,P20),0)</f>
        <v>0</v>
      </c>
      <c r="T20" s="45" cm="1">
        <f t="array" ref="T20">IF(OR(Q20="Construction First Year",Q20="Construction Last Year"),TREND($I$12:$I$13,$H$12:$H$13,P20)*TREND($K$18:$K$19,$H$18:$H$19,P20),0)</f>
        <v>0</v>
      </c>
      <c r="U20" s="45" cm="1">
        <f t="array" ref="U20">IF(OR(Q20="Construction First Year",Q20="Construction Last Year"),TREND($I$12:$I$13,$H$12:$H$13,P20)*TREND($L$18:$L$19,$H$18:$H$19,P20),0)</f>
        <v>0</v>
      </c>
      <c r="V20" s="45" cm="1">
        <f t="array" ref="V20">IF(OR(Q20="Construction First Year",Q20="Construction Last Year"),TREND($I$12:$I$13,$H$12:$H$13,P20)*TREND($M$18:$M$19,$H$18:$H$19,P20),0)</f>
        <v>0</v>
      </c>
      <c r="W20" s="59">
        <f>IF(P20&lt;=Assumptions!$D$15,SUMPRODUCT($I$7:$M$7,R20:V20),0)</f>
        <v>0</v>
      </c>
      <c r="Z20" s="496"/>
      <c r="AA20" s="44">
        <f t="shared" si="4"/>
        <v>2032</v>
      </c>
      <c r="AB20" s="21" t="str">
        <f>IF(AA20=Assumptions!$D$45,"Construction First Year",IF(AA20=Assumptions!$D$45+Assumptions!$D$46-1,"Construction Last Year","No"))</f>
        <v>No</v>
      </c>
      <c r="AC20" s="21">
        <f>IF(AB20="Construction First Year",Assumptions!$D$47/12,IF(AB20="Construction Last Year",Assumptions!$D$48/12,0))</f>
        <v>0</v>
      </c>
      <c r="AD20" s="390">
        <f>AC20*VOC_Construction!$O$27</f>
        <v>0</v>
      </c>
      <c r="AE20" s="45" cm="1">
        <f t="array" ref="AE20">IF($AD20=0,0,TREND($K$12:$K$13,$H$12:$H$13,$AA20)*((($AD20)*TREND($I$23:$I$24,$H$23:$H$24,$AA20))+(((1-$AD20))*TREND($I$18:$I$19,$H$18:$H$19,$AA20))))</f>
        <v>0</v>
      </c>
      <c r="AF20" s="45" cm="1">
        <f t="array" ref="AF20">IF($AD20=0,0,TREND($K$12:$K$13,$H$12:$H$13,$AA20)*((($AD20)*TREND($J$23:$J$24,$H$23:$H$24,$AA20))+(((1-$AD20))*TREND($J$18:$J$19,$H$18:$H$19,$AA20))))</f>
        <v>0</v>
      </c>
      <c r="AG20" s="45" cm="1">
        <f t="array" ref="AG20">IF($AD20=0,0,TREND($K$12:$K$13,$H$12:$H$13,$AA20)*((($AD20)*TREND($K$23:$K$24,$H$23:$H$24,$AA20)))+(((1-$AD20))*TREND($K$18:$K$19,$H$18:$H$19,$AA20)))</f>
        <v>0</v>
      </c>
      <c r="AH20" s="45" cm="1">
        <f t="array" ref="AH20">IF($AD20=0,0,TREND($K$12:$K$13,$H$12:$H$13,$AA20)*((($AD20)*TREND($L$23:$L$24,$H$23:$H$24,$AA20))+(((1-$AD20))*TREND($L$18:$L$19,$H$18:$H$19,$AA20))))</f>
        <v>0</v>
      </c>
      <c r="AI20" s="45" cm="1">
        <f t="array" ref="AI20">IF($AD20=0,0,TREND($K$12:$K$13,$H$12:$H$13,$AA20)*((($AD20)*TREND($M$23:$M$24,$H$23:$H$24,$AA20))+(((1-$AD20))*TREND($M$18:$M$19,$H$18:$H$19,$AA20))))</f>
        <v>0</v>
      </c>
      <c r="AJ20" s="59">
        <f>IF(AA20&lt;=Assumptions!$D$15,SUMPRODUCT($I$7:$M$7,AE20:AI20),0)</f>
        <v>0</v>
      </c>
    </row>
    <row r="21" spans="1:36" x14ac:dyDescent="0.25">
      <c r="A21" s="2" t="s">
        <v>16</v>
      </c>
      <c r="B21" s="441" t="s">
        <v>248</v>
      </c>
      <c r="C21" s="441"/>
      <c r="D21" s="441"/>
      <c r="E21" s="441"/>
      <c r="F21" s="441"/>
      <c r="G21" s="24"/>
      <c r="H21" s="1" t="s">
        <v>929</v>
      </c>
      <c r="N21" s="1"/>
      <c r="O21" s="496"/>
      <c r="P21" s="44">
        <f t="shared" si="3"/>
        <v>2033</v>
      </c>
      <c r="Q21" s="21" t="str">
        <f>IF(P21=Assumptions!$D$45,"Construction First Year",IF(P21=Assumptions!$D$45+Assumptions!$D$46-1,"Construction Last Year","No"))</f>
        <v>No</v>
      </c>
      <c r="R21" s="45" cm="1">
        <f t="array" ref="R21">IF(OR(Q21="Construction First Year",Q21="Construction Last Year"),TREND($I$12:$I$13,$H$12:$H$13,P21)*TREND($I$18:$I$19,$H$18:$H$19,P21),0)</f>
        <v>0</v>
      </c>
      <c r="S21" s="45" cm="1">
        <f t="array" ref="S21">IF(OR(Q21="Construction First Year",Q21="Construction Last Year"),TREND($I$12:$I$13,$H$12:$H$13,P21)*TREND($J$18:$J$19,$H$18:$H$19,P21),0)</f>
        <v>0</v>
      </c>
      <c r="T21" s="45" cm="1">
        <f t="array" ref="T21">IF(OR(Q21="Construction First Year",Q21="Construction Last Year"),TREND($I$12:$I$13,$H$12:$H$13,P21)*TREND($K$18:$K$19,$H$18:$H$19,P21),0)</f>
        <v>0</v>
      </c>
      <c r="U21" s="45" cm="1">
        <f t="array" ref="U21">IF(OR(Q21="Construction First Year",Q21="Construction Last Year"),TREND($I$12:$I$13,$H$12:$H$13,P21)*TREND($L$18:$L$19,$H$18:$H$19,P21),0)</f>
        <v>0</v>
      </c>
      <c r="V21" s="45" cm="1">
        <f t="array" ref="V21">IF(OR(Q21="Construction First Year",Q21="Construction Last Year"),TREND($I$12:$I$13,$H$12:$H$13,P21)*TREND($M$18:$M$19,$H$18:$H$19,P21),0)</f>
        <v>0</v>
      </c>
      <c r="W21" s="59">
        <f>IF(P21&lt;=Assumptions!$D$15,SUMPRODUCT($I$7:$M$7,R21:V21),0)</f>
        <v>0</v>
      </c>
      <c r="Z21" s="496"/>
      <c r="AA21" s="44">
        <f t="shared" si="4"/>
        <v>2033</v>
      </c>
      <c r="AB21" s="21" t="str">
        <f>IF(AA21=Assumptions!$D$45,"Construction First Year",IF(AA21=Assumptions!$D$45+Assumptions!$D$46-1,"Construction Last Year","No"))</f>
        <v>No</v>
      </c>
      <c r="AC21" s="21">
        <f>IF(AB21="Construction First Year",Assumptions!$D$47/12,IF(AB21="Construction Last Year",Assumptions!$D$48/12,0))</f>
        <v>0</v>
      </c>
      <c r="AD21" s="390">
        <f>AC21*VOC_Construction!$O$27</f>
        <v>0</v>
      </c>
      <c r="AE21" s="45" cm="1">
        <f t="array" ref="AE21">IF($AD21=0,0,TREND($K$12:$K$13,$H$12:$H$13,$AA21)*((($AD21)*TREND($I$23:$I$24,$H$23:$H$24,$AA21))+(((1-$AD21))*TREND($I$18:$I$19,$H$18:$H$19,$AA21))))</f>
        <v>0</v>
      </c>
      <c r="AF21" s="45" cm="1">
        <f t="array" ref="AF21">IF($AD21=0,0,TREND($K$12:$K$13,$H$12:$H$13,$AA21)*((($AD21)*TREND($J$23:$J$24,$H$23:$H$24,$AA21))+(((1-$AD21))*TREND($J$18:$J$19,$H$18:$H$19,$AA21))))</f>
        <v>0</v>
      </c>
      <c r="AG21" s="45" cm="1">
        <f t="array" ref="AG21">IF($AD21=0,0,TREND($K$12:$K$13,$H$12:$H$13,$AA21)*((($AD21)*TREND($K$23:$K$24,$H$23:$H$24,$AA21)))+(((1-$AD21))*TREND($K$18:$K$19,$H$18:$H$19,$AA21)))</f>
        <v>0</v>
      </c>
      <c r="AH21" s="45" cm="1">
        <f t="array" ref="AH21">IF($AD21=0,0,TREND($K$12:$K$13,$H$12:$H$13,$AA21)*((($AD21)*TREND($L$23:$L$24,$H$23:$H$24,$AA21))+(((1-$AD21))*TREND($L$18:$L$19,$H$18:$H$19,$AA21))))</f>
        <v>0</v>
      </c>
      <c r="AI21" s="45" cm="1">
        <f t="array" ref="AI21">IF($AD21=0,0,TREND($K$12:$K$13,$H$12:$H$13,$AA21)*((($AD21)*TREND($M$23:$M$24,$H$23:$H$24,$AA21))+(((1-$AD21))*TREND($M$18:$M$19,$H$18:$H$19,$AA21))))</f>
        <v>0</v>
      </c>
      <c r="AJ21" s="59">
        <f>IF(AA21&lt;=Assumptions!$D$15,SUMPRODUCT($I$7:$M$7,AE21:AI21),0)</f>
        <v>0</v>
      </c>
    </row>
    <row r="22" spans="1:36" x14ac:dyDescent="0.25">
      <c r="B22" s="441"/>
      <c r="C22" s="441"/>
      <c r="D22" s="441"/>
      <c r="E22" s="441"/>
      <c r="F22" s="441"/>
      <c r="G22" s="24"/>
      <c r="H22" s="21" t="s">
        <v>22</v>
      </c>
      <c r="I22" s="21" t="s">
        <v>234</v>
      </c>
      <c r="J22" s="21" t="s">
        <v>235</v>
      </c>
      <c r="K22" s="21" t="s">
        <v>236</v>
      </c>
      <c r="L22" s="21" t="s">
        <v>237</v>
      </c>
      <c r="M22" s="21" t="s">
        <v>220</v>
      </c>
      <c r="O22" s="496"/>
      <c r="P22" s="44">
        <f t="shared" si="3"/>
        <v>2034</v>
      </c>
      <c r="Q22" s="21" t="str">
        <f>IF(P22=Assumptions!$D$45,"Construction First Year",IF(P22=Assumptions!$D$45+Assumptions!$D$46-1,"Construction Last Year","No"))</f>
        <v>No</v>
      </c>
      <c r="R22" s="45" cm="1">
        <f t="array" ref="R22">IF(OR(Q22="Construction First Year",Q22="Construction Last Year"),TREND($I$12:$I$13,$H$12:$H$13,P22)*TREND($I$18:$I$19,$H$18:$H$19,P22),0)</f>
        <v>0</v>
      </c>
      <c r="S22" s="45" cm="1">
        <f t="array" ref="S22">IF(OR(Q22="Construction First Year",Q22="Construction Last Year"),TREND($I$12:$I$13,$H$12:$H$13,P22)*TREND($J$18:$J$19,$H$18:$H$19,P22),0)</f>
        <v>0</v>
      </c>
      <c r="T22" s="45" cm="1">
        <f t="array" ref="T22">IF(OR(Q22="Construction First Year",Q22="Construction Last Year"),TREND($I$12:$I$13,$H$12:$H$13,P22)*TREND($K$18:$K$19,$H$18:$H$19,P22),0)</f>
        <v>0</v>
      </c>
      <c r="U22" s="45" cm="1">
        <f t="array" ref="U22">IF(OR(Q22="Construction First Year",Q22="Construction Last Year"),TREND($I$12:$I$13,$H$12:$H$13,P22)*TREND($L$18:$L$19,$H$18:$H$19,P22),0)</f>
        <v>0</v>
      </c>
      <c r="V22" s="45" cm="1">
        <f t="array" ref="V22">IF(OR(Q22="Construction First Year",Q22="Construction Last Year"),TREND($I$12:$I$13,$H$12:$H$13,P22)*TREND($M$18:$M$19,$H$18:$H$19,P22),0)</f>
        <v>0</v>
      </c>
      <c r="W22" s="59">
        <f>IF(P22&lt;=Assumptions!$D$15,SUMPRODUCT($I$7:$M$7,R22:V22),0)</f>
        <v>0</v>
      </c>
      <c r="Z22" s="496"/>
      <c r="AA22" s="44">
        <f t="shared" si="4"/>
        <v>2034</v>
      </c>
      <c r="AB22" s="21" t="str">
        <f>IF(AA22=Assumptions!$D$45,"Construction First Year",IF(AA22=Assumptions!$D$45+Assumptions!$D$46-1,"Construction Last Year","No"))</f>
        <v>No</v>
      </c>
      <c r="AC22" s="21">
        <f>IF(AB22="Construction First Year",Assumptions!$D$47/12,IF(AB22="Construction Last Year",Assumptions!$D$48/12,0))</f>
        <v>0</v>
      </c>
      <c r="AD22" s="390">
        <f>AC22*VOC_Construction!$O$27</f>
        <v>0</v>
      </c>
      <c r="AE22" s="45" cm="1">
        <f t="array" ref="AE22">IF($AD22=0,0,TREND($K$12:$K$13,$H$12:$H$13,$AA22)*((($AD22)*TREND($I$23:$I$24,$H$23:$H$24,$AA22))+(((1-$AD22))*TREND($I$18:$I$19,$H$18:$H$19,$AA22))))</f>
        <v>0</v>
      </c>
      <c r="AF22" s="45" cm="1">
        <f t="array" ref="AF22">IF($AD22=0,0,TREND($K$12:$K$13,$H$12:$H$13,$AA22)*((($AD22)*TREND($J$23:$J$24,$H$23:$H$24,$AA22))+(((1-$AD22))*TREND($J$18:$J$19,$H$18:$H$19,$AA22))))</f>
        <v>0</v>
      </c>
      <c r="AG22" s="45" cm="1">
        <f t="array" ref="AG22">IF($AD22=0,0,TREND($K$12:$K$13,$H$12:$H$13,$AA22)*((($AD22)*TREND($K$23:$K$24,$H$23:$H$24,$AA22)))+(((1-$AD22))*TREND($K$18:$K$19,$H$18:$H$19,$AA22)))</f>
        <v>0</v>
      </c>
      <c r="AH22" s="45" cm="1">
        <f t="array" ref="AH22">IF($AD22=0,0,TREND($K$12:$K$13,$H$12:$H$13,$AA22)*((($AD22)*TREND($L$23:$L$24,$H$23:$H$24,$AA22))+(((1-$AD22))*TREND($L$18:$L$19,$H$18:$H$19,$AA22))))</f>
        <v>0</v>
      </c>
      <c r="AI22" s="45" cm="1">
        <f t="array" ref="AI22">IF($AD22=0,0,TREND($K$12:$K$13,$H$12:$H$13,$AA22)*((($AD22)*TREND($M$23:$M$24,$H$23:$H$24,$AA22))+(((1-$AD22))*TREND($M$18:$M$19,$H$18:$H$19,$AA22))))</f>
        <v>0</v>
      </c>
      <c r="AJ22" s="59">
        <f>IF(AA22&lt;=Assumptions!$D$15,SUMPRODUCT($I$7:$M$7,AE22:AI22),0)</f>
        <v>0</v>
      </c>
    </row>
    <row r="23" spans="1:36" x14ac:dyDescent="0.25">
      <c r="B23" s="441"/>
      <c r="C23" s="441"/>
      <c r="D23" s="441"/>
      <c r="E23" s="441"/>
      <c r="F23" s="441"/>
      <c r="G23" s="24"/>
      <c r="H23" s="57">
        <f>'Traffic Volume and Route Data'!$C$11</f>
        <v>2019</v>
      </c>
      <c r="I23" s="248">
        <f>'Network Crash Calcs'!K$15</f>
        <v>0</v>
      </c>
      <c r="J23" s="248">
        <f>'Network Crash Calcs'!L$15</f>
        <v>2.2471910112359552E-5</v>
      </c>
      <c r="K23" s="248">
        <f>'Network Crash Calcs'!M$15</f>
        <v>1.1235955056179776E-4</v>
      </c>
      <c r="L23" s="248">
        <f>'Network Crash Calcs'!N$15</f>
        <v>7.4323761964211399E-4</v>
      </c>
      <c r="M23" s="248">
        <f>'Network Crash Calcs'!O$15</f>
        <v>2.1595732606968562E-3</v>
      </c>
      <c r="O23" s="496"/>
      <c r="P23" s="44">
        <f t="shared" si="3"/>
        <v>2035</v>
      </c>
      <c r="Q23" s="21" t="str">
        <f>IF(P23=Assumptions!$D$45,"Construction First Year",IF(P23=Assumptions!$D$45+Assumptions!$D$46-1,"Construction Last Year","No"))</f>
        <v>No</v>
      </c>
      <c r="R23" s="45" cm="1">
        <f t="array" ref="R23">IF(OR(Q23="Construction First Year",Q23="Construction Last Year"),TREND($I$12:$I$13,$H$12:$H$13,P23)*TREND($I$18:$I$19,$H$18:$H$19,P23),0)</f>
        <v>0</v>
      </c>
      <c r="S23" s="45" cm="1">
        <f t="array" ref="S23">IF(OR(Q23="Construction First Year",Q23="Construction Last Year"),TREND($I$12:$I$13,$H$12:$H$13,P23)*TREND($J$18:$J$19,$H$18:$H$19,P23),0)</f>
        <v>0</v>
      </c>
      <c r="T23" s="45" cm="1">
        <f t="array" ref="T23">IF(OR(Q23="Construction First Year",Q23="Construction Last Year"),TREND($I$12:$I$13,$H$12:$H$13,P23)*TREND($K$18:$K$19,$H$18:$H$19,P23),0)</f>
        <v>0</v>
      </c>
      <c r="U23" s="45" cm="1">
        <f t="array" ref="U23">IF(OR(Q23="Construction First Year",Q23="Construction Last Year"),TREND($I$12:$I$13,$H$12:$H$13,P23)*TREND($L$18:$L$19,$H$18:$H$19,P23),0)</f>
        <v>0</v>
      </c>
      <c r="V23" s="45" cm="1">
        <f t="array" ref="V23">IF(OR(Q23="Construction First Year",Q23="Construction Last Year"),TREND($I$12:$I$13,$H$12:$H$13,P23)*TREND($M$18:$M$19,$H$18:$H$19,P23),0)</f>
        <v>0</v>
      </c>
      <c r="W23" s="59">
        <f>IF(P23&lt;=Assumptions!$D$15,SUMPRODUCT($I$7:$M$7,R23:V23),0)</f>
        <v>0</v>
      </c>
      <c r="Z23" s="496"/>
      <c r="AA23" s="44">
        <f t="shared" si="4"/>
        <v>2035</v>
      </c>
      <c r="AB23" s="21" t="str">
        <f>IF(AA23=Assumptions!$D$45,"Construction First Year",IF(AA23=Assumptions!$D$45+Assumptions!$D$46-1,"Construction Last Year","No"))</f>
        <v>No</v>
      </c>
      <c r="AC23" s="21">
        <f>IF(AB23="Construction First Year",Assumptions!$D$47/12,IF(AB23="Construction Last Year",Assumptions!$D$48/12,0))</f>
        <v>0</v>
      </c>
      <c r="AD23" s="390">
        <f>AC23*VOC_Construction!$O$27</f>
        <v>0</v>
      </c>
      <c r="AE23" s="45" cm="1">
        <f t="array" ref="AE23">IF($AD23=0,0,TREND($K$12:$K$13,$H$12:$H$13,$AA23)*((($AD23)*TREND($I$23:$I$24,$H$23:$H$24,$AA23))+(((1-$AD23))*TREND($I$18:$I$19,$H$18:$H$19,$AA23))))</f>
        <v>0</v>
      </c>
      <c r="AF23" s="45" cm="1">
        <f t="array" ref="AF23">IF($AD23=0,0,TREND($K$12:$K$13,$H$12:$H$13,$AA23)*((($AD23)*TREND($J$23:$J$24,$H$23:$H$24,$AA23))+(((1-$AD23))*TREND($J$18:$J$19,$H$18:$H$19,$AA23))))</f>
        <v>0</v>
      </c>
      <c r="AG23" s="45" cm="1">
        <f t="array" ref="AG23">IF($AD23=0,0,TREND($K$12:$K$13,$H$12:$H$13,$AA23)*((($AD23)*TREND($K$23:$K$24,$H$23:$H$24,$AA23)))+(((1-$AD23))*TREND($K$18:$K$19,$H$18:$H$19,$AA23)))</f>
        <v>0</v>
      </c>
      <c r="AH23" s="45" cm="1">
        <f t="array" ref="AH23">IF($AD23=0,0,TREND($K$12:$K$13,$H$12:$H$13,$AA23)*((($AD23)*TREND($L$23:$L$24,$H$23:$H$24,$AA23))+(((1-$AD23))*TREND($L$18:$L$19,$H$18:$H$19,$AA23))))</f>
        <v>0</v>
      </c>
      <c r="AI23" s="45" cm="1">
        <f t="array" ref="AI23">IF($AD23=0,0,TREND($K$12:$K$13,$H$12:$H$13,$AA23)*((($AD23)*TREND($M$23:$M$24,$H$23:$H$24,$AA23))+(((1-$AD23))*TREND($M$18:$M$19,$H$18:$H$19,$AA23))))</f>
        <v>0</v>
      </c>
      <c r="AJ23" s="59">
        <f>IF(AA23&lt;=Assumptions!$D$15,SUMPRODUCT($I$7:$M$7,AE23:AI23),0)</f>
        <v>0</v>
      </c>
    </row>
    <row r="24" spans="1:36" x14ac:dyDescent="0.25">
      <c r="G24" s="24"/>
      <c r="H24" s="57">
        <f>'Traffic Volume and Route Data'!$C$12</f>
        <v>2040</v>
      </c>
      <c r="I24" s="248">
        <f>'Network Crash Calcs'!K$15</f>
        <v>0</v>
      </c>
      <c r="J24" s="248">
        <f>'Network Crash Calcs'!L$15</f>
        <v>2.2471910112359552E-5</v>
      </c>
      <c r="K24" s="248">
        <f>'Network Crash Calcs'!M$15</f>
        <v>1.1235955056179776E-4</v>
      </c>
      <c r="L24" s="248">
        <f>'Network Crash Calcs'!N$15</f>
        <v>7.4323761964211399E-4</v>
      </c>
      <c r="M24" s="248">
        <f>'Network Crash Calcs'!O$15</f>
        <v>2.1595732606968562E-3</v>
      </c>
      <c r="O24" s="496"/>
      <c r="P24" s="44">
        <f t="shared" si="3"/>
        <v>2036</v>
      </c>
      <c r="Q24" s="21" t="str">
        <f>IF(P24=Assumptions!$D$45,"Construction First Year",IF(P24=Assumptions!$D$45+Assumptions!$D$46-1,"Construction Last Year","No"))</f>
        <v>No</v>
      </c>
      <c r="R24" s="45" cm="1">
        <f t="array" ref="R24">IF(OR(Q24="Construction First Year",Q24="Construction Last Year"),TREND($I$12:$I$13,$H$12:$H$13,P24)*TREND($I$18:$I$19,$H$18:$H$19,P24),0)</f>
        <v>0</v>
      </c>
      <c r="S24" s="45" cm="1">
        <f t="array" ref="S24">IF(OR(Q24="Construction First Year",Q24="Construction Last Year"),TREND($I$12:$I$13,$H$12:$H$13,P24)*TREND($J$18:$J$19,$H$18:$H$19,P24),0)</f>
        <v>0</v>
      </c>
      <c r="T24" s="45" cm="1">
        <f t="array" ref="T24">IF(OR(Q24="Construction First Year",Q24="Construction Last Year"),TREND($I$12:$I$13,$H$12:$H$13,P24)*TREND($K$18:$K$19,$H$18:$H$19,P24),0)</f>
        <v>0</v>
      </c>
      <c r="U24" s="45" cm="1">
        <f t="array" ref="U24">IF(OR(Q24="Construction First Year",Q24="Construction Last Year"),TREND($I$12:$I$13,$H$12:$H$13,P24)*TREND($L$18:$L$19,$H$18:$H$19,P24),0)</f>
        <v>0</v>
      </c>
      <c r="V24" s="45" cm="1">
        <f t="array" ref="V24">IF(OR(Q24="Construction First Year",Q24="Construction Last Year"),TREND($I$12:$I$13,$H$12:$H$13,P24)*TREND($M$18:$M$19,$H$18:$H$19,P24),0)</f>
        <v>0</v>
      </c>
      <c r="W24" s="59">
        <f>IF(P24&lt;=Assumptions!$D$15,SUMPRODUCT($I$7:$M$7,R24:V24),0)</f>
        <v>0</v>
      </c>
      <c r="Z24" s="496"/>
      <c r="AA24" s="44">
        <f t="shared" si="4"/>
        <v>2036</v>
      </c>
      <c r="AB24" s="21" t="str">
        <f>IF(AA24=Assumptions!$D$45,"Construction First Year",IF(AA24=Assumptions!$D$45+Assumptions!$D$46-1,"Construction Last Year","No"))</f>
        <v>No</v>
      </c>
      <c r="AC24" s="21">
        <f>IF(AB24="Construction First Year",Assumptions!$D$47/12,IF(AB24="Construction Last Year",Assumptions!$D$48/12,0))</f>
        <v>0</v>
      </c>
      <c r="AD24" s="390">
        <f>AC24*VOC_Construction!$O$27</f>
        <v>0</v>
      </c>
      <c r="AE24" s="45" cm="1">
        <f t="array" ref="AE24">IF($AD24=0,0,TREND($K$12:$K$13,$H$12:$H$13,$AA24)*((($AD24)*TREND($I$23:$I$24,$H$23:$H$24,$AA24))+(((1-$AD24))*TREND($I$18:$I$19,$H$18:$H$19,$AA24))))</f>
        <v>0</v>
      </c>
      <c r="AF24" s="45" cm="1">
        <f t="array" ref="AF24">IF($AD24=0,0,TREND($K$12:$K$13,$H$12:$H$13,$AA24)*((($AD24)*TREND($J$23:$J$24,$H$23:$H$24,$AA24))+(((1-$AD24))*TREND($J$18:$J$19,$H$18:$H$19,$AA24))))</f>
        <v>0</v>
      </c>
      <c r="AG24" s="45" cm="1">
        <f t="array" ref="AG24">IF($AD24=0,0,TREND($K$12:$K$13,$H$12:$H$13,$AA24)*((($AD24)*TREND($K$23:$K$24,$H$23:$H$24,$AA24)))+(((1-$AD24))*TREND($K$18:$K$19,$H$18:$H$19,$AA24)))</f>
        <v>0</v>
      </c>
      <c r="AH24" s="45" cm="1">
        <f t="array" ref="AH24">IF($AD24=0,0,TREND($K$12:$K$13,$H$12:$H$13,$AA24)*((($AD24)*TREND($L$23:$L$24,$H$23:$H$24,$AA24))+(((1-$AD24))*TREND($L$18:$L$19,$H$18:$H$19,$AA24))))</f>
        <v>0</v>
      </c>
      <c r="AI24" s="45" cm="1">
        <f t="array" ref="AI24">IF($AD24=0,0,TREND($K$12:$K$13,$H$12:$H$13,$AA24)*((($AD24)*TREND($M$23:$M$24,$H$23:$H$24,$AA24))+(((1-$AD24))*TREND($M$18:$M$19,$H$18:$H$19,$AA24))))</f>
        <v>0</v>
      </c>
      <c r="AJ24" s="59">
        <f>IF(AA24&lt;=Assumptions!$D$15,SUMPRODUCT($I$7:$M$7,AE24:AI24),0)</f>
        <v>0</v>
      </c>
    </row>
    <row r="25" spans="1:36" ht="15" customHeight="1" x14ac:dyDescent="0.25">
      <c r="G25" s="69"/>
      <c r="O25" s="496"/>
      <c r="P25" s="44">
        <f t="shared" si="3"/>
        <v>2037</v>
      </c>
      <c r="Q25" s="21" t="str">
        <f>IF(P25=Assumptions!$D$45,"Construction First Year",IF(P25=Assumptions!$D$45+Assumptions!$D$46-1,"Construction Last Year","No"))</f>
        <v>No</v>
      </c>
      <c r="R25" s="45" cm="1">
        <f t="array" ref="R25">IF(OR(Q25="Construction First Year",Q25="Construction Last Year"),TREND($I$12:$I$13,$H$12:$H$13,P25)*TREND($I$18:$I$19,$H$18:$H$19,P25),0)</f>
        <v>0</v>
      </c>
      <c r="S25" s="45" cm="1">
        <f t="array" ref="S25">IF(OR(Q25="Construction First Year",Q25="Construction Last Year"),TREND($I$12:$I$13,$H$12:$H$13,P25)*TREND($J$18:$J$19,$H$18:$H$19,P25),0)</f>
        <v>0</v>
      </c>
      <c r="T25" s="45" cm="1">
        <f t="array" ref="T25">IF(OR(Q25="Construction First Year",Q25="Construction Last Year"),TREND($I$12:$I$13,$H$12:$H$13,P25)*TREND($K$18:$K$19,$H$18:$H$19,P25),0)</f>
        <v>0</v>
      </c>
      <c r="U25" s="45" cm="1">
        <f t="array" ref="U25">IF(OR(Q25="Construction First Year",Q25="Construction Last Year"),TREND($I$12:$I$13,$H$12:$H$13,P25)*TREND($L$18:$L$19,$H$18:$H$19,P25),0)</f>
        <v>0</v>
      </c>
      <c r="V25" s="45" cm="1">
        <f t="array" ref="V25">IF(OR(Q25="Construction First Year",Q25="Construction Last Year"),TREND($I$12:$I$13,$H$12:$H$13,P25)*TREND($M$18:$M$19,$H$18:$H$19,P25),0)</f>
        <v>0</v>
      </c>
      <c r="W25" s="59">
        <f>IF(P25&lt;=Assumptions!$D$15,SUMPRODUCT($I$7:$M$7,R25:V25),0)</f>
        <v>0</v>
      </c>
      <c r="Z25" s="496"/>
      <c r="AA25" s="44">
        <f t="shared" si="4"/>
        <v>2037</v>
      </c>
      <c r="AB25" s="21" t="str">
        <f>IF(AA25=Assumptions!$D$45,"Construction First Year",IF(AA25=Assumptions!$D$45+Assumptions!$D$46-1,"Construction Last Year","No"))</f>
        <v>No</v>
      </c>
      <c r="AC25" s="21">
        <f>IF(AB25="Construction First Year",Assumptions!$D$47/12,IF(AB25="Construction Last Year",Assumptions!$D$48/12,0))</f>
        <v>0</v>
      </c>
      <c r="AD25" s="390">
        <f>AC25*VOC_Construction!$O$27</f>
        <v>0</v>
      </c>
      <c r="AE25" s="45" cm="1">
        <f t="array" ref="AE25">IF($AD25=0,0,TREND($K$12:$K$13,$H$12:$H$13,$AA25)*((($AD25)*TREND($I$23:$I$24,$H$23:$H$24,$AA25))+(((1-$AD25))*TREND($I$18:$I$19,$H$18:$H$19,$AA25))))</f>
        <v>0</v>
      </c>
      <c r="AF25" s="45" cm="1">
        <f t="array" ref="AF25">IF($AD25=0,0,TREND($K$12:$K$13,$H$12:$H$13,$AA25)*((($AD25)*TREND($J$23:$J$24,$H$23:$H$24,$AA25))+(((1-$AD25))*TREND($J$18:$J$19,$H$18:$H$19,$AA25))))</f>
        <v>0</v>
      </c>
      <c r="AG25" s="45" cm="1">
        <f t="array" ref="AG25">IF($AD25=0,0,TREND($K$12:$K$13,$H$12:$H$13,$AA25)*((($AD25)*TREND($K$23:$K$24,$H$23:$H$24,$AA25)))+(((1-$AD25))*TREND($K$18:$K$19,$H$18:$H$19,$AA25)))</f>
        <v>0</v>
      </c>
      <c r="AH25" s="45" cm="1">
        <f t="array" ref="AH25">IF($AD25=0,0,TREND($K$12:$K$13,$H$12:$H$13,$AA25)*((($AD25)*TREND($L$23:$L$24,$H$23:$H$24,$AA25))+(((1-$AD25))*TREND($L$18:$L$19,$H$18:$H$19,$AA25))))</f>
        <v>0</v>
      </c>
      <c r="AI25" s="45" cm="1">
        <f t="array" ref="AI25">IF($AD25=0,0,TREND($K$12:$K$13,$H$12:$H$13,$AA25)*((($AD25)*TREND($M$23:$M$24,$H$23:$H$24,$AA25))+(((1-$AD25))*TREND($M$18:$M$19,$H$18:$H$19,$AA25))))</f>
        <v>0</v>
      </c>
      <c r="AJ25" s="59">
        <f>IF(AA25&lt;=Assumptions!$D$15,SUMPRODUCT($I$7:$M$7,AE25:AI25),0)</f>
        <v>0</v>
      </c>
    </row>
    <row r="26" spans="1:36" x14ac:dyDescent="0.25">
      <c r="G26" s="69"/>
      <c r="H26" s="1" t="s">
        <v>262</v>
      </c>
      <c r="O26" s="496"/>
      <c r="P26" s="44">
        <f t="shared" si="3"/>
        <v>2038</v>
      </c>
      <c r="Q26" s="21" t="str">
        <f>IF(P26=Assumptions!$D$45,"Construction First Year",IF(P26=Assumptions!$D$45+Assumptions!$D$46-1,"Construction Last Year","No"))</f>
        <v>No</v>
      </c>
      <c r="R26" s="45" cm="1">
        <f t="array" ref="R26">IF(OR(Q26="Construction First Year",Q26="Construction Last Year"),TREND($I$12:$I$13,$H$12:$H$13,P26)*TREND($I$18:$I$19,$H$18:$H$19,P26),0)</f>
        <v>0</v>
      </c>
      <c r="S26" s="45" cm="1">
        <f t="array" ref="S26">IF(OR(Q26="Construction First Year",Q26="Construction Last Year"),TREND($I$12:$I$13,$H$12:$H$13,P26)*TREND($J$18:$J$19,$H$18:$H$19,P26),0)</f>
        <v>0</v>
      </c>
      <c r="T26" s="45" cm="1">
        <f t="array" ref="T26">IF(OR(Q26="Construction First Year",Q26="Construction Last Year"),TREND($I$12:$I$13,$H$12:$H$13,P26)*TREND($K$18:$K$19,$H$18:$H$19,P26),0)</f>
        <v>0</v>
      </c>
      <c r="U26" s="45" cm="1">
        <f t="array" ref="U26">IF(OR(Q26="Construction First Year",Q26="Construction Last Year"),TREND($I$12:$I$13,$H$12:$H$13,P26)*TREND($L$18:$L$19,$H$18:$H$19,P26),0)</f>
        <v>0</v>
      </c>
      <c r="V26" s="45" cm="1">
        <f t="array" ref="V26">IF(OR(Q26="Construction First Year",Q26="Construction Last Year"),TREND($I$12:$I$13,$H$12:$H$13,P26)*TREND($M$18:$M$19,$H$18:$H$19,P26),0)</f>
        <v>0</v>
      </c>
      <c r="W26" s="59">
        <f>IF(P26&lt;=Assumptions!$D$15,SUMPRODUCT($I$7:$M$7,R26:V26),0)</f>
        <v>0</v>
      </c>
      <c r="Z26" s="496"/>
      <c r="AA26" s="44">
        <f t="shared" si="4"/>
        <v>2038</v>
      </c>
      <c r="AB26" s="21" t="str">
        <f>IF(AA26=Assumptions!$D$45,"Construction First Year",IF(AA26=Assumptions!$D$45+Assumptions!$D$46-1,"Construction Last Year","No"))</f>
        <v>No</v>
      </c>
      <c r="AC26" s="21">
        <f>IF(AB26="Construction First Year",Assumptions!$D$47/12,IF(AB26="Construction Last Year",Assumptions!$D$48/12,0))</f>
        <v>0</v>
      </c>
      <c r="AD26" s="390">
        <f>AC26*VOC_Construction!$O$27</f>
        <v>0</v>
      </c>
      <c r="AE26" s="45" cm="1">
        <f t="array" ref="AE26">IF($AD26=0,0,TREND($K$12:$K$13,$H$12:$H$13,$AA26)*((($AD26)*TREND($I$23:$I$24,$H$23:$H$24,$AA26))+(((1-$AD26))*TREND($I$18:$I$19,$H$18:$H$19,$AA26))))</f>
        <v>0</v>
      </c>
      <c r="AF26" s="45" cm="1">
        <f t="array" ref="AF26">IF($AD26=0,0,TREND($K$12:$K$13,$H$12:$H$13,$AA26)*((($AD26)*TREND($J$23:$J$24,$H$23:$H$24,$AA26))+(((1-$AD26))*TREND($J$18:$J$19,$H$18:$H$19,$AA26))))</f>
        <v>0</v>
      </c>
      <c r="AG26" s="45" cm="1">
        <f t="array" ref="AG26">IF($AD26=0,0,TREND($K$12:$K$13,$H$12:$H$13,$AA26)*((($AD26)*TREND($K$23:$K$24,$H$23:$H$24,$AA26)))+(((1-$AD26))*TREND($K$18:$K$19,$H$18:$H$19,$AA26)))</f>
        <v>0</v>
      </c>
      <c r="AH26" s="45" cm="1">
        <f t="array" ref="AH26">IF($AD26=0,0,TREND($K$12:$K$13,$H$12:$H$13,$AA26)*((($AD26)*TREND($L$23:$L$24,$H$23:$H$24,$AA26))+(((1-$AD26))*TREND($L$18:$L$19,$H$18:$H$19,$AA26))))</f>
        <v>0</v>
      </c>
      <c r="AI26" s="45" cm="1">
        <f t="array" ref="AI26">IF($AD26=0,0,TREND($K$12:$K$13,$H$12:$H$13,$AA26)*((($AD26)*TREND($M$23:$M$24,$H$23:$H$24,$AA26))+(((1-$AD26))*TREND($M$18:$M$19,$H$18:$H$19,$AA26))))</f>
        <v>0</v>
      </c>
      <c r="AJ26" s="59">
        <f>IF(AA26&lt;=Assumptions!$D$15,SUMPRODUCT($I$7:$M$7,AE26:AI26),0)</f>
        <v>0</v>
      </c>
    </row>
    <row r="27" spans="1:36" x14ac:dyDescent="0.25">
      <c r="B27" s="7"/>
      <c r="C27" s="7"/>
      <c r="D27" s="7"/>
      <c r="E27" s="7"/>
      <c r="F27" s="7"/>
      <c r="G27" s="69"/>
      <c r="O27" s="496"/>
      <c r="P27" s="44">
        <f t="shared" si="3"/>
        <v>2039</v>
      </c>
      <c r="Q27" s="21" t="str">
        <f>IF(P27=Assumptions!$D$45,"Construction First Year",IF(P27=Assumptions!$D$45+Assumptions!$D$46-1,"Construction Last Year","No"))</f>
        <v>No</v>
      </c>
      <c r="R27" s="45" cm="1">
        <f t="array" ref="R27">IF(OR(Q27="Construction First Year",Q27="Construction Last Year"),TREND($I$12:$I$13,$H$12:$H$13,P27)*TREND($I$18:$I$19,$H$18:$H$19,P27),0)</f>
        <v>0</v>
      </c>
      <c r="S27" s="45" cm="1">
        <f t="array" ref="S27">IF(OR(Q27="Construction First Year",Q27="Construction Last Year"),TREND($I$12:$I$13,$H$12:$H$13,P27)*TREND($J$18:$J$19,$H$18:$H$19,P27),0)</f>
        <v>0</v>
      </c>
      <c r="T27" s="45" cm="1">
        <f t="array" ref="T27">IF(OR(Q27="Construction First Year",Q27="Construction Last Year"),TREND($I$12:$I$13,$H$12:$H$13,P27)*TREND($K$18:$K$19,$H$18:$H$19,P27),0)</f>
        <v>0</v>
      </c>
      <c r="U27" s="45" cm="1">
        <f t="array" ref="U27">IF(OR(Q27="Construction First Year",Q27="Construction Last Year"),TREND($I$12:$I$13,$H$12:$H$13,P27)*TREND($L$18:$L$19,$H$18:$H$19,P27),0)</f>
        <v>0</v>
      </c>
      <c r="V27" s="45" cm="1">
        <f t="array" ref="V27">IF(OR(Q27="Construction First Year",Q27="Construction Last Year"),TREND($I$12:$I$13,$H$12:$H$13,P27)*TREND($M$18:$M$19,$H$18:$H$19,P27),0)</f>
        <v>0</v>
      </c>
      <c r="W27" s="59">
        <f>IF(P27&lt;=Assumptions!$D$15,SUMPRODUCT($I$7:$M$7,R27:V27),0)</f>
        <v>0</v>
      </c>
      <c r="Z27" s="496"/>
      <c r="AA27" s="44">
        <f t="shared" si="4"/>
        <v>2039</v>
      </c>
      <c r="AB27" s="21" t="str">
        <f>IF(AA27=Assumptions!$D$45,"Construction First Year",IF(AA27=Assumptions!$D$45+Assumptions!$D$46-1,"Construction Last Year","No"))</f>
        <v>No</v>
      </c>
      <c r="AC27" s="21">
        <f>IF(AB27="Construction First Year",Assumptions!$D$47/12,IF(AB27="Construction Last Year",Assumptions!$D$48/12,0))</f>
        <v>0</v>
      </c>
      <c r="AD27" s="390">
        <f>AC27*VOC_Construction!$O$27</f>
        <v>0</v>
      </c>
      <c r="AE27" s="45" cm="1">
        <f t="array" ref="AE27">IF($AD27=0,0,TREND($K$12:$K$13,$H$12:$H$13,$AA27)*((($AD27)*TREND($I$23:$I$24,$H$23:$H$24,$AA27))+(((1-$AD27))*TREND($I$18:$I$19,$H$18:$H$19,$AA27))))</f>
        <v>0</v>
      </c>
      <c r="AF27" s="45" cm="1">
        <f t="array" ref="AF27">IF($AD27=0,0,TREND($K$12:$K$13,$H$12:$H$13,$AA27)*((($AD27)*TREND($J$23:$J$24,$H$23:$H$24,$AA27))+(((1-$AD27))*TREND($J$18:$J$19,$H$18:$H$19,$AA27))))</f>
        <v>0</v>
      </c>
      <c r="AG27" s="45" cm="1">
        <f t="array" ref="AG27">IF($AD27=0,0,TREND($K$12:$K$13,$H$12:$H$13,$AA27)*((($AD27)*TREND($K$23:$K$24,$H$23:$H$24,$AA27)))+(((1-$AD27))*TREND($K$18:$K$19,$H$18:$H$19,$AA27)))</f>
        <v>0</v>
      </c>
      <c r="AH27" s="45" cm="1">
        <f t="array" ref="AH27">IF($AD27=0,0,TREND($K$12:$K$13,$H$12:$H$13,$AA27)*((($AD27)*TREND($L$23:$L$24,$H$23:$H$24,$AA27))+(((1-$AD27))*TREND($L$18:$L$19,$H$18:$H$19,$AA27))))</f>
        <v>0</v>
      </c>
      <c r="AI27" s="45" cm="1">
        <f t="array" ref="AI27">IF($AD27=0,0,TREND($K$12:$K$13,$H$12:$H$13,$AA27)*((($AD27)*TREND($M$23:$M$24,$H$23:$H$24,$AA27))+(((1-$AD27))*TREND($M$18:$M$19,$H$18:$H$19,$AA27))))</f>
        <v>0</v>
      </c>
      <c r="AJ27" s="59">
        <f>IF(AA27&lt;=Assumptions!$D$15,SUMPRODUCT($I$7:$M$7,AE27:AI27),0)</f>
        <v>0</v>
      </c>
    </row>
    <row r="28" spans="1:36" x14ac:dyDescent="0.25">
      <c r="B28" s="7"/>
      <c r="C28" s="7"/>
      <c r="D28" s="7"/>
      <c r="E28" s="7"/>
      <c r="F28" s="7"/>
      <c r="G28" s="69"/>
      <c r="N28" s="69"/>
      <c r="O28" s="496"/>
      <c r="P28" s="44">
        <f t="shared" si="3"/>
        <v>2040</v>
      </c>
      <c r="Q28" s="21" t="str">
        <f>IF(P28=Assumptions!$D$45,"Construction First Year",IF(P28=Assumptions!$D$45+Assumptions!$D$46-1,"Construction Last Year","No"))</f>
        <v>No</v>
      </c>
      <c r="R28" s="45" cm="1">
        <f t="array" ref="R28">IF(OR(Q28="Construction First Year",Q28="Construction Last Year"),TREND($I$12:$I$13,$H$12:$H$13,P28)*TREND($I$18:$I$19,$H$18:$H$19,P28),0)</f>
        <v>0</v>
      </c>
      <c r="S28" s="45" cm="1">
        <f t="array" ref="S28">IF(OR(Q28="Construction First Year",Q28="Construction Last Year"),TREND($I$12:$I$13,$H$12:$H$13,P28)*TREND($J$18:$J$19,$H$18:$H$19,P28),0)</f>
        <v>0</v>
      </c>
      <c r="T28" s="45" cm="1">
        <f t="array" ref="T28">IF(OR(Q28="Construction First Year",Q28="Construction Last Year"),TREND($I$12:$I$13,$H$12:$H$13,P28)*TREND($K$18:$K$19,$H$18:$H$19,P28),0)</f>
        <v>0</v>
      </c>
      <c r="U28" s="45" cm="1">
        <f t="array" ref="U28">IF(OR(Q28="Construction First Year",Q28="Construction Last Year"),TREND($I$12:$I$13,$H$12:$H$13,P28)*TREND($L$18:$L$19,$H$18:$H$19,P28),0)</f>
        <v>0</v>
      </c>
      <c r="V28" s="45" cm="1">
        <f t="array" ref="V28">IF(OR(Q28="Construction First Year",Q28="Construction Last Year"),TREND($I$12:$I$13,$H$12:$H$13,P28)*TREND($M$18:$M$19,$H$18:$H$19,P28),0)</f>
        <v>0</v>
      </c>
      <c r="W28" s="59">
        <f>IF(P28&lt;=Assumptions!$D$15,SUMPRODUCT($I$7:$M$7,R28:V28),0)</f>
        <v>0</v>
      </c>
      <c r="Z28" s="496"/>
      <c r="AA28" s="44">
        <f t="shared" si="4"/>
        <v>2040</v>
      </c>
      <c r="AB28" s="21" t="str">
        <f>IF(AA28=Assumptions!$D$45,"Construction First Year",IF(AA28=Assumptions!$D$45+Assumptions!$D$46-1,"Construction Last Year","No"))</f>
        <v>No</v>
      </c>
      <c r="AC28" s="21">
        <f>IF(AB28="Construction First Year",Assumptions!$D$47/12,IF(AB28="Construction Last Year",Assumptions!$D$48/12,0))</f>
        <v>0</v>
      </c>
      <c r="AD28" s="390">
        <f>AC28*VOC_Construction!$O$27</f>
        <v>0</v>
      </c>
      <c r="AE28" s="45" cm="1">
        <f t="array" ref="AE28">IF($AD28=0,0,TREND($K$12:$K$13,$H$12:$H$13,$AA28)*((($AD28)*TREND($I$23:$I$24,$H$23:$H$24,$AA28))+(((1-$AD28))*TREND($I$18:$I$19,$H$18:$H$19,$AA28))))</f>
        <v>0</v>
      </c>
      <c r="AF28" s="45" cm="1">
        <f t="array" ref="AF28">IF($AD28=0,0,TREND($K$12:$K$13,$H$12:$H$13,$AA28)*((($AD28)*TREND($J$23:$J$24,$H$23:$H$24,$AA28))+(((1-$AD28))*TREND($J$18:$J$19,$H$18:$H$19,$AA28))))</f>
        <v>0</v>
      </c>
      <c r="AG28" s="45" cm="1">
        <f t="array" ref="AG28">IF($AD28=0,0,TREND($K$12:$K$13,$H$12:$H$13,$AA28)*((($AD28)*TREND($K$23:$K$24,$H$23:$H$24,$AA28)))+(((1-$AD28))*TREND($K$18:$K$19,$H$18:$H$19,$AA28)))</f>
        <v>0</v>
      </c>
      <c r="AH28" s="45" cm="1">
        <f t="array" ref="AH28">IF($AD28=0,0,TREND($K$12:$K$13,$H$12:$H$13,$AA28)*((($AD28)*TREND($L$23:$L$24,$H$23:$H$24,$AA28))+(((1-$AD28))*TREND($L$18:$L$19,$H$18:$H$19,$AA28))))</f>
        <v>0</v>
      </c>
      <c r="AI28" s="45" cm="1">
        <f t="array" ref="AI28">IF($AD28=0,0,TREND($K$12:$K$13,$H$12:$H$13,$AA28)*((($AD28)*TREND($M$23:$M$24,$H$23:$H$24,$AA28))+(((1-$AD28))*TREND($M$18:$M$19,$H$18:$H$19,$AA28))))</f>
        <v>0</v>
      </c>
      <c r="AJ28" s="59">
        <f>IF(AA28&lt;=Assumptions!$D$15,SUMPRODUCT($I$7:$M$7,AE28:AI28),0)</f>
        <v>0</v>
      </c>
    </row>
    <row r="29" spans="1:36" ht="15" customHeight="1" x14ac:dyDescent="0.25">
      <c r="A29" s="2"/>
      <c r="B29" s="7"/>
      <c r="C29" s="7"/>
      <c r="D29" s="7"/>
      <c r="E29" s="7"/>
      <c r="F29" s="7"/>
      <c r="G29" s="69"/>
      <c r="N29" s="69"/>
      <c r="O29" s="496"/>
      <c r="P29" s="44">
        <f t="shared" si="3"/>
        <v>2041</v>
      </c>
      <c r="Q29" s="21" t="str">
        <f>IF(P29=Assumptions!$D$45,"Construction First Year",IF(P29=Assumptions!$D$45+Assumptions!$D$46-1,"Construction Last Year","No"))</f>
        <v>No</v>
      </c>
      <c r="R29" s="45" cm="1">
        <f t="array" ref="R29">IF(OR(Q29="Construction First Year",Q29="Construction Last Year"),TREND($I$12:$I$13,$H$12:$H$13,P29)*TREND($I$18:$I$19,$H$18:$H$19,P29),0)</f>
        <v>0</v>
      </c>
      <c r="S29" s="45" cm="1">
        <f t="array" ref="S29">IF(OR(Q29="Construction First Year",Q29="Construction Last Year"),TREND($I$12:$I$13,$H$12:$H$13,P29)*TREND($J$18:$J$19,$H$18:$H$19,P29),0)</f>
        <v>0</v>
      </c>
      <c r="T29" s="45" cm="1">
        <f t="array" ref="T29">IF(OR(Q29="Construction First Year",Q29="Construction Last Year"),TREND($I$12:$I$13,$H$12:$H$13,P29)*TREND($K$18:$K$19,$H$18:$H$19,P29),0)</f>
        <v>0</v>
      </c>
      <c r="U29" s="45" cm="1">
        <f t="array" ref="U29">IF(OR(Q29="Construction First Year",Q29="Construction Last Year"),TREND($I$12:$I$13,$H$12:$H$13,P29)*TREND($L$18:$L$19,$H$18:$H$19,P29),0)</f>
        <v>0</v>
      </c>
      <c r="V29" s="45" cm="1">
        <f t="array" ref="V29">IF(OR(Q29="Construction First Year",Q29="Construction Last Year"),TREND($I$12:$I$13,$H$12:$H$13,P29)*TREND($M$18:$M$19,$H$18:$H$19,P29),0)</f>
        <v>0</v>
      </c>
      <c r="W29" s="59">
        <f>IF(P29&lt;=Assumptions!$D$15,SUMPRODUCT($I$7:$M$7,R29:V29),0)</f>
        <v>0</v>
      </c>
      <c r="Z29" s="496"/>
      <c r="AA29" s="44">
        <f t="shared" si="4"/>
        <v>2041</v>
      </c>
      <c r="AB29" s="21" t="str">
        <f>IF(AA29=Assumptions!$D$45,"Construction First Year",IF(AA29=Assumptions!$D$45+Assumptions!$D$46-1,"Construction Last Year","No"))</f>
        <v>No</v>
      </c>
      <c r="AC29" s="21">
        <f>IF(AB29="Construction First Year",Assumptions!$D$47/12,IF(AB29="Construction Last Year",Assumptions!$D$48/12,0))</f>
        <v>0</v>
      </c>
      <c r="AD29" s="390">
        <f>AC29*VOC_Construction!$O$27</f>
        <v>0</v>
      </c>
      <c r="AE29" s="45" cm="1">
        <f t="array" ref="AE29">IF($AD29=0,0,TREND($K$12:$K$13,$H$12:$H$13,$AA29)*((($AD29)*TREND($I$23:$I$24,$H$23:$H$24,$AA29))+(((1-$AD29))*TREND($I$18:$I$19,$H$18:$H$19,$AA29))))</f>
        <v>0</v>
      </c>
      <c r="AF29" s="45" cm="1">
        <f t="array" ref="AF29">IF($AD29=0,0,TREND($K$12:$K$13,$H$12:$H$13,$AA29)*((($AD29)*TREND($J$23:$J$24,$H$23:$H$24,$AA29))+(((1-$AD29))*TREND($J$18:$J$19,$H$18:$H$19,$AA29))))</f>
        <v>0</v>
      </c>
      <c r="AG29" s="45" cm="1">
        <f t="array" ref="AG29">IF($AD29=0,0,TREND($K$12:$K$13,$H$12:$H$13,$AA29)*((($AD29)*TREND($K$23:$K$24,$H$23:$H$24,$AA29)))+(((1-$AD29))*TREND($K$18:$K$19,$H$18:$H$19,$AA29)))</f>
        <v>0</v>
      </c>
      <c r="AH29" s="45" cm="1">
        <f t="array" ref="AH29">IF($AD29=0,0,TREND($K$12:$K$13,$H$12:$H$13,$AA29)*((($AD29)*TREND($L$23:$L$24,$H$23:$H$24,$AA29))+(((1-$AD29))*TREND($L$18:$L$19,$H$18:$H$19,$AA29))))</f>
        <v>0</v>
      </c>
      <c r="AI29" s="45" cm="1">
        <f t="array" ref="AI29">IF($AD29=0,0,TREND($K$12:$K$13,$H$12:$H$13,$AA29)*((($AD29)*TREND($M$23:$M$24,$H$23:$H$24,$AA29))+(((1-$AD29))*TREND($M$18:$M$19,$H$18:$H$19,$AA29))))</f>
        <v>0</v>
      </c>
      <c r="AJ29" s="59">
        <f>IF(AA29&lt;=Assumptions!$D$15,SUMPRODUCT($I$7:$M$7,AE29:AI29),0)</f>
        <v>0</v>
      </c>
    </row>
    <row r="30" spans="1:36" ht="15.75" customHeight="1" x14ac:dyDescent="0.25">
      <c r="B30" s="7"/>
      <c r="C30" s="7"/>
      <c r="D30" s="7"/>
      <c r="E30" s="7"/>
      <c r="F30" s="7"/>
      <c r="G30" s="24"/>
      <c r="O30" s="496"/>
      <c r="P30" s="44">
        <f t="shared" si="3"/>
        <v>2042</v>
      </c>
      <c r="Q30" s="21" t="str">
        <f>IF(P30=Assumptions!$D$45,"Construction First Year",IF(P30=Assumptions!$D$45+Assumptions!$D$46-1,"Construction Last Year","No"))</f>
        <v>No</v>
      </c>
      <c r="R30" s="45" cm="1">
        <f t="array" ref="R30">IF(OR(Q30="Construction First Year",Q30="Construction Last Year"),TREND($I$12:$I$13,$H$12:$H$13,P30)*TREND($I$18:$I$19,$H$18:$H$19,P30),0)</f>
        <v>0</v>
      </c>
      <c r="S30" s="45" cm="1">
        <f t="array" ref="S30">IF(OR(Q30="Construction First Year",Q30="Construction Last Year"),TREND($I$12:$I$13,$H$12:$H$13,P30)*TREND($J$18:$J$19,$H$18:$H$19,P30),0)</f>
        <v>0</v>
      </c>
      <c r="T30" s="45" cm="1">
        <f t="array" ref="T30">IF(OR(Q30="Construction First Year",Q30="Construction Last Year"),TREND($I$12:$I$13,$H$12:$H$13,P30)*TREND($K$18:$K$19,$H$18:$H$19,P30),0)</f>
        <v>0</v>
      </c>
      <c r="U30" s="45" cm="1">
        <f t="array" ref="U30">IF(OR(Q30="Construction First Year",Q30="Construction Last Year"),TREND($I$12:$I$13,$H$12:$H$13,P30)*TREND($L$18:$L$19,$H$18:$H$19,P30),0)</f>
        <v>0</v>
      </c>
      <c r="V30" s="45" cm="1">
        <f t="array" ref="V30">IF(OR(Q30="Construction First Year",Q30="Construction Last Year"),TREND($I$12:$I$13,$H$12:$H$13,P30)*TREND($M$18:$M$19,$H$18:$H$19,P30),0)</f>
        <v>0</v>
      </c>
      <c r="W30" s="59">
        <f>IF(P30&lt;=Assumptions!$D$15,SUMPRODUCT($I$7:$M$7,R30:V30),0)</f>
        <v>0</v>
      </c>
      <c r="Z30" s="496"/>
      <c r="AA30" s="44">
        <f t="shared" si="4"/>
        <v>2042</v>
      </c>
      <c r="AB30" s="21" t="str">
        <f>IF(AA30=Assumptions!$D$45,"Construction First Year",IF(AA30=Assumptions!$D$45+Assumptions!$D$46-1,"Construction Last Year","No"))</f>
        <v>No</v>
      </c>
      <c r="AC30" s="21">
        <f>IF(AB30="Construction First Year",Assumptions!$D$47/12,IF(AB30="Construction Last Year",Assumptions!$D$48/12,0))</f>
        <v>0</v>
      </c>
      <c r="AD30" s="390">
        <f>AC30*VOC_Construction!$O$27</f>
        <v>0</v>
      </c>
      <c r="AE30" s="45" cm="1">
        <f t="array" ref="AE30">IF($AD30=0,0,TREND($K$12:$K$13,$H$12:$H$13,$AA30)*((($AD30)*TREND($I$23:$I$24,$H$23:$H$24,$AA30))+(((1-$AD30))*TREND($I$18:$I$19,$H$18:$H$19,$AA30))))</f>
        <v>0</v>
      </c>
      <c r="AF30" s="45" cm="1">
        <f t="array" ref="AF30">IF($AD30=0,0,TREND($K$12:$K$13,$H$12:$H$13,$AA30)*((($AD30)*TREND($J$23:$J$24,$H$23:$H$24,$AA30))+(((1-$AD30))*TREND($J$18:$J$19,$H$18:$H$19,$AA30))))</f>
        <v>0</v>
      </c>
      <c r="AG30" s="45" cm="1">
        <f t="array" ref="AG30">IF($AD30=0,0,TREND($K$12:$K$13,$H$12:$H$13,$AA30)*((($AD30)*TREND($K$23:$K$24,$H$23:$H$24,$AA30)))+(((1-$AD30))*TREND($K$18:$K$19,$H$18:$H$19,$AA30)))</f>
        <v>0</v>
      </c>
      <c r="AH30" s="45" cm="1">
        <f t="array" ref="AH30">IF($AD30=0,0,TREND($K$12:$K$13,$H$12:$H$13,$AA30)*((($AD30)*TREND($L$23:$L$24,$H$23:$H$24,$AA30))+(((1-$AD30))*TREND($L$18:$L$19,$H$18:$H$19,$AA30))))</f>
        <v>0</v>
      </c>
      <c r="AI30" s="45" cm="1">
        <f t="array" ref="AI30">IF($AD30=0,0,TREND($K$12:$K$13,$H$12:$H$13,$AA30)*((($AD30)*TREND($M$23:$M$24,$H$23:$H$24,$AA30))+(((1-$AD30))*TREND($M$18:$M$19,$H$18:$H$19,$AA30))))</f>
        <v>0</v>
      </c>
      <c r="AJ30" s="59">
        <f>IF(AA30&lt;=Assumptions!$D$15,SUMPRODUCT($I$7:$M$7,AE30:AI30),0)</f>
        <v>0</v>
      </c>
    </row>
    <row r="31" spans="1:36" ht="15" customHeight="1" x14ac:dyDescent="0.25">
      <c r="N31" s="69"/>
      <c r="O31" s="496"/>
      <c r="P31" s="44">
        <f t="shared" si="3"/>
        <v>2043</v>
      </c>
      <c r="Q31" s="21" t="str">
        <f>IF(P31=Assumptions!$D$45,"Construction First Year",IF(P31=Assumptions!$D$45+Assumptions!$D$46-1,"Construction Last Year","No"))</f>
        <v>No</v>
      </c>
      <c r="R31" s="45" cm="1">
        <f t="array" ref="R31">IF(OR(Q31="Construction First Year",Q31="Construction Last Year"),TREND($I$12:$I$13,$H$12:$H$13,P31)*TREND($I$18:$I$19,$H$18:$H$19,P31),0)</f>
        <v>0</v>
      </c>
      <c r="S31" s="45" cm="1">
        <f t="array" ref="S31">IF(OR(Q31="Construction First Year",Q31="Construction Last Year"),TREND($I$12:$I$13,$H$12:$H$13,P31)*TREND($J$18:$J$19,$H$18:$H$19,P31),0)</f>
        <v>0</v>
      </c>
      <c r="T31" s="45" cm="1">
        <f t="array" ref="T31">IF(OR(Q31="Construction First Year",Q31="Construction Last Year"),TREND($I$12:$I$13,$H$12:$H$13,P31)*TREND($K$18:$K$19,$H$18:$H$19,P31),0)</f>
        <v>0</v>
      </c>
      <c r="U31" s="45" cm="1">
        <f t="array" ref="U31">IF(OR(Q31="Construction First Year",Q31="Construction Last Year"),TREND($I$12:$I$13,$H$12:$H$13,P31)*TREND($L$18:$L$19,$H$18:$H$19,P31),0)</f>
        <v>0</v>
      </c>
      <c r="V31" s="45" cm="1">
        <f t="array" ref="V31">IF(OR(Q31="Construction First Year",Q31="Construction Last Year"),TREND($I$12:$I$13,$H$12:$H$13,P31)*TREND($M$18:$M$19,$H$18:$H$19,P31),0)</f>
        <v>0</v>
      </c>
      <c r="W31" s="59">
        <f>IF(P31&lt;=Assumptions!$D$15,SUMPRODUCT($I$7:$M$7,R31:V31),0)</f>
        <v>0</v>
      </c>
      <c r="Z31" s="496"/>
      <c r="AA31" s="44">
        <f t="shared" si="4"/>
        <v>2043</v>
      </c>
      <c r="AB31" s="21" t="str">
        <f>IF(AA31=Assumptions!$D$45,"Construction First Year",IF(AA31=Assumptions!$D$45+Assumptions!$D$46-1,"Construction Last Year","No"))</f>
        <v>No</v>
      </c>
      <c r="AC31" s="21">
        <f>IF(AB31="Construction First Year",Assumptions!$D$47/12,IF(AB31="Construction Last Year",Assumptions!$D$48/12,0))</f>
        <v>0</v>
      </c>
      <c r="AD31" s="390">
        <f>AC31*VOC_Construction!$O$27</f>
        <v>0</v>
      </c>
      <c r="AE31" s="45" cm="1">
        <f t="array" ref="AE31">IF($AD31=0,0,TREND($K$12:$K$13,$H$12:$H$13,$AA31)*((($AD31)*TREND($I$23:$I$24,$H$23:$H$24,$AA31))+(((1-$AD31))*TREND($I$18:$I$19,$H$18:$H$19,$AA31))))</f>
        <v>0</v>
      </c>
      <c r="AF31" s="45" cm="1">
        <f t="array" ref="AF31">IF($AD31=0,0,TREND($K$12:$K$13,$H$12:$H$13,$AA31)*((($AD31)*TREND($J$23:$J$24,$H$23:$H$24,$AA31))+(((1-$AD31))*TREND($J$18:$J$19,$H$18:$H$19,$AA31))))</f>
        <v>0</v>
      </c>
      <c r="AG31" s="45" cm="1">
        <f t="array" ref="AG31">IF($AD31=0,0,TREND($K$12:$K$13,$H$12:$H$13,$AA31)*((($AD31)*TREND($K$23:$K$24,$H$23:$H$24,$AA31)))+(((1-$AD31))*TREND($K$18:$K$19,$H$18:$H$19,$AA31)))</f>
        <v>0</v>
      </c>
      <c r="AH31" s="45" cm="1">
        <f t="array" ref="AH31">IF($AD31=0,0,TREND($K$12:$K$13,$H$12:$H$13,$AA31)*((($AD31)*TREND($L$23:$L$24,$H$23:$H$24,$AA31))+(((1-$AD31))*TREND($L$18:$L$19,$H$18:$H$19,$AA31))))</f>
        <v>0</v>
      </c>
      <c r="AI31" s="45" cm="1">
        <f t="array" ref="AI31">IF($AD31=0,0,TREND($K$12:$K$13,$H$12:$H$13,$AA31)*((($AD31)*TREND($M$23:$M$24,$H$23:$H$24,$AA31))+(((1-$AD31))*TREND($M$18:$M$19,$H$18:$H$19,$AA31))))</f>
        <v>0</v>
      </c>
      <c r="AJ31" s="59">
        <f>IF(AA31&lt;=Assumptions!$D$15,SUMPRODUCT($I$7:$M$7,AE31:AI31),0)</f>
        <v>0</v>
      </c>
    </row>
    <row r="32" spans="1:36" ht="15" customHeight="1" x14ac:dyDescent="0.25">
      <c r="O32" s="496"/>
      <c r="P32" s="44">
        <f t="shared" si="3"/>
        <v>2044</v>
      </c>
      <c r="Q32" s="21" t="str">
        <f>IF(P32=Assumptions!$D$45,"Construction First Year",IF(P32=Assumptions!$D$45+Assumptions!$D$46-1,"Construction Last Year","No"))</f>
        <v>No</v>
      </c>
      <c r="R32" s="45" cm="1">
        <f t="array" ref="R32">IF(OR(Q32="Construction First Year",Q32="Construction Last Year"),TREND($I$12:$I$13,$H$12:$H$13,P32)*TREND($I$18:$I$19,$H$18:$H$19,P32),0)</f>
        <v>0</v>
      </c>
      <c r="S32" s="45" cm="1">
        <f t="array" ref="S32">IF(OR(Q32="Construction First Year",Q32="Construction Last Year"),TREND($I$12:$I$13,$H$12:$H$13,P32)*TREND($J$18:$J$19,$H$18:$H$19,P32),0)</f>
        <v>0</v>
      </c>
      <c r="T32" s="45" cm="1">
        <f t="array" ref="T32">IF(OR(Q32="Construction First Year",Q32="Construction Last Year"),TREND($I$12:$I$13,$H$12:$H$13,P32)*TREND($K$18:$K$19,$H$18:$H$19,P32),0)</f>
        <v>0</v>
      </c>
      <c r="U32" s="45" cm="1">
        <f t="array" ref="U32">IF(OR(Q32="Construction First Year",Q32="Construction Last Year"),TREND($I$12:$I$13,$H$12:$H$13,P32)*TREND($L$18:$L$19,$H$18:$H$19,P32),0)</f>
        <v>0</v>
      </c>
      <c r="V32" s="45" cm="1">
        <f t="array" ref="V32">IF(OR(Q32="Construction First Year",Q32="Construction Last Year"),TREND($I$12:$I$13,$H$12:$H$13,P32)*TREND($M$18:$M$19,$H$18:$H$19,P32),0)</f>
        <v>0</v>
      </c>
      <c r="W32" s="59">
        <f>IF(P32&lt;=Assumptions!$D$15,SUMPRODUCT($I$7:$M$7,R32:V32),0)</f>
        <v>0</v>
      </c>
      <c r="Z32" s="496"/>
      <c r="AA32" s="44">
        <f t="shared" si="4"/>
        <v>2044</v>
      </c>
      <c r="AB32" s="21" t="str">
        <f>IF(AA32=Assumptions!$D$45,"Construction First Year",IF(AA32=Assumptions!$D$45+Assumptions!$D$46-1,"Construction Last Year","No"))</f>
        <v>No</v>
      </c>
      <c r="AC32" s="21">
        <f>IF(AB32="Construction First Year",Assumptions!$D$47/12,IF(AB32="Construction Last Year",Assumptions!$D$48/12,0))</f>
        <v>0</v>
      </c>
      <c r="AD32" s="390">
        <f>AC32*VOC_Construction!$O$27</f>
        <v>0</v>
      </c>
      <c r="AE32" s="45" cm="1">
        <f t="array" ref="AE32">IF($AD32=0,0,TREND($K$12:$K$13,$H$12:$H$13,$AA32)*((($AD32)*TREND($I$23:$I$24,$H$23:$H$24,$AA32))+(((1-$AD32))*TREND($I$18:$I$19,$H$18:$H$19,$AA32))))</f>
        <v>0</v>
      </c>
      <c r="AF32" s="45" cm="1">
        <f t="array" ref="AF32">IF($AD32=0,0,TREND($K$12:$K$13,$H$12:$H$13,$AA32)*((($AD32)*TREND($J$23:$J$24,$H$23:$H$24,$AA32))+(((1-$AD32))*TREND($J$18:$J$19,$H$18:$H$19,$AA32))))</f>
        <v>0</v>
      </c>
      <c r="AG32" s="45" cm="1">
        <f t="array" ref="AG32">IF($AD32=0,0,TREND($K$12:$K$13,$H$12:$H$13,$AA32)*((($AD32)*TREND($K$23:$K$24,$H$23:$H$24,$AA32)))+(((1-$AD32))*TREND($K$18:$K$19,$H$18:$H$19,$AA32)))</f>
        <v>0</v>
      </c>
      <c r="AH32" s="45" cm="1">
        <f t="array" ref="AH32">IF($AD32=0,0,TREND($K$12:$K$13,$H$12:$H$13,$AA32)*((($AD32)*TREND($L$23:$L$24,$H$23:$H$24,$AA32))+(((1-$AD32))*TREND($L$18:$L$19,$H$18:$H$19,$AA32))))</f>
        <v>0</v>
      </c>
      <c r="AI32" s="45" cm="1">
        <f t="array" ref="AI32">IF($AD32=0,0,TREND($K$12:$K$13,$H$12:$H$13,$AA32)*((($AD32)*TREND($M$23:$M$24,$H$23:$H$24,$AA32))+(((1-$AD32))*TREND($M$18:$M$19,$H$18:$H$19,$AA32))))</f>
        <v>0</v>
      </c>
      <c r="AJ32" s="59">
        <f>IF(AA32&lt;=Assumptions!$D$15,SUMPRODUCT($I$7:$M$7,AE32:AI32),0)</f>
        <v>0</v>
      </c>
    </row>
    <row r="33" spans="7:36" ht="15" customHeight="1" x14ac:dyDescent="0.25">
      <c r="O33" s="496"/>
      <c r="P33" s="44">
        <f t="shared" si="3"/>
        <v>2045</v>
      </c>
      <c r="Q33" s="21" t="str">
        <f>IF(P33=Assumptions!$D$45,"Construction First Year",IF(P33=Assumptions!$D$45+Assumptions!$D$46-1,"Construction Last Year","No"))</f>
        <v>No</v>
      </c>
      <c r="R33" s="45" cm="1">
        <f t="array" ref="R33">IF(OR(Q33="Construction First Year",Q33="Construction Last Year"),TREND($I$12:$I$13,$H$12:$H$13,P33)*TREND($I$18:$I$19,$H$18:$H$19,P33),0)</f>
        <v>0</v>
      </c>
      <c r="S33" s="45" cm="1">
        <f t="array" ref="S33">IF(OR(Q33="Construction First Year",Q33="Construction Last Year"),TREND($I$12:$I$13,$H$12:$H$13,P33)*TREND($J$18:$J$19,$H$18:$H$19,P33),0)</f>
        <v>0</v>
      </c>
      <c r="T33" s="45" cm="1">
        <f t="array" ref="T33">IF(OR(Q33="Construction First Year",Q33="Construction Last Year"),TREND($I$12:$I$13,$H$12:$H$13,P33)*TREND($K$18:$K$19,$H$18:$H$19,P33),0)</f>
        <v>0</v>
      </c>
      <c r="U33" s="45" cm="1">
        <f t="array" ref="U33">IF(OR(Q33="Construction First Year",Q33="Construction Last Year"),TREND($I$12:$I$13,$H$12:$H$13,P33)*TREND($L$18:$L$19,$H$18:$H$19,P33),0)</f>
        <v>0</v>
      </c>
      <c r="V33" s="45" cm="1">
        <f t="array" ref="V33">IF(OR(Q33="Construction First Year",Q33="Construction Last Year"),TREND($I$12:$I$13,$H$12:$H$13,P33)*TREND($M$18:$M$19,$H$18:$H$19,P33),0)</f>
        <v>0</v>
      </c>
      <c r="W33" s="59">
        <f>IF(P33&lt;=Assumptions!$D$15,SUMPRODUCT($I$7:$M$7,R33:V33),0)</f>
        <v>0</v>
      </c>
      <c r="Z33" s="496"/>
      <c r="AA33" s="44">
        <f t="shared" si="4"/>
        <v>2045</v>
      </c>
      <c r="AB33" s="21" t="str">
        <f>IF(AA33=Assumptions!$D$45,"Construction First Year",IF(AA33=Assumptions!$D$45+Assumptions!$D$46-1,"Construction Last Year","No"))</f>
        <v>No</v>
      </c>
      <c r="AC33" s="21">
        <f>IF(AB33="Construction First Year",Assumptions!$D$47/12,IF(AB33="Construction Last Year",Assumptions!$D$48/12,0))</f>
        <v>0</v>
      </c>
      <c r="AD33" s="390">
        <f>AC33*VOC_Construction!$O$27</f>
        <v>0</v>
      </c>
      <c r="AE33" s="45" cm="1">
        <f t="array" ref="AE33">IF($AD33=0,0,TREND($K$12:$K$13,$H$12:$H$13,$AA33)*((($AD33)*TREND($I$23:$I$24,$H$23:$H$24,$AA33))+(((1-$AD33))*TREND($I$18:$I$19,$H$18:$H$19,$AA33))))</f>
        <v>0</v>
      </c>
      <c r="AF33" s="45" cm="1">
        <f t="array" ref="AF33">IF($AD33=0,0,TREND($K$12:$K$13,$H$12:$H$13,$AA33)*((($AD33)*TREND($J$23:$J$24,$H$23:$H$24,$AA33))+(((1-$AD33))*TREND($J$18:$J$19,$H$18:$H$19,$AA33))))</f>
        <v>0</v>
      </c>
      <c r="AG33" s="45" cm="1">
        <f t="array" ref="AG33">IF($AD33=0,0,TREND($K$12:$K$13,$H$12:$H$13,$AA33)*((($AD33)*TREND($K$23:$K$24,$H$23:$H$24,$AA33)))+(((1-$AD33))*TREND($K$18:$K$19,$H$18:$H$19,$AA33)))</f>
        <v>0</v>
      </c>
      <c r="AH33" s="45" cm="1">
        <f t="array" ref="AH33">IF($AD33=0,0,TREND($K$12:$K$13,$H$12:$H$13,$AA33)*((($AD33)*TREND($L$23:$L$24,$H$23:$H$24,$AA33))+(((1-$AD33))*TREND($L$18:$L$19,$H$18:$H$19,$AA33))))</f>
        <v>0</v>
      </c>
      <c r="AI33" s="45" cm="1">
        <f t="array" ref="AI33">IF($AD33=0,0,TREND($K$12:$K$13,$H$12:$H$13,$AA33)*((($AD33)*TREND($M$23:$M$24,$H$23:$H$24,$AA33))+(((1-$AD33))*TREND($M$18:$M$19,$H$18:$H$19,$AA33))))</f>
        <v>0</v>
      </c>
      <c r="AJ33" s="59">
        <f>IF(AA33&lt;=Assumptions!$D$15,SUMPRODUCT($I$7:$M$7,AE33:AI33),0)</f>
        <v>0</v>
      </c>
    </row>
    <row r="34" spans="7:36" ht="15" customHeight="1" x14ac:dyDescent="0.25">
      <c r="O34" s="496"/>
      <c r="P34" s="44">
        <f t="shared" si="3"/>
        <v>2046</v>
      </c>
      <c r="Q34" s="21" t="str">
        <f>IF(P34=Assumptions!$D$45,"Construction First Year",IF(P34=Assumptions!$D$45+Assumptions!$D$46-1,"Construction Last Year","No"))</f>
        <v>No</v>
      </c>
      <c r="R34" s="45" cm="1">
        <f t="array" ref="R34">IF(OR(Q34="Construction First Year",Q34="Construction Last Year"),TREND($I$12:$I$13,$H$12:$H$13,P34)*TREND($I$18:$I$19,$H$18:$H$19,P34),0)</f>
        <v>0</v>
      </c>
      <c r="S34" s="45" cm="1">
        <f t="array" ref="S34">IF(OR(Q34="Construction First Year",Q34="Construction Last Year"),TREND($I$12:$I$13,$H$12:$H$13,P34)*TREND($J$18:$J$19,$H$18:$H$19,P34),0)</f>
        <v>0</v>
      </c>
      <c r="T34" s="45" cm="1">
        <f t="array" ref="T34">IF(OR(Q34="Construction First Year",Q34="Construction Last Year"),TREND($I$12:$I$13,$H$12:$H$13,P34)*TREND($K$18:$K$19,$H$18:$H$19,P34),0)</f>
        <v>0</v>
      </c>
      <c r="U34" s="45" cm="1">
        <f t="array" ref="U34">IF(OR(Q34="Construction First Year",Q34="Construction Last Year"),TREND($I$12:$I$13,$H$12:$H$13,P34)*TREND($L$18:$L$19,$H$18:$H$19,P34),0)</f>
        <v>0</v>
      </c>
      <c r="V34" s="45" cm="1">
        <f t="array" ref="V34">IF(OR(Q34="Construction First Year",Q34="Construction Last Year"),TREND($I$12:$I$13,$H$12:$H$13,P34)*TREND($M$18:$M$19,$H$18:$H$19,P34),0)</f>
        <v>0</v>
      </c>
      <c r="W34" s="59">
        <f>IF(P34&lt;=Assumptions!$D$15,SUMPRODUCT($I$7:$M$7,R34:V34),0)</f>
        <v>0</v>
      </c>
      <c r="Z34" s="496"/>
      <c r="AA34" s="44">
        <f t="shared" si="4"/>
        <v>2046</v>
      </c>
      <c r="AB34" s="21" t="str">
        <f>IF(AA34=Assumptions!$D$45,"Construction First Year",IF(AA34=Assumptions!$D$45+Assumptions!$D$46-1,"Construction Last Year","No"))</f>
        <v>No</v>
      </c>
      <c r="AC34" s="21">
        <f>IF(AB34="Construction First Year",Assumptions!$D$47/12,IF(AB34="Construction Last Year",Assumptions!$D$48/12,0))</f>
        <v>0</v>
      </c>
      <c r="AD34" s="390">
        <f>AC34*VOC_Construction!$O$27</f>
        <v>0</v>
      </c>
      <c r="AE34" s="45" cm="1">
        <f t="array" ref="AE34">IF($AD34=0,0,TREND($K$12:$K$13,$H$12:$H$13,$AA34)*((($AD34)*TREND($I$23:$I$24,$H$23:$H$24,$AA34))+(((1-$AD34))*TREND($I$18:$I$19,$H$18:$H$19,$AA34))))</f>
        <v>0</v>
      </c>
      <c r="AF34" s="45" cm="1">
        <f t="array" ref="AF34">IF($AD34=0,0,TREND($K$12:$K$13,$H$12:$H$13,$AA34)*((($AD34)*TREND($J$23:$J$24,$H$23:$H$24,$AA34))+(((1-$AD34))*TREND($J$18:$J$19,$H$18:$H$19,$AA34))))</f>
        <v>0</v>
      </c>
      <c r="AG34" s="45" cm="1">
        <f t="array" ref="AG34">IF($AD34=0,0,TREND($K$12:$K$13,$H$12:$H$13,$AA34)*((($AD34)*TREND($K$23:$K$24,$H$23:$H$24,$AA34)))+(((1-$AD34))*TREND($K$18:$K$19,$H$18:$H$19,$AA34)))</f>
        <v>0</v>
      </c>
      <c r="AH34" s="45" cm="1">
        <f t="array" ref="AH34">IF($AD34=0,0,TREND($K$12:$K$13,$H$12:$H$13,$AA34)*((($AD34)*TREND($L$23:$L$24,$H$23:$H$24,$AA34))+(((1-$AD34))*TREND($L$18:$L$19,$H$18:$H$19,$AA34))))</f>
        <v>0</v>
      </c>
      <c r="AI34" s="45" cm="1">
        <f t="array" ref="AI34">IF($AD34=0,0,TREND($K$12:$K$13,$H$12:$H$13,$AA34)*((($AD34)*TREND($M$23:$M$24,$H$23:$H$24,$AA34))+(((1-$AD34))*TREND($M$18:$M$19,$H$18:$H$19,$AA34))))</f>
        <v>0</v>
      </c>
      <c r="AJ34" s="59">
        <f>IF(AA34&lt;=Assumptions!$D$15,SUMPRODUCT($I$7:$M$7,AE34:AI34),0)</f>
        <v>0</v>
      </c>
    </row>
    <row r="35" spans="7:36" ht="15" customHeight="1" x14ac:dyDescent="0.25">
      <c r="O35" s="496"/>
      <c r="P35" s="44">
        <f t="shared" si="3"/>
        <v>2047</v>
      </c>
      <c r="Q35" s="21" t="str">
        <f>IF(P35=Assumptions!$D$45,"Construction First Year",IF(P35=Assumptions!$D$45+Assumptions!$D$46-1,"Construction Last Year","No"))</f>
        <v>No</v>
      </c>
      <c r="R35" s="45" cm="1">
        <f t="array" ref="R35">IF(OR(Q35="Construction First Year",Q35="Construction Last Year"),TREND($I$12:$I$13,$H$12:$H$13,P35)*TREND($I$18:$I$19,$H$18:$H$19,P35),0)</f>
        <v>0</v>
      </c>
      <c r="S35" s="45" cm="1">
        <f t="array" ref="S35">IF(OR(Q35="Construction First Year",Q35="Construction Last Year"),TREND($I$12:$I$13,$H$12:$H$13,P35)*TREND($J$18:$J$19,$H$18:$H$19,P35),0)</f>
        <v>0</v>
      </c>
      <c r="T35" s="45" cm="1">
        <f t="array" ref="T35">IF(OR(Q35="Construction First Year",Q35="Construction Last Year"),TREND($I$12:$I$13,$H$12:$H$13,P35)*TREND($K$18:$K$19,$H$18:$H$19,P35),0)</f>
        <v>0</v>
      </c>
      <c r="U35" s="45" cm="1">
        <f t="array" ref="U35">IF(OR(Q35="Construction First Year",Q35="Construction Last Year"),TREND($I$12:$I$13,$H$12:$H$13,P35)*TREND($L$18:$L$19,$H$18:$H$19,P35),0)</f>
        <v>0</v>
      </c>
      <c r="V35" s="45" cm="1">
        <f t="array" ref="V35">IF(OR(Q35="Construction First Year",Q35="Construction Last Year"),TREND($I$12:$I$13,$H$12:$H$13,P35)*TREND($M$18:$M$19,$H$18:$H$19,P35),0)</f>
        <v>0</v>
      </c>
      <c r="W35" s="59">
        <f>IF(P35&lt;=Assumptions!$D$15,SUMPRODUCT($I$7:$M$7,R35:V35),0)</f>
        <v>0</v>
      </c>
      <c r="Z35" s="496"/>
      <c r="AA35" s="44">
        <f t="shared" si="4"/>
        <v>2047</v>
      </c>
      <c r="AB35" s="21" t="str">
        <f>IF(AA35=Assumptions!$D$45,"Construction First Year",IF(AA35=Assumptions!$D$45+Assumptions!$D$46-1,"Construction Last Year","No"))</f>
        <v>No</v>
      </c>
      <c r="AC35" s="21">
        <f>IF(AB35="Construction First Year",Assumptions!$D$47/12,IF(AB35="Construction Last Year",Assumptions!$D$48/12,0))</f>
        <v>0</v>
      </c>
      <c r="AD35" s="390">
        <f>AC35*VOC_Construction!$O$27</f>
        <v>0</v>
      </c>
      <c r="AE35" s="45" cm="1">
        <f t="array" ref="AE35">IF($AD35=0,0,TREND($K$12:$K$13,$H$12:$H$13,$AA35)*((($AD35)*TREND($I$23:$I$24,$H$23:$H$24,$AA35))+(((1-$AD35))*TREND($I$18:$I$19,$H$18:$H$19,$AA35))))</f>
        <v>0</v>
      </c>
      <c r="AF35" s="45" cm="1">
        <f t="array" ref="AF35">IF($AD35=0,0,TREND($K$12:$K$13,$H$12:$H$13,$AA35)*((($AD35)*TREND($J$23:$J$24,$H$23:$H$24,$AA35))+(((1-$AD35))*TREND($J$18:$J$19,$H$18:$H$19,$AA35))))</f>
        <v>0</v>
      </c>
      <c r="AG35" s="45" cm="1">
        <f t="array" ref="AG35">IF($AD35=0,0,TREND($K$12:$K$13,$H$12:$H$13,$AA35)*((($AD35)*TREND($K$23:$K$24,$H$23:$H$24,$AA35)))+(((1-$AD35))*TREND($K$18:$K$19,$H$18:$H$19,$AA35)))</f>
        <v>0</v>
      </c>
      <c r="AH35" s="45" cm="1">
        <f t="array" ref="AH35">IF($AD35=0,0,TREND($K$12:$K$13,$H$12:$H$13,$AA35)*((($AD35)*TREND($L$23:$L$24,$H$23:$H$24,$AA35))+(((1-$AD35))*TREND($L$18:$L$19,$H$18:$H$19,$AA35))))</f>
        <v>0</v>
      </c>
      <c r="AI35" s="45" cm="1">
        <f t="array" ref="AI35">IF($AD35=0,0,TREND($K$12:$K$13,$H$12:$H$13,$AA35)*((($AD35)*TREND($M$23:$M$24,$H$23:$H$24,$AA35))+(((1-$AD35))*TREND($M$18:$M$19,$H$18:$H$19,$AA35))))</f>
        <v>0</v>
      </c>
      <c r="AJ35" s="59">
        <f>IF(AA35&lt;=Assumptions!$D$15,SUMPRODUCT($I$7:$M$7,AE35:AI35),0)</f>
        <v>0</v>
      </c>
    </row>
    <row r="36" spans="7:36" ht="15" customHeight="1" x14ac:dyDescent="0.25">
      <c r="O36" s="496"/>
      <c r="P36" s="44">
        <f t="shared" si="3"/>
        <v>2048</v>
      </c>
      <c r="Q36" s="21" t="str">
        <f>IF(P36=Assumptions!$D$45,"Construction First Year",IF(P36=Assumptions!$D$45+Assumptions!$D$46-1,"Construction Last Year","No"))</f>
        <v>No</v>
      </c>
      <c r="R36" s="45" cm="1">
        <f t="array" ref="R36">IF(OR(Q36="Construction First Year",Q36="Construction Last Year"),TREND($I$12:$I$13,$H$12:$H$13,P36)*TREND($I$18:$I$19,$H$18:$H$19,P36),0)</f>
        <v>0</v>
      </c>
      <c r="S36" s="45" cm="1">
        <f t="array" ref="S36">IF(OR(Q36="Construction First Year",Q36="Construction Last Year"),TREND($I$12:$I$13,$H$12:$H$13,P36)*TREND($J$18:$J$19,$H$18:$H$19,P36),0)</f>
        <v>0</v>
      </c>
      <c r="T36" s="45" cm="1">
        <f t="array" ref="T36">IF(OR(Q36="Construction First Year",Q36="Construction Last Year"),TREND($I$12:$I$13,$H$12:$H$13,P36)*TREND($K$18:$K$19,$H$18:$H$19,P36),0)</f>
        <v>0</v>
      </c>
      <c r="U36" s="45" cm="1">
        <f t="array" ref="U36">IF(OR(Q36="Construction First Year",Q36="Construction Last Year"),TREND($I$12:$I$13,$H$12:$H$13,P36)*TREND($L$18:$L$19,$H$18:$H$19,P36),0)</f>
        <v>0</v>
      </c>
      <c r="V36" s="45" cm="1">
        <f t="array" ref="V36">IF(OR(Q36="Construction First Year",Q36="Construction Last Year"),TREND($I$12:$I$13,$H$12:$H$13,P36)*TREND($M$18:$M$19,$H$18:$H$19,P36),0)</f>
        <v>0</v>
      </c>
      <c r="W36" s="59">
        <f>IF(P36&lt;=Assumptions!$D$15,SUMPRODUCT($I$7:$M$7,R36:V36),0)</f>
        <v>0</v>
      </c>
      <c r="Z36" s="496"/>
      <c r="AA36" s="44">
        <f t="shared" si="4"/>
        <v>2048</v>
      </c>
      <c r="AB36" s="21" t="str">
        <f>IF(AA36=Assumptions!$D$45,"Construction First Year",IF(AA36=Assumptions!$D$45+Assumptions!$D$46-1,"Construction Last Year","No"))</f>
        <v>No</v>
      </c>
      <c r="AC36" s="21">
        <f>IF(AB36="Construction First Year",Assumptions!$D$47/12,IF(AB36="Construction Last Year",Assumptions!$D$48/12,0))</f>
        <v>0</v>
      </c>
      <c r="AD36" s="390">
        <f>AC36*VOC_Construction!$O$27</f>
        <v>0</v>
      </c>
      <c r="AE36" s="45" cm="1">
        <f t="array" ref="AE36">IF($AD36=0,0,TREND($K$12:$K$13,$H$12:$H$13,$AA36)*((($AD36)*TREND($I$23:$I$24,$H$23:$H$24,$AA36))+(((1-$AD36))*TREND($I$18:$I$19,$H$18:$H$19,$AA36))))</f>
        <v>0</v>
      </c>
      <c r="AF36" s="45" cm="1">
        <f t="array" ref="AF36">IF($AD36=0,0,TREND($K$12:$K$13,$H$12:$H$13,$AA36)*((($AD36)*TREND($J$23:$J$24,$H$23:$H$24,$AA36))+(((1-$AD36))*TREND($J$18:$J$19,$H$18:$H$19,$AA36))))</f>
        <v>0</v>
      </c>
      <c r="AG36" s="45" cm="1">
        <f t="array" ref="AG36">IF($AD36=0,0,TREND($K$12:$K$13,$H$12:$H$13,$AA36)*((($AD36)*TREND($K$23:$K$24,$H$23:$H$24,$AA36)))+(((1-$AD36))*TREND($K$18:$K$19,$H$18:$H$19,$AA36)))</f>
        <v>0</v>
      </c>
      <c r="AH36" s="45" cm="1">
        <f t="array" ref="AH36">IF($AD36=0,0,TREND($K$12:$K$13,$H$12:$H$13,$AA36)*((($AD36)*TREND($L$23:$L$24,$H$23:$H$24,$AA36))+(((1-$AD36))*TREND($L$18:$L$19,$H$18:$H$19,$AA36))))</f>
        <v>0</v>
      </c>
      <c r="AI36" s="45" cm="1">
        <f t="array" ref="AI36">IF($AD36=0,0,TREND($K$12:$K$13,$H$12:$H$13,$AA36)*((($AD36)*TREND($M$23:$M$24,$H$23:$H$24,$AA36))+(((1-$AD36))*TREND($M$18:$M$19,$H$18:$H$19,$AA36))))</f>
        <v>0</v>
      </c>
      <c r="AJ36" s="59">
        <f>IF(AA36&lt;=Assumptions!$D$15,SUMPRODUCT($I$7:$M$7,AE36:AI36),0)</f>
        <v>0</v>
      </c>
    </row>
    <row r="37" spans="7:36" ht="15" customHeight="1" x14ac:dyDescent="0.25">
      <c r="O37" s="496"/>
      <c r="P37" s="44">
        <f t="shared" si="3"/>
        <v>2049</v>
      </c>
      <c r="Q37" s="21" t="str">
        <f>IF(P37=Assumptions!$D$45,"Construction First Year",IF(P37=Assumptions!$D$45+Assumptions!$D$46-1,"Construction Last Year","No"))</f>
        <v>No</v>
      </c>
      <c r="R37" s="45" cm="1">
        <f t="array" ref="R37">IF(OR(Q37="Construction First Year",Q37="Construction Last Year"),TREND($I$12:$I$13,$H$12:$H$13,P37)*TREND($I$18:$I$19,$H$18:$H$19,P37),0)</f>
        <v>0</v>
      </c>
      <c r="S37" s="45" cm="1">
        <f t="array" ref="S37">IF(OR(Q37="Construction First Year",Q37="Construction Last Year"),TREND($I$12:$I$13,$H$12:$H$13,P37)*TREND($J$18:$J$19,$H$18:$H$19,P37),0)</f>
        <v>0</v>
      </c>
      <c r="T37" s="45" cm="1">
        <f t="array" ref="T37">IF(OR(Q37="Construction First Year",Q37="Construction Last Year"),TREND($I$12:$I$13,$H$12:$H$13,P37)*TREND($K$18:$K$19,$H$18:$H$19,P37),0)</f>
        <v>0</v>
      </c>
      <c r="U37" s="45" cm="1">
        <f t="array" ref="U37">IF(OR(Q37="Construction First Year",Q37="Construction Last Year"),TREND($I$12:$I$13,$H$12:$H$13,P37)*TREND($L$18:$L$19,$H$18:$H$19,P37),0)</f>
        <v>0</v>
      </c>
      <c r="V37" s="45" cm="1">
        <f t="array" ref="V37">IF(OR(Q37="Construction First Year",Q37="Construction Last Year"),TREND($I$12:$I$13,$H$12:$H$13,P37)*TREND($M$18:$M$19,$H$18:$H$19,P37),0)</f>
        <v>0</v>
      </c>
      <c r="W37" s="59">
        <f>IF(P37&lt;=Assumptions!$D$15,SUMPRODUCT($I$7:$M$7,R37:V37),0)</f>
        <v>0</v>
      </c>
      <c r="Z37" s="496"/>
      <c r="AA37" s="44">
        <f t="shared" si="4"/>
        <v>2049</v>
      </c>
      <c r="AB37" s="21" t="str">
        <f>IF(AA37=Assumptions!$D$45,"Construction First Year",IF(AA37=Assumptions!$D$45+Assumptions!$D$46-1,"Construction Last Year","No"))</f>
        <v>No</v>
      </c>
      <c r="AC37" s="21">
        <f>IF(AB37="Construction First Year",Assumptions!$D$47/12,IF(AB37="Construction Last Year",Assumptions!$D$48/12,0))</f>
        <v>0</v>
      </c>
      <c r="AD37" s="390">
        <f>AC37*VOC_Construction!$O$27</f>
        <v>0</v>
      </c>
      <c r="AE37" s="45" cm="1">
        <f t="array" ref="AE37">IF($AD37=0,0,TREND($K$12:$K$13,$H$12:$H$13,$AA37)*((($AD37)*TREND($I$23:$I$24,$H$23:$H$24,$AA37))+(((1-$AD37))*TREND($I$18:$I$19,$H$18:$H$19,$AA37))))</f>
        <v>0</v>
      </c>
      <c r="AF37" s="45" cm="1">
        <f t="array" ref="AF37">IF($AD37=0,0,TREND($K$12:$K$13,$H$12:$H$13,$AA37)*((($AD37)*TREND($J$23:$J$24,$H$23:$H$24,$AA37))+(((1-$AD37))*TREND($J$18:$J$19,$H$18:$H$19,$AA37))))</f>
        <v>0</v>
      </c>
      <c r="AG37" s="45" cm="1">
        <f t="array" ref="AG37">IF($AD37=0,0,TREND($K$12:$K$13,$H$12:$H$13,$AA37)*((($AD37)*TREND($K$23:$K$24,$H$23:$H$24,$AA37)))+(((1-$AD37))*TREND($K$18:$K$19,$H$18:$H$19,$AA37)))</f>
        <v>0</v>
      </c>
      <c r="AH37" s="45" cm="1">
        <f t="array" ref="AH37">IF($AD37=0,0,TREND($K$12:$K$13,$H$12:$H$13,$AA37)*((($AD37)*TREND($L$23:$L$24,$H$23:$H$24,$AA37))+(((1-$AD37))*TREND($L$18:$L$19,$H$18:$H$19,$AA37))))</f>
        <v>0</v>
      </c>
      <c r="AI37" s="45" cm="1">
        <f t="array" ref="AI37">IF($AD37=0,0,TREND($K$12:$K$13,$H$12:$H$13,$AA37)*((($AD37)*TREND($M$23:$M$24,$H$23:$H$24,$AA37))+(((1-$AD37))*TREND($M$18:$M$19,$H$18:$H$19,$AA37))))</f>
        <v>0</v>
      </c>
      <c r="AJ37" s="59">
        <f>IF(AA37&lt;=Assumptions!$D$15,SUMPRODUCT($I$7:$M$7,AE37:AI37),0)</f>
        <v>0</v>
      </c>
    </row>
    <row r="38" spans="7:36" x14ac:dyDescent="0.25">
      <c r="O38" s="496"/>
      <c r="P38" s="44">
        <f t="shared" si="3"/>
        <v>2050</v>
      </c>
      <c r="Q38" s="21" t="str">
        <f>IF(P38=Assumptions!$D$45,"Construction First Year",IF(P38=Assumptions!$D$45+Assumptions!$D$46-1,"Construction Last Year","No"))</f>
        <v>No</v>
      </c>
      <c r="R38" s="45" cm="1">
        <f t="array" ref="R38">IF(OR(Q38="Construction First Year",Q38="Construction Last Year"),TREND($I$12:$I$13,$H$12:$H$13,P38)*TREND($I$18:$I$19,$H$18:$H$19,P38),0)</f>
        <v>0</v>
      </c>
      <c r="S38" s="45" cm="1">
        <f t="array" ref="S38">IF(OR(Q38="Construction First Year",Q38="Construction Last Year"),TREND($I$12:$I$13,$H$12:$H$13,P38)*TREND($J$18:$J$19,$H$18:$H$19,P38),0)</f>
        <v>0</v>
      </c>
      <c r="T38" s="45" cm="1">
        <f t="array" ref="T38">IF(OR(Q38="Construction First Year",Q38="Construction Last Year"),TREND($I$12:$I$13,$H$12:$H$13,P38)*TREND($K$18:$K$19,$H$18:$H$19,P38),0)</f>
        <v>0</v>
      </c>
      <c r="U38" s="45" cm="1">
        <f t="array" ref="U38">IF(OR(Q38="Construction First Year",Q38="Construction Last Year"),TREND($I$12:$I$13,$H$12:$H$13,P38)*TREND($L$18:$L$19,$H$18:$H$19,P38),0)</f>
        <v>0</v>
      </c>
      <c r="V38" s="45" cm="1">
        <f t="array" ref="V38">IF(OR(Q38="Construction First Year",Q38="Construction Last Year"),TREND($I$12:$I$13,$H$12:$H$13,P38)*TREND($M$18:$M$19,$H$18:$H$19,P38),0)</f>
        <v>0</v>
      </c>
      <c r="W38" s="59">
        <f>IF(P38&lt;=Assumptions!$D$15,SUMPRODUCT($I$7:$M$7,R38:V38),0)</f>
        <v>0</v>
      </c>
      <c r="Z38" s="496"/>
      <c r="AA38" s="44">
        <f t="shared" si="4"/>
        <v>2050</v>
      </c>
      <c r="AB38" s="21" t="str">
        <f>IF(AA38=Assumptions!$D$45,"Construction First Year",IF(AA38=Assumptions!$D$45+Assumptions!$D$46-1,"Construction Last Year","No"))</f>
        <v>No</v>
      </c>
      <c r="AC38" s="21">
        <f>IF(AB38="Construction First Year",Assumptions!$D$47/12,IF(AB38="Construction Last Year",Assumptions!$D$48/12,0))</f>
        <v>0</v>
      </c>
      <c r="AD38" s="390">
        <f>AC38*VOC_Construction!$O$27</f>
        <v>0</v>
      </c>
      <c r="AE38" s="45" cm="1">
        <f t="array" ref="AE38">IF($AD38=0,0,TREND($K$12:$K$13,$H$12:$H$13,$AA38)*((($AD38)*TREND($I$23:$I$24,$H$23:$H$24,$AA38))+(((1-$AD38))*TREND($I$18:$I$19,$H$18:$H$19,$AA38))))</f>
        <v>0</v>
      </c>
      <c r="AF38" s="45" cm="1">
        <f t="array" ref="AF38">IF($AD38=0,0,TREND($K$12:$K$13,$H$12:$H$13,$AA38)*((($AD38)*TREND($J$23:$J$24,$H$23:$H$24,$AA38))+(((1-$AD38))*TREND($J$18:$J$19,$H$18:$H$19,$AA38))))</f>
        <v>0</v>
      </c>
      <c r="AG38" s="45" cm="1">
        <f t="array" ref="AG38">IF($AD38=0,0,TREND($K$12:$K$13,$H$12:$H$13,$AA38)*((($AD38)*TREND($K$23:$K$24,$H$23:$H$24,$AA38)))+(((1-$AD38))*TREND($K$18:$K$19,$H$18:$H$19,$AA38)))</f>
        <v>0</v>
      </c>
      <c r="AH38" s="45" cm="1">
        <f t="array" ref="AH38">IF($AD38=0,0,TREND($K$12:$K$13,$H$12:$H$13,$AA38)*((($AD38)*TREND($L$23:$L$24,$H$23:$H$24,$AA38))+(((1-$AD38))*TREND($L$18:$L$19,$H$18:$H$19,$AA38))))</f>
        <v>0</v>
      </c>
      <c r="AI38" s="45" cm="1">
        <f t="array" ref="AI38">IF($AD38=0,0,TREND($K$12:$K$13,$H$12:$H$13,$AA38)*((($AD38)*TREND($M$23:$M$24,$H$23:$H$24,$AA38))+(((1-$AD38))*TREND($M$18:$M$19,$H$18:$H$19,$AA38))))</f>
        <v>0</v>
      </c>
      <c r="AJ38" s="59">
        <f>IF(AA38&lt;=Assumptions!$D$15,SUMPRODUCT($I$7:$M$7,AE38:AI38),0)</f>
        <v>0</v>
      </c>
    </row>
    <row r="39" spans="7:36" ht="15" customHeight="1" x14ac:dyDescent="0.25">
      <c r="O39" s="496"/>
      <c r="P39" s="44">
        <f t="shared" si="3"/>
        <v>2051</v>
      </c>
      <c r="Q39" s="21" t="str">
        <f>IF(P39=Assumptions!$D$45,"Construction First Year",IF(P39=Assumptions!$D$45+Assumptions!$D$46-1,"Construction Last Year","No"))</f>
        <v>No</v>
      </c>
      <c r="R39" s="45" cm="1">
        <f t="array" ref="R39">IF(OR(Q39="Construction First Year",Q39="Construction Last Year"),TREND($I$12:$I$13,$H$12:$H$13,P39)*TREND($I$18:$I$19,$H$18:$H$19,P39),0)</f>
        <v>0</v>
      </c>
      <c r="S39" s="45" cm="1">
        <f t="array" ref="S39">IF(OR(Q39="Construction First Year",Q39="Construction Last Year"),TREND($I$12:$I$13,$H$12:$H$13,P39)*TREND($J$18:$J$19,$H$18:$H$19,P39),0)</f>
        <v>0</v>
      </c>
      <c r="T39" s="45" cm="1">
        <f t="array" ref="T39">IF(OR(Q39="Construction First Year",Q39="Construction Last Year"),TREND($I$12:$I$13,$H$12:$H$13,P39)*TREND($K$18:$K$19,$H$18:$H$19,P39),0)</f>
        <v>0</v>
      </c>
      <c r="U39" s="45" cm="1">
        <f t="array" ref="U39">IF(OR(Q39="Construction First Year",Q39="Construction Last Year"),TREND($I$12:$I$13,$H$12:$H$13,P39)*TREND($L$18:$L$19,$H$18:$H$19,P39),0)</f>
        <v>0</v>
      </c>
      <c r="V39" s="45" cm="1">
        <f t="array" ref="V39">IF(OR(Q39="Construction First Year",Q39="Construction Last Year"),TREND($I$12:$I$13,$H$12:$H$13,P39)*TREND($M$18:$M$19,$H$18:$H$19,P39),0)</f>
        <v>0</v>
      </c>
      <c r="W39" s="59">
        <f>IF(P39&lt;=Assumptions!$D$15,SUMPRODUCT($I$7:$M$7,R39:V39),0)</f>
        <v>0</v>
      </c>
      <c r="Z39" s="496"/>
      <c r="AA39" s="44">
        <f t="shared" si="4"/>
        <v>2051</v>
      </c>
      <c r="AB39" s="21" t="str">
        <f>IF(AA39=Assumptions!$D$45,"Construction First Year",IF(AA39=Assumptions!$D$45+Assumptions!$D$46-1,"Construction Last Year","No"))</f>
        <v>No</v>
      </c>
      <c r="AC39" s="21">
        <f>IF(AB39="Construction First Year",Assumptions!$D$47/12,IF(AB39="Construction Last Year",Assumptions!$D$48/12,0))</f>
        <v>0</v>
      </c>
      <c r="AD39" s="390">
        <f>AC39*VOC_Construction!$O$27</f>
        <v>0</v>
      </c>
      <c r="AE39" s="45" cm="1">
        <f t="array" ref="AE39">IF($AD39=0,0,TREND($K$12:$K$13,$H$12:$H$13,$AA39)*((($AD39)*TREND($I$23:$I$24,$H$23:$H$24,$AA39))+(((1-$AD39))*TREND($I$18:$I$19,$H$18:$H$19,$AA39))))</f>
        <v>0</v>
      </c>
      <c r="AF39" s="45" cm="1">
        <f t="array" ref="AF39">IF($AD39=0,0,TREND($K$12:$K$13,$H$12:$H$13,$AA39)*((($AD39)*TREND($J$23:$J$24,$H$23:$H$24,$AA39))+(((1-$AD39))*TREND($J$18:$J$19,$H$18:$H$19,$AA39))))</f>
        <v>0</v>
      </c>
      <c r="AG39" s="45" cm="1">
        <f t="array" ref="AG39">IF($AD39=0,0,TREND($K$12:$K$13,$H$12:$H$13,$AA39)*((($AD39)*TREND($K$23:$K$24,$H$23:$H$24,$AA39)))+(((1-$AD39))*TREND($K$18:$K$19,$H$18:$H$19,$AA39)))</f>
        <v>0</v>
      </c>
      <c r="AH39" s="45" cm="1">
        <f t="array" ref="AH39">IF($AD39=0,0,TREND($K$12:$K$13,$H$12:$H$13,$AA39)*((($AD39)*TREND($L$23:$L$24,$H$23:$H$24,$AA39))+(((1-$AD39))*TREND($L$18:$L$19,$H$18:$H$19,$AA39))))</f>
        <v>0</v>
      </c>
      <c r="AI39" s="45" cm="1">
        <f t="array" ref="AI39">IF($AD39=0,0,TREND($K$12:$K$13,$H$12:$H$13,$AA39)*((($AD39)*TREND($M$23:$M$24,$H$23:$H$24,$AA39))+(((1-$AD39))*TREND($M$18:$M$19,$H$18:$H$19,$AA39))))</f>
        <v>0</v>
      </c>
      <c r="AJ39" s="59">
        <f>IF(AA39&lt;=Assumptions!$D$15,SUMPRODUCT($I$7:$M$7,AE39:AI39),0)</f>
        <v>0</v>
      </c>
    </row>
    <row r="40" spans="7:36" ht="15" customHeight="1" x14ac:dyDescent="0.25">
      <c r="O40" s="496"/>
      <c r="P40" s="44">
        <f t="shared" si="3"/>
        <v>2052</v>
      </c>
      <c r="Q40" s="21" t="str">
        <f>IF(P40=Assumptions!$D$45,"Construction First Year",IF(P40=Assumptions!$D$45+Assumptions!$D$46-1,"Construction Last Year","No"))</f>
        <v>No</v>
      </c>
      <c r="R40" s="45" cm="1">
        <f t="array" ref="R40">IF(OR(Q40="Construction First Year",Q40="Construction Last Year"),TREND($I$12:$I$13,$H$12:$H$13,P40)*TREND($I$18:$I$19,$H$18:$H$19,P40),0)</f>
        <v>0</v>
      </c>
      <c r="S40" s="45" cm="1">
        <f t="array" ref="S40">IF(OR(Q40="Construction First Year",Q40="Construction Last Year"),TREND($I$12:$I$13,$H$12:$H$13,P40)*TREND($J$18:$J$19,$H$18:$H$19,P40),0)</f>
        <v>0</v>
      </c>
      <c r="T40" s="45" cm="1">
        <f t="array" ref="T40">IF(OR(Q40="Construction First Year",Q40="Construction Last Year"),TREND($I$12:$I$13,$H$12:$H$13,P40)*TREND($K$18:$K$19,$H$18:$H$19,P40),0)</f>
        <v>0</v>
      </c>
      <c r="U40" s="45" cm="1">
        <f t="array" ref="U40">IF(OR(Q40="Construction First Year",Q40="Construction Last Year"),TREND($I$12:$I$13,$H$12:$H$13,P40)*TREND($L$18:$L$19,$H$18:$H$19,P40),0)</f>
        <v>0</v>
      </c>
      <c r="V40" s="45" cm="1">
        <f t="array" ref="V40">IF(OR(Q40="Construction First Year",Q40="Construction Last Year"),TREND($I$12:$I$13,$H$12:$H$13,P40)*TREND($M$18:$M$19,$H$18:$H$19,P40),0)</f>
        <v>0</v>
      </c>
      <c r="W40" s="59">
        <f>IF(P40&lt;=Assumptions!$D$15,SUMPRODUCT($I$7:$M$7,R40:V40),0)</f>
        <v>0</v>
      </c>
      <c r="Z40" s="496"/>
      <c r="AA40" s="44">
        <f t="shared" si="4"/>
        <v>2052</v>
      </c>
      <c r="AB40" s="21" t="str">
        <f>IF(AA40=Assumptions!$D$45,"Construction First Year",IF(AA40=Assumptions!$D$45+Assumptions!$D$46-1,"Construction Last Year","No"))</f>
        <v>No</v>
      </c>
      <c r="AC40" s="21">
        <f>IF(AB40="Construction First Year",Assumptions!$D$47/12,IF(AB40="Construction Last Year",Assumptions!$D$48/12,0))</f>
        <v>0</v>
      </c>
      <c r="AD40" s="390">
        <f>AC40*VOC_Construction!$O$27</f>
        <v>0</v>
      </c>
      <c r="AE40" s="45" cm="1">
        <f t="array" ref="AE40">IF($AD40=0,0,TREND($K$12:$K$13,$H$12:$H$13,$AA40)*((($AD40)*TREND($I$23:$I$24,$H$23:$H$24,$AA40))+(((1-$AD40))*TREND($I$18:$I$19,$H$18:$H$19,$AA40))))</f>
        <v>0</v>
      </c>
      <c r="AF40" s="45" cm="1">
        <f t="array" ref="AF40">IF($AD40=0,0,TREND($K$12:$K$13,$H$12:$H$13,$AA40)*((($AD40)*TREND($J$23:$J$24,$H$23:$H$24,$AA40))+(((1-$AD40))*TREND($J$18:$J$19,$H$18:$H$19,$AA40))))</f>
        <v>0</v>
      </c>
      <c r="AG40" s="45" cm="1">
        <f t="array" ref="AG40">IF($AD40=0,0,TREND($K$12:$K$13,$H$12:$H$13,$AA40)*((($AD40)*TREND($K$23:$K$24,$H$23:$H$24,$AA40)))+(((1-$AD40))*TREND($K$18:$K$19,$H$18:$H$19,$AA40)))</f>
        <v>0</v>
      </c>
      <c r="AH40" s="45" cm="1">
        <f t="array" ref="AH40">IF($AD40=0,0,TREND($K$12:$K$13,$H$12:$H$13,$AA40)*((($AD40)*TREND($L$23:$L$24,$H$23:$H$24,$AA40))+(((1-$AD40))*TREND($L$18:$L$19,$H$18:$H$19,$AA40))))</f>
        <v>0</v>
      </c>
      <c r="AI40" s="45" cm="1">
        <f t="array" ref="AI40">IF($AD40=0,0,TREND($K$12:$K$13,$H$12:$H$13,$AA40)*((($AD40)*TREND($M$23:$M$24,$H$23:$H$24,$AA40))+(((1-$AD40))*TREND($M$18:$M$19,$H$18:$H$19,$AA40))))</f>
        <v>0</v>
      </c>
      <c r="AJ40" s="59">
        <f>IF(AA40&lt;=Assumptions!$D$15,SUMPRODUCT($I$7:$M$7,AE40:AI40),0)</f>
        <v>0</v>
      </c>
    </row>
    <row r="41" spans="7:36" ht="15" customHeight="1" x14ac:dyDescent="0.25">
      <c r="O41" s="496"/>
      <c r="P41" s="44">
        <f t="shared" si="3"/>
        <v>2053</v>
      </c>
      <c r="Q41" s="21" t="str">
        <f>IF(P41=Assumptions!$D$45,"Construction First Year",IF(P41=Assumptions!$D$45+Assumptions!$D$46-1,"Construction Last Year","No"))</f>
        <v>No</v>
      </c>
      <c r="R41" s="45" cm="1">
        <f t="array" ref="R41">IF(OR(Q41="Construction First Year",Q41="Construction Last Year"),TREND($I$12:$I$13,$H$12:$H$13,P41)*TREND($I$18:$I$19,$H$18:$H$19,P41),0)</f>
        <v>0</v>
      </c>
      <c r="S41" s="45" cm="1">
        <f t="array" ref="S41">IF(OR(Q41="Construction First Year",Q41="Construction Last Year"),TREND($I$12:$I$13,$H$12:$H$13,P41)*TREND($J$18:$J$19,$H$18:$H$19,P41),0)</f>
        <v>0</v>
      </c>
      <c r="T41" s="45" cm="1">
        <f t="array" ref="T41">IF(OR(Q41="Construction First Year",Q41="Construction Last Year"),TREND($I$12:$I$13,$H$12:$H$13,P41)*TREND($K$18:$K$19,$H$18:$H$19,P41),0)</f>
        <v>0</v>
      </c>
      <c r="U41" s="45" cm="1">
        <f t="array" ref="U41">IF(OR(Q41="Construction First Year",Q41="Construction Last Year"),TREND($I$12:$I$13,$H$12:$H$13,P41)*TREND($L$18:$L$19,$H$18:$H$19,P41),0)</f>
        <v>0</v>
      </c>
      <c r="V41" s="45" cm="1">
        <f t="array" ref="V41">IF(OR(Q41="Construction First Year",Q41="Construction Last Year"),TREND($I$12:$I$13,$H$12:$H$13,P41)*TREND($M$18:$M$19,$H$18:$H$19,P41),0)</f>
        <v>0</v>
      </c>
      <c r="W41" s="59">
        <f>IF(P41&lt;=Assumptions!$D$15,SUMPRODUCT($I$7:$M$7,R41:V41),0)</f>
        <v>0</v>
      </c>
      <c r="Z41" s="496"/>
      <c r="AA41" s="44">
        <f t="shared" si="4"/>
        <v>2053</v>
      </c>
      <c r="AB41" s="21" t="str">
        <f>IF(AA41=Assumptions!$D$45,"Construction First Year",IF(AA41=Assumptions!$D$45+Assumptions!$D$46-1,"Construction Last Year","No"))</f>
        <v>No</v>
      </c>
      <c r="AC41" s="21">
        <f>IF(AB41="Construction First Year",Assumptions!$D$47/12,IF(AB41="Construction Last Year",Assumptions!$D$48/12,0))</f>
        <v>0</v>
      </c>
      <c r="AD41" s="390">
        <f>AC41*VOC_Construction!$O$27</f>
        <v>0</v>
      </c>
      <c r="AE41" s="45" cm="1">
        <f t="array" ref="AE41">IF($AD41=0,0,TREND($K$12:$K$13,$H$12:$H$13,$AA41)*((($AD41)*TREND($I$23:$I$24,$H$23:$H$24,$AA41))+(((1-$AD41))*TREND($I$18:$I$19,$H$18:$H$19,$AA41))))</f>
        <v>0</v>
      </c>
      <c r="AF41" s="45" cm="1">
        <f t="array" ref="AF41">IF($AD41=0,0,TREND($K$12:$K$13,$H$12:$H$13,$AA41)*((($AD41)*TREND($J$23:$J$24,$H$23:$H$24,$AA41))+(((1-$AD41))*TREND($J$18:$J$19,$H$18:$H$19,$AA41))))</f>
        <v>0</v>
      </c>
      <c r="AG41" s="45" cm="1">
        <f t="array" ref="AG41">IF($AD41=0,0,TREND($K$12:$K$13,$H$12:$H$13,$AA41)*((($AD41)*TREND($K$23:$K$24,$H$23:$H$24,$AA41)))+(((1-$AD41))*TREND($K$18:$K$19,$H$18:$H$19,$AA41)))</f>
        <v>0</v>
      </c>
      <c r="AH41" s="45" cm="1">
        <f t="array" ref="AH41">IF($AD41=0,0,TREND($K$12:$K$13,$H$12:$H$13,$AA41)*((($AD41)*TREND($L$23:$L$24,$H$23:$H$24,$AA41))+(((1-$AD41))*TREND($L$18:$L$19,$H$18:$H$19,$AA41))))</f>
        <v>0</v>
      </c>
      <c r="AI41" s="45" cm="1">
        <f t="array" ref="AI41">IF($AD41=0,0,TREND($K$12:$K$13,$H$12:$H$13,$AA41)*((($AD41)*TREND($M$23:$M$24,$H$23:$H$24,$AA41))+(((1-$AD41))*TREND($M$18:$M$19,$H$18:$H$19,$AA41))))</f>
        <v>0</v>
      </c>
      <c r="AJ41" s="59">
        <f>IF(AA41&lt;=Assumptions!$D$15,SUMPRODUCT($I$7:$M$7,AE41:AI41),0)</f>
        <v>0</v>
      </c>
    </row>
    <row r="42" spans="7:36" ht="15" customHeight="1" x14ac:dyDescent="0.25">
      <c r="O42" s="496"/>
      <c r="P42" s="44">
        <f t="shared" si="3"/>
        <v>2054</v>
      </c>
      <c r="Q42" s="21" t="str">
        <f>IF(P42=Assumptions!$D$45,"Construction First Year",IF(P42=Assumptions!$D$45+Assumptions!$D$46-1,"Construction Last Year","No"))</f>
        <v>No</v>
      </c>
      <c r="R42" s="45" cm="1">
        <f t="array" ref="R42">IF(OR(Q42="Construction First Year",Q42="Construction Last Year"),TREND($I$12:$I$13,$H$12:$H$13,P42)*TREND($I$18:$I$19,$H$18:$H$19,P42),0)</f>
        <v>0</v>
      </c>
      <c r="S42" s="45" cm="1">
        <f t="array" ref="S42">IF(OR(Q42="Construction First Year",Q42="Construction Last Year"),TREND($I$12:$I$13,$H$12:$H$13,P42)*TREND($J$18:$J$19,$H$18:$H$19,P42),0)</f>
        <v>0</v>
      </c>
      <c r="T42" s="45" cm="1">
        <f t="array" ref="T42">IF(OR(Q42="Construction First Year",Q42="Construction Last Year"),TREND($I$12:$I$13,$H$12:$H$13,P42)*TREND($K$18:$K$19,$H$18:$H$19,P42),0)</f>
        <v>0</v>
      </c>
      <c r="U42" s="45" cm="1">
        <f t="array" ref="U42">IF(OR(Q42="Construction First Year",Q42="Construction Last Year"),TREND($I$12:$I$13,$H$12:$H$13,P42)*TREND($L$18:$L$19,$H$18:$H$19,P42),0)</f>
        <v>0</v>
      </c>
      <c r="V42" s="45" cm="1">
        <f t="array" ref="V42">IF(OR(Q42="Construction First Year",Q42="Construction Last Year"),TREND($I$12:$I$13,$H$12:$H$13,P42)*TREND($M$18:$M$19,$H$18:$H$19,P42),0)</f>
        <v>0</v>
      </c>
      <c r="W42" s="59">
        <f>IF(P42&lt;=Assumptions!$D$15,SUMPRODUCT($I$7:$M$7,R42:V42),0)</f>
        <v>0</v>
      </c>
      <c r="Z42" s="496"/>
      <c r="AA42" s="44">
        <f t="shared" si="4"/>
        <v>2054</v>
      </c>
      <c r="AB42" s="21" t="str">
        <f>IF(AA42=Assumptions!$D$45,"Construction First Year",IF(AA42=Assumptions!$D$45+Assumptions!$D$46-1,"Construction Last Year","No"))</f>
        <v>No</v>
      </c>
      <c r="AC42" s="21">
        <f>IF(AB42="Construction First Year",Assumptions!$D$47/12,IF(AB42="Construction Last Year",Assumptions!$D$48/12,0))</f>
        <v>0</v>
      </c>
      <c r="AD42" s="390">
        <f>AC42*VOC_Construction!$O$27</f>
        <v>0</v>
      </c>
      <c r="AE42" s="45" cm="1">
        <f t="array" ref="AE42">IF($AD42=0,0,TREND($K$12:$K$13,$H$12:$H$13,$AA42)*((($AD42)*TREND($I$23:$I$24,$H$23:$H$24,$AA42))+(((1-$AD42))*TREND($I$18:$I$19,$H$18:$H$19,$AA42))))</f>
        <v>0</v>
      </c>
      <c r="AF42" s="45" cm="1">
        <f t="array" ref="AF42">IF($AD42=0,0,TREND($K$12:$K$13,$H$12:$H$13,$AA42)*((($AD42)*TREND($J$23:$J$24,$H$23:$H$24,$AA42))+(((1-$AD42))*TREND($J$18:$J$19,$H$18:$H$19,$AA42))))</f>
        <v>0</v>
      </c>
      <c r="AG42" s="45" cm="1">
        <f t="array" ref="AG42">IF($AD42=0,0,TREND($K$12:$K$13,$H$12:$H$13,$AA42)*((($AD42)*TREND($K$23:$K$24,$H$23:$H$24,$AA42)))+(((1-$AD42))*TREND($K$18:$K$19,$H$18:$H$19,$AA42)))</f>
        <v>0</v>
      </c>
      <c r="AH42" s="45" cm="1">
        <f t="array" ref="AH42">IF($AD42=0,0,TREND($K$12:$K$13,$H$12:$H$13,$AA42)*((($AD42)*TREND($L$23:$L$24,$H$23:$H$24,$AA42))+(((1-$AD42))*TREND($L$18:$L$19,$H$18:$H$19,$AA42))))</f>
        <v>0</v>
      </c>
      <c r="AI42" s="45" cm="1">
        <f t="array" ref="AI42">IF($AD42=0,0,TREND($K$12:$K$13,$H$12:$H$13,$AA42)*((($AD42)*TREND($M$23:$M$24,$H$23:$H$24,$AA42))+(((1-$AD42))*TREND($M$18:$M$19,$H$18:$H$19,$AA42))))</f>
        <v>0</v>
      </c>
      <c r="AJ42" s="59">
        <f>IF(AA42&lt;=Assumptions!$D$15,SUMPRODUCT($I$7:$M$7,AE42:AI42),0)</f>
        <v>0</v>
      </c>
    </row>
    <row r="43" spans="7:36" ht="15" customHeight="1" x14ac:dyDescent="0.25">
      <c r="O43" s="496"/>
      <c r="P43" s="44">
        <f t="shared" si="3"/>
        <v>2055</v>
      </c>
      <c r="Q43" s="21" t="str">
        <f>IF(P43=Assumptions!$D$45,"Construction First Year",IF(P43=Assumptions!$D$45+Assumptions!$D$46-1,"Construction Last Year","No"))</f>
        <v>No</v>
      </c>
      <c r="R43" s="45" cm="1">
        <f t="array" ref="R43">IF(OR(Q43="Construction First Year",Q43="Construction Last Year"),TREND($I$12:$I$13,$H$12:$H$13,P43)*TREND($I$18:$I$19,$H$18:$H$19,P43),0)</f>
        <v>0</v>
      </c>
      <c r="S43" s="45" cm="1">
        <f t="array" ref="S43">IF(OR(Q43="Construction First Year",Q43="Construction Last Year"),TREND($I$12:$I$13,$H$12:$H$13,P43)*TREND($J$18:$J$19,$H$18:$H$19,P43),0)</f>
        <v>0</v>
      </c>
      <c r="T43" s="45" cm="1">
        <f t="array" ref="T43">IF(OR(Q43="Construction First Year",Q43="Construction Last Year"),TREND($I$12:$I$13,$H$12:$H$13,P43)*TREND($K$18:$K$19,$H$18:$H$19,P43),0)</f>
        <v>0</v>
      </c>
      <c r="U43" s="45" cm="1">
        <f t="array" ref="U43">IF(OR(Q43="Construction First Year",Q43="Construction Last Year"),TREND($I$12:$I$13,$H$12:$H$13,P43)*TREND($L$18:$L$19,$H$18:$H$19,P43),0)</f>
        <v>0</v>
      </c>
      <c r="V43" s="45" cm="1">
        <f t="array" ref="V43">IF(OR(Q43="Construction First Year",Q43="Construction Last Year"),TREND($I$12:$I$13,$H$12:$H$13,P43)*TREND($M$18:$M$19,$H$18:$H$19,P43),0)</f>
        <v>0</v>
      </c>
      <c r="W43" s="59">
        <f>IF(P43&lt;=Assumptions!$D$15,SUMPRODUCT($I$7:$M$7,R43:V43),0)</f>
        <v>0</v>
      </c>
      <c r="Z43" s="496"/>
      <c r="AA43" s="44">
        <f t="shared" si="4"/>
        <v>2055</v>
      </c>
      <c r="AB43" s="21" t="str">
        <f>IF(AA43=Assumptions!$D$45,"Construction First Year",IF(AA43=Assumptions!$D$45+Assumptions!$D$46-1,"Construction Last Year","No"))</f>
        <v>No</v>
      </c>
      <c r="AC43" s="21">
        <f>IF(AB43="Construction First Year",Assumptions!$D$47/12,IF(AB43="Construction Last Year",Assumptions!$D$48/12,0))</f>
        <v>0</v>
      </c>
      <c r="AD43" s="390">
        <f>AC43*VOC_Construction!$O$27</f>
        <v>0</v>
      </c>
      <c r="AE43" s="45" cm="1">
        <f t="array" ref="AE43">IF($AD43=0,0,TREND($K$12:$K$13,$H$12:$H$13,$AA43)*((($AD43)*TREND($I$23:$I$24,$H$23:$H$24,$AA43))+(((1-$AD43))*TREND($I$18:$I$19,$H$18:$H$19,$AA43))))</f>
        <v>0</v>
      </c>
      <c r="AF43" s="45" cm="1">
        <f t="array" ref="AF43">IF($AD43=0,0,TREND($K$12:$K$13,$H$12:$H$13,$AA43)*((($AD43)*TREND($J$23:$J$24,$H$23:$H$24,$AA43))+(((1-$AD43))*TREND($J$18:$J$19,$H$18:$H$19,$AA43))))</f>
        <v>0</v>
      </c>
      <c r="AG43" s="45" cm="1">
        <f t="array" ref="AG43">IF($AD43=0,0,TREND($K$12:$K$13,$H$12:$H$13,$AA43)*((($AD43)*TREND($K$23:$K$24,$H$23:$H$24,$AA43)))+(((1-$AD43))*TREND($K$18:$K$19,$H$18:$H$19,$AA43)))</f>
        <v>0</v>
      </c>
      <c r="AH43" s="45" cm="1">
        <f t="array" ref="AH43">IF($AD43=0,0,TREND($K$12:$K$13,$H$12:$H$13,$AA43)*((($AD43)*TREND($L$23:$L$24,$H$23:$H$24,$AA43))+(((1-$AD43))*TREND($L$18:$L$19,$H$18:$H$19,$AA43))))</f>
        <v>0</v>
      </c>
      <c r="AI43" s="45" cm="1">
        <f t="array" ref="AI43">IF($AD43=0,0,TREND($K$12:$K$13,$H$12:$H$13,$AA43)*((($AD43)*TREND($M$23:$M$24,$H$23:$H$24,$AA43))+(((1-$AD43))*TREND($M$18:$M$19,$H$18:$H$19,$AA43))))</f>
        <v>0</v>
      </c>
      <c r="AJ43" s="59">
        <f>IF(AA43&lt;=Assumptions!$D$15,SUMPRODUCT($I$7:$M$7,AE43:AI43),0)</f>
        <v>0</v>
      </c>
    </row>
    <row r="44" spans="7:36" ht="15" customHeight="1" x14ac:dyDescent="0.25">
      <c r="G44" s="32"/>
      <c r="O44" s="496"/>
      <c r="P44" s="44">
        <f t="shared" si="3"/>
        <v>2056</v>
      </c>
      <c r="Q44" s="21" t="str">
        <f>IF(P44=Assumptions!$D$45,"Construction First Year",IF(P44=Assumptions!$D$45+Assumptions!$D$46-1,"Construction Last Year","No"))</f>
        <v>No</v>
      </c>
      <c r="R44" s="45" cm="1">
        <f t="array" ref="R44">IF(OR(Q44="Construction First Year",Q44="Construction Last Year"),TREND($I$12:$I$13,$H$12:$H$13,P44)*TREND($I$18:$I$19,$H$18:$H$19,P44),0)</f>
        <v>0</v>
      </c>
      <c r="S44" s="45" cm="1">
        <f t="array" ref="S44">IF(OR(Q44="Construction First Year",Q44="Construction Last Year"),TREND($I$12:$I$13,$H$12:$H$13,P44)*TREND($J$18:$J$19,$H$18:$H$19,P44),0)</f>
        <v>0</v>
      </c>
      <c r="T44" s="45" cm="1">
        <f t="array" ref="T44">IF(OR(Q44="Construction First Year",Q44="Construction Last Year"),TREND($I$12:$I$13,$H$12:$H$13,P44)*TREND($K$18:$K$19,$H$18:$H$19,P44),0)</f>
        <v>0</v>
      </c>
      <c r="U44" s="45" cm="1">
        <f t="array" ref="U44">IF(OR(Q44="Construction First Year",Q44="Construction Last Year"),TREND($I$12:$I$13,$H$12:$H$13,P44)*TREND($L$18:$L$19,$H$18:$H$19,P44),0)</f>
        <v>0</v>
      </c>
      <c r="V44" s="45" cm="1">
        <f t="array" ref="V44">IF(OR(Q44="Construction First Year",Q44="Construction Last Year"),TREND($I$12:$I$13,$H$12:$H$13,P44)*TREND($M$18:$M$19,$H$18:$H$19,P44),0)</f>
        <v>0</v>
      </c>
      <c r="W44" s="59">
        <f>IF(P44&lt;=Assumptions!$D$15,SUMPRODUCT($I$7:$M$7,R44:V44),0)</f>
        <v>0</v>
      </c>
      <c r="Z44" s="496"/>
      <c r="AA44" s="44">
        <f t="shared" si="4"/>
        <v>2056</v>
      </c>
      <c r="AB44" s="21" t="str">
        <f>IF(AA44=Assumptions!$D$45,"Construction First Year",IF(AA44=Assumptions!$D$45+Assumptions!$D$46-1,"Construction Last Year","No"))</f>
        <v>No</v>
      </c>
      <c r="AC44" s="21">
        <f>IF(AB44="Construction First Year",Assumptions!$D$47/12,IF(AB44="Construction Last Year",Assumptions!$D$48/12,0))</f>
        <v>0</v>
      </c>
      <c r="AD44" s="390">
        <f>AC44*VOC_Construction!$O$27</f>
        <v>0</v>
      </c>
      <c r="AE44" s="45" cm="1">
        <f t="array" ref="AE44">IF($AD44=0,0,TREND($K$12:$K$13,$H$12:$H$13,$AA44)*((($AD44)*TREND($I$23:$I$24,$H$23:$H$24,$AA44))+(((1-$AD44))*TREND($I$18:$I$19,$H$18:$H$19,$AA44))))</f>
        <v>0</v>
      </c>
      <c r="AF44" s="45" cm="1">
        <f t="array" ref="AF44">IF($AD44=0,0,TREND($K$12:$K$13,$H$12:$H$13,$AA44)*((($AD44)*TREND($J$23:$J$24,$H$23:$H$24,$AA44))+(((1-$AD44))*TREND($J$18:$J$19,$H$18:$H$19,$AA44))))</f>
        <v>0</v>
      </c>
      <c r="AG44" s="45" cm="1">
        <f t="array" ref="AG44">IF($AD44=0,0,TREND($K$12:$K$13,$H$12:$H$13,$AA44)*((($AD44)*TREND($K$23:$K$24,$H$23:$H$24,$AA44)))+(((1-$AD44))*TREND($K$18:$K$19,$H$18:$H$19,$AA44)))</f>
        <v>0</v>
      </c>
      <c r="AH44" s="45" cm="1">
        <f t="array" ref="AH44">IF($AD44=0,0,TREND($K$12:$K$13,$H$12:$H$13,$AA44)*((($AD44)*TREND($L$23:$L$24,$H$23:$H$24,$AA44))+(((1-$AD44))*TREND($L$18:$L$19,$H$18:$H$19,$AA44))))</f>
        <v>0</v>
      </c>
      <c r="AI44" s="45" cm="1">
        <f t="array" ref="AI44">IF($AD44=0,0,TREND($K$12:$K$13,$H$12:$H$13,$AA44)*((($AD44)*TREND($M$23:$M$24,$H$23:$H$24,$AA44))+(((1-$AD44))*TREND($M$18:$M$19,$H$18:$H$19,$AA44))))</f>
        <v>0</v>
      </c>
      <c r="AJ44" s="59">
        <f>IF(AA44&lt;=Assumptions!$D$15,SUMPRODUCT($I$7:$M$7,AE44:AI44),0)</f>
        <v>0</v>
      </c>
    </row>
    <row r="45" spans="7:36" ht="15" customHeight="1" x14ac:dyDescent="0.25">
      <c r="O45" s="496"/>
      <c r="P45" s="44">
        <f t="shared" si="3"/>
        <v>2057</v>
      </c>
      <c r="Q45" s="21" t="str">
        <f>IF(P45=Assumptions!$D$45,"Construction First Year",IF(P45=Assumptions!$D$45+Assumptions!$D$46-1,"Construction Last Year","No"))</f>
        <v>No</v>
      </c>
      <c r="R45" s="45" cm="1">
        <f t="array" ref="R45">IF(OR(Q45="Construction First Year",Q45="Construction Last Year"),TREND($I$12:$I$13,$H$12:$H$13,P45)*TREND($I$18:$I$19,$H$18:$H$19,P45),0)</f>
        <v>0</v>
      </c>
      <c r="S45" s="45" cm="1">
        <f t="array" ref="S45">IF(OR(Q45="Construction First Year",Q45="Construction Last Year"),TREND($I$12:$I$13,$H$12:$H$13,P45)*TREND($J$18:$J$19,$H$18:$H$19,P45),0)</f>
        <v>0</v>
      </c>
      <c r="T45" s="45" cm="1">
        <f t="array" ref="T45">IF(OR(Q45="Construction First Year",Q45="Construction Last Year"),TREND($I$12:$I$13,$H$12:$H$13,P45)*TREND($K$18:$K$19,$H$18:$H$19,P45),0)</f>
        <v>0</v>
      </c>
      <c r="U45" s="45" cm="1">
        <f t="array" ref="U45">IF(OR(Q45="Construction First Year",Q45="Construction Last Year"),TREND($I$12:$I$13,$H$12:$H$13,P45)*TREND($L$18:$L$19,$H$18:$H$19,P45),0)</f>
        <v>0</v>
      </c>
      <c r="V45" s="45" cm="1">
        <f t="array" ref="V45">IF(OR(Q45="Construction First Year",Q45="Construction Last Year"),TREND($I$12:$I$13,$H$12:$H$13,P45)*TREND($M$18:$M$19,$H$18:$H$19,P45),0)</f>
        <v>0</v>
      </c>
      <c r="W45" s="59">
        <f>IF(P45&lt;=Assumptions!$D$15,SUMPRODUCT($I$7:$M$7,R45:V45),0)</f>
        <v>0</v>
      </c>
      <c r="Z45" s="496"/>
      <c r="AA45" s="44">
        <f t="shared" si="4"/>
        <v>2057</v>
      </c>
      <c r="AB45" s="21" t="str">
        <f>IF(AA45=Assumptions!$D$45,"Construction First Year",IF(AA45=Assumptions!$D$45+Assumptions!$D$46-1,"Construction Last Year","No"))</f>
        <v>No</v>
      </c>
      <c r="AC45" s="21">
        <f>IF(AB45="Construction First Year",Assumptions!$D$47/12,IF(AB45="Construction Last Year",Assumptions!$D$48/12,0))</f>
        <v>0</v>
      </c>
      <c r="AD45" s="390">
        <f>AC45*VOC_Construction!$O$27</f>
        <v>0</v>
      </c>
      <c r="AE45" s="45" cm="1">
        <f t="array" ref="AE45">IF($AD45=0,0,TREND($K$12:$K$13,$H$12:$H$13,$AA45)*((($AD45)*TREND($I$23:$I$24,$H$23:$H$24,$AA45))+(((1-$AD45))*TREND($I$18:$I$19,$H$18:$H$19,$AA45))))</f>
        <v>0</v>
      </c>
      <c r="AF45" s="45" cm="1">
        <f t="array" ref="AF45">IF($AD45=0,0,TREND($K$12:$K$13,$H$12:$H$13,$AA45)*((($AD45)*TREND($J$23:$J$24,$H$23:$H$24,$AA45))+(((1-$AD45))*TREND($J$18:$J$19,$H$18:$H$19,$AA45))))</f>
        <v>0</v>
      </c>
      <c r="AG45" s="45" cm="1">
        <f t="array" ref="AG45">IF($AD45=0,0,TREND($K$12:$K$13,$H$12:$H$13,$AA45)*((($AD45)*TREND($K$23:$K$24,$H$23:$H$24,$AA45)))+(((1-$AD45))*TREND($K$18:$K$19,$H$18:$H$19,$AA45)))</f>
        <v>0</v>
      </c>
      <c r="AH45" s="45" cm="1">
        <f t="array" ref="AH45">IF($AD45=0,0,TREND($K$12:$K$13,$H$12:$H$13,$AA45)*((($AD45)*TREND($L$23:$L$24,$H$23:$H$24,$AA45))+(((1-$AD45))*TREND($L$18:$L$19,$H$18:$H$19,$AA45))))</f>
        <v>0</v>
      </c>
      <c r="AI45" s="45" cm="1">
        <f t="array" ref="AI45">IF($AD45=0,0,TREND($K$12:$K$13,$H$12:$H$13,$AA45)*((($AD45)*TREND($M$23:$M$24,$H$23:$H$24,$AA45))+(((1-$AD45))*TREND($M$18:$M$19,$H$18:$H$19,$AA45))))</f>
        <v>0</v>
      </c>
      <c r="AJ45" s="59">
        <f>IF(AA45&lt;=Assumptions!$D$15,SUMPRODUCT($I$7:$M$7,AE45:AI45),0)</f>
        <v>0</v>
      </c>
    </row>
    <row r="46" spans="7:36" x14ac:dyDescent="0.25">
      <c r="H46" s="7"/>
      <c r="I46" s="7"/>
      <c r="J46" s="7"/>
      <c r="K46" s="7"/>
      <c r="L46" s="7"/>
      <c r="M46" s="7"/>
      <c r="O46" s="496"/>
      <c r="P46" s="44">
        <f t="shared" si="3"/>
        <v>2058</v>
      </c>
      <c r="Q46" s="21" t="str">
        <f>IF(P46=Assumptions!$D$45,"Construction First Year",IF(P46=Assumptions!$D$45+Assumptions!$D$46-1,"Construction Last Year","No"))</f>
        <v>No</v>
      </c>
      <c r="R46" s="45" cm="1">
        <f t="array" ref="R46">IF(OR(Q46="Construction First Year",Q46="Construction Last Year"),TREND($I$12:$I$13,$H$12:$H$13,P46)*TREND($I$18:$I$19,$H$18:$H$19,P46),0)</f>
        <v>0</v>
      </c>
      <c r="S46" s="45" cm="1">
        <f t="array" ref="S46">IF(OR(Q46="Construction First Year",Q46="Construction Last Year"),TREND($I$12:$I$13,$H$12:$H$13,P46)*TREND($J$18:$J$19,$H$18:$H$19,P46),0)</f>
        <v>0</v>
      </c>
      <c r="T46" s="45" cm="1">
        <f t="array" ref="T46">IF(OR(Q46="Construction First Year",Q46="Construction Last Year"),TREND($I$12:$I$13,$H$12:$H$13,P46)*TREND($K$18:$K$19,$H$18:$H$19,P46),0)</f>
        <v>0</v>
      </c>
      <c r="U46" s="45" cm="1">
        <f t="array" ref="U46">IF(OR(Q46="Construction First Year",Q46="Construction Last Year"),TREND($I$12:$I$13,$H$12:$H$13,P46)*TREND($L$18:$L$19,$H$18:$H$19,P46),0)</f>
        <v>0</v>
      </c>
      <c r="V46" s="45" cm="1">
        <f t="array" ref="V46">IF(OR(Q46="Construction First Year",Q46="Construction Last Year"),TREND($I$12:$I$13,$H$12:$H$13,P46)*TREND($M$18:$M$19,$H$18:$H$19,P46),0)</f>
        <v>0</v>
      </c>
      <c r="W46" s="59">
        <f>IF(P46&lt;=Assumptions!$D$15,SUMPRODUCT($I$7:$M$7,R46:V46),0)</f>
        <v>0</v>
      </c>
      <c r="Z46" s="496"/>
      <c r="AA46" s="44">
        <f t="shared" si="4"/>
        <v>2058</v>
      </c>
      <c r="AB46" s="21" t="str">
        <f>IF(AA46=Assumptions!$D$45,"Construction First Year",IF(AA46=Assumptions!$D$45+Assumptions!$D$46-1,"Construction Last Year","No"))</f>
        <v>No</v>
      </c>
      <c r="AC46" s="21">
        <f>IF(AB46="Construction First Year",Assumptions!$D$47/12,IF(AB46="Construction Last Year",Assumptions!$D$48/12,0))</f>
        <v>0</v>
      </c>
      <c r="AD46" s="390">
        <f>AC46*VOC_Construction!$O$27</f>
        <v>0</v>
      </c>
      <c r="AE46" s="45" cm="1">
        <f t="array" ref="AE46">IF($AD46=0,0,TREND($K$12:$K$13,$H$12:$H$13,$AA46)*((($AD46)*TREND($I$23:$I$24,$H$23:$H$24,$AA46))+(((1-$AD46))*TREND($I$18:$I$19,$H$18:$H$19,$AA46))))</f>
        <v>0</v>
      </c>
      <c r="AF46" s="45" cm="1">
        <f t="array" ref="AF46">IF($AD46=0,0,TREND($K$12:$K$13,$H$12:$H$13,$AA46)*((($AD46)*TREND($J$23:$J$24,$H$23:$H$24,$AA46))+(((1-$AD46))*TREND($J$18:$J$19,$H$18:$H$19,$AA46))))</f>
        <v>0</v>
      </c>
      <c r="AG46" s="45" cm="1">
        <f t="array" ref="AG46">IF($AD46=0,0,TREND($K$12:$K$13,$H$12:$H$13,$AA46)*((($AD46)*TREND($K$23:$K$24,$H$23:$H$24,$AA46)))+(((1-$AD46))*TREND($K$18:$K$19,$H$18:$H$19,$AA46)))</f>
        <v>0</v>
      </c>
      <c r="AH46" s="45" cm="1">
        <f t="array" ref="AH46">IF($AD46=0,0,TREND($K$12:$K$13,$H$12:$H$13,$AA46)*((($AD46)*TREND($L$23:$L$24,$H$23:$H$24,$AA46))+(((1-$AD46))*TREND($L$18:$L$19,$H$18:$H$19,$AA46))))</f>
        <v>0</v>
      </c>
      <c r="AI46" s="45" cm="1">
        <f t="array" ref="AI46">IF($AD46=0,0,TREND($K$12:$K$13,$H$12:$H$13,$AA46)*((($AD46)*TREND($M$23:$M$24,$H$23:$H$24,$AA46))+(((1-$AD46))*TREND($M$18:$M$19,$H$18:$H$19,$AA46))))</f>
        <v>0</v>
      </c>
      <c r="AJ46" s="59">
        <f>IF(AA46&lt;=Assumptions!$D$15,SUMPRODUCT($I$7:$M$7,AE46:AI46),0)</f>
        <v>0</v>
      </c>
    </row>
    <row r="47" spans="7:36" ht="15" customHeight="1" x14ac:dyDescent="0.25">
      <c r="H47" s="7"/>
      <c r="I47" s="7"/>
      <c r="J47" s="7"/>
      <c r="K47" s="7"/>
      <c r="L47" s="7"/>
      <c r="M47" s="7"/>
      <c r="O47" s="497"/>
      <c r="P47" s="44">
        <f t="shared" si="3"/>
        <v>2059</v>
      </c>
      <c r="Q47" s="21" t="str">
        <f>IF(P47=Assumptions!$D$45,"Construction First Year",IF(P47=Assumptions!$D$45+Assumptions!$D$46-1,"Construction Last Year","No"))</f>
        <v>No</v>
      </c>
      <c r="R47" s="45" cm="1">
        <f t="array" ref="R47">IF(OR(Q47="Construction First Year",Q47="Construction Last Year"),TREND($I$12:$I$13,$H$12:$H$13,P47)*TREND($I$18:$I$19,$H$18:$H$19,P47),0)</f>
        <v>0</v>
      </c>
      <c r="S47" s="45" cm="1">
        <f t="array" ref="S47">IF(OR(Q47="Construction First Year",Q47="Construction Last Year"),TREND($I$12:$I$13,$H$12:$H$13,P47)*TREND($J$18:$J$19,$H$18:$H$19,P47),0)</f>
        <v>0</v>
      </c>
      <c r="T47" s="45" cm="1">
        <f t="array" ref="T47">IF(OR(Q47="Construction First Year",Q47="Construction Last Year"),TREND($I$12:$I$13,$H$12:$H$13,P47)*TREND($K$18:$K$19,$H$18:$H$19,P47),0)</f>
        <v>0</v>
      </c>
      <c r="U47" s="45" cm="1">
        <f t="array" ref="U47">IF(OR(Q47="Construction First Year",Q47="Construction Last Year"),TREND($I$12:$I$13,$H$12:$H$13,P47)*TREND($L$18:$L$19,$H$18:$H$19,P47),0)</f>
        <v>0</v>
      </c>
      <c r="V47" s="45" cm="1">
        <f t="array" ref="V47">IF(OR(Q47="Construction First Year",Q47="Construction Last Year"),TREND($I$12:$I$13,$H$12:$H$13,P47)*TREND($M$18:$M$19,$H$18:$H$19,P47),0)</f>
        <v>0</v>
      </c>
      <c r="W47" s="59">
        <f>IF(P47&lt;=Assumptions!$D$15,SUMPRODUCT($I$7:$M$7,R47:V47),0)</f>
        <v>0</v>
      </c>
      <c r="Z47" s="497"/>
      <c r="AA47" s="44">
        <f t="shared" si="4"/>
        <v>2059</v>
      </c>
      <c r="AB47" s="21" t="str">
        <f>IF(AA47=Assumptions!$D$45,"Construction First Year",IF(AA47=Assumptions!$D$45+Assumptions!$D$46-1,"Construction Last Year","No"))</f>
        <v>No</v>
      </c>
      <c r="AC47" s="21">
        <f>IF(AB47="Construction First Year",Assumptions!$D$47/12,IF(AB47="Construction Last Year",Assumptions!$D$48/12,0))</f>
        <v>0</v>
      </c>
      <c r="AD47" s="390">
        <f>AC47*VOC_Construction!$O$27</f>
        <v>0</v>
      </c>
      <c r="AE47" s="45" cm="1">
        <f t="array" ref="AE47">IF($AD47=0,0,TREND($K$12:$K$13,$H$12:$H$13,$AA47)*((($AD47)*TREND($I$23:$I$24,$H$23:$H$24,$AA47))+(((1-$AD47))*TREND($I$18:$I$19,$H$18:$H$19,$AA47))))</f>
        <v>0</v>
      </c>
      <c r="AF47" s="45" cm="1">
        <f t="array" ref="AF47">IF($AD47=0,0,TREND($K$12:$K$13,$H$12:$H$13,$AA47)*((($AD47)*TREND($J$23:$J$24,$H$23:$H$24,$AA47))+(((1-$AD47))*TREND($J$18:$J$19,$H$18:$H$19,$AA47))))</f>
        <v>0</v>
      </c>
      <c r="AG47" s="45" cm="1">
        <f t="array" ref="AG47">IF($AD47=0,0,TREND($K$12:$K$13,$H$12:$H$13,$AA47)*((($AD47)*TREND($K$23:$K$24,$H$23:$H$24,$AA47)))+(((1-$AD47))*TREND($K$18:$K$19,$H$18:$H$19,$AA47)))</f>
        <v>0</v>
      </c>
      <c r="AH47" s="45" cm="1">
        <f t="array" ref="AH47">IF($AD47=0,0,TREND($K$12:$K$13,$H$12:$H$13,$AA47)*((($AD47)*TREND($L$23:$L$24,$H$23:$H$24,$AA47))+(((1-$AD47))*TREND($L$18:$L$19,$H$18:$H$19,$AA47))))</f>
        <v>0</v>
      </c>
      <c r="AI47" s="45" cm="1">
        <f t="array" ref="AI47">IF($AD47=0,0,TREND($K$12:$K$13,$H$12:$H$13,$AA47)*((($AD47)*TREND($M$23:$M$24,$H$23:$H$24,$AA47))+(((1-$AD47))*TREND($M$18:$M$19,$H$18:$H$19,$AA47))))</f>
        <v>0</v>
      </c>
      <c r="AJ47" s="59">
        <f>IF(AA47&lt;=Assumptions!$D$15,SUMPRODUCT($I$7:$M$7,AE47:AI47),0)</f>
        <v>0</v>
      </c>
    </row>
    <row r="48" spans="7:36" ht="15" customHeight="1" x14ac:dyDescent="0.25">
      <c r="O48" s="480" t="s">
        <v>900</v>
      </c>
      <c r="P48" s="480"/>
      <c r="Q48" s="480"/>
      <c r="R48" s="480"/>
      <c r="S48" s="480"/>
      <c r="T48" s="480"/>
      <c r="U48" s="480"/>
      <c r="V48" s="480"/>
      <c r="W48" s="480"/>
      <c r="Z48" s="480" t="s">
        <v>901</v>
      </c>
      <c r="AA48" s="480"/>
      <c r="AB48" s="480"/>
      <c r="AC48" s="480"/>
      <c r="AD48" s="480"/>
      <c r="AE48" s="480"/>
      <c r="AF48" s="480"/>
      <c r="AG48" s="480"/>
      <c r="AH48" s="480"/>
      <c r="AI48" s="480"/>
      <c r="AJ48" s="480"/>
    </row>
    <row r="49" spans="14:36" x14ac:dyDescent="0.25">
      <c r="O49" s="441"/>
      <c r="P49" s="441"/>
      <c r="Q49" s="441"/>
      <c r="R49" s="441"/>
      <c r="S49" s="441"/>
      <c r="T49" s="441"/>
      <c r="U49" s="441"/>
      <c r="V49" s="441"/>
      <c r="W49" s="441"/>
      <c r="Z49" s="441"/>
      <c r="AA49" s="441"/>
      <c r="AB49" s="441"/>
      <c r="AC49" s="441"/>
      <c r="AD49" s="441"/>
      <c r="AE49" s="441"/>
      <c r="AF49" s="441"/>
      <c r="AG49" s="441"/>
      <c r="AH49" s="441"/>
      <c r="AI49" s="441"/>
      <c r="AJ49" s="441"/>
    </row>
    <row r="50" spans="14:36" ht="15" customHeight="1" x14ac:dyDescent="0.25">
      <c r="O50" s="441"/>
      <c r="P50" s="441"/>
      <c r="Q50" s="441"/>
      <c r="R50" s="441"/>
      <c r="S50" s="441"/>
      <c r="T50" s="441"/>
      <c r="U50" s="441"/>
      <c r="V50" s="441"/>
      <c r="W50" s="441"/>
      <c r="Z50" s="441"/>
      <c r="AA50" s="441"/>
      <c r="AB50" s="441"/>
      <c r="AC50" s="441"/>
      <c r="AD50" s="441"/>
      <c r="AE50" s="441"/>
      <c r="AF50" s="441"/>
      <c r="AG50" s="441"/>
      <c r="AH50" s="441"/>
      <c r="AI50" s="441"/>
      <c r="AJ50" s="441"/>
    </row>
    <row r="51" spans="14:36" ht="15" customHeight="1" x14ac:dyDescent="0.25">
      <c r="O51" s="441"/>
      <c r="P51" s="441"/>
      <c r="Q51" s="441"/>
      <c r="R51" s="441"/>
      <c r="S51" s="441"/>
      <c r="T51" s="441"/>
      <c r="U51" s="441"/>
      <c r="V51" s="441"/>
      <c r="W51" s="441"/>
      <c r="Z51" s="441"/>
      <c r="AA51" s="441"/>
      <c r="AB51" s="441"/>
      <c r="AC51" s="441"/>
      <c r="AD51" s="441"/>
      <c r="AE51" s="441"/>
      <c r="AF51" s="441"/>
      <c r="AG51" s="441"/>
      <c r="AH51" s="441"/>
      <c r="AI51" s="441"/>
      <c r="AJ51" s="441"/>
    </row>
    <row r="52" spans="14:36" ht="15" customHeight="1" x14ac:dyDescent="0.25">
      <c r="O52" s="441"/>
      <c r="P52" s="441"/>
      <c r="Q52" s="441"/>
      <c r="R52" s="441"/>
      <c r="S52" s="441"/>
      <c r="T52" s="441"/>
      <c r="U52" s="441"/>
      <c r="V52" s="441"/>
      <c r="W52" s="441"/>
      <c r="Z52" s="441"/>
      <c r="AA52" s="441"/>
      <c r="AB52" s="441"/>
      <c r="AC52" s="441"/>
      <c r="AD52" s="441"/>
      <c r="AE52" s="441"/>
      <c r="AF52" s="441"/>
      <c r="AG52" s="441"/>
      <c r="AH52" s="441"/>
      <c r="AI52" s="441"/>
      <c r="AJ52" s="441"/>
    </row>
    <row r="53" spans="14:36" ht="15" customHeight="1" x14ac:dyDescent="0.25">
      <c r="O53" s="7"/>
      <c r="P53" s="7"/>
      <c r="Q53" s="7"/>
      <c r="R53" s="7"/>
      <c r="S53" s="7"/>
      <c r="T53" s="7"/>
      <c r="U53" s="7"/>
      <c r="V53" s="7"/>
      <c r="W53" s="7"/>
      <c r="X53" s="181"/>
      <c r="Y53" s="181"/>
      <c r="Z53" s="7"/>
      <c r="AA53" s="7"/>
      <c r="AB53" s="7"/>
      <c r="AC53" s="7"/>
      <c r="AD53" s="7"/>
      <c r="AE53" s="7"/>
      <c r="AF53" s="7"/>
      <c r="AG53" s="7"/>
      <c r="AH53" s="7"/>
      <c r="AI53" s="7"/>
      <c r="AJ53" s="7"/>
    </row>
    <row r="54" spans="14:36" ht="15" customHeight="1" x14ac:dyDescent="0.25">
      <c r="O54" s="7"/>
      <c r="P54" s="7"/>
      <c r="Q54" s="7"/>
      <c r="R54" s="7"/>
      <c r="S54" s="7"/>
      <c r="T54" s="7"/>
      <c r="U54" s="7"/>
      <c r="V54" s="7"/>
      <c r="W54" s="7"/>
      <c r="X54" s="180"/>
      <c r="Z54" s="7"/>
      <c r="AA54" s="7"/>
      <c r="AB54" s="7"/>
      <c r="AC54" s="7"/>
      <c r="AD54" s="7"/>
      <c r="AE54" s="7"/>
      <c r="AF54" s="7"/>
      <c r="AG54" s="7"/>
      <c r="AH54" s="7"/>
      <c r="AI54" s="7"/>
      <c r="AJ54" s="7"/>
    </row>
    <row r="55" spans="14:36" ht="15" customHeight="1" x14ac:dyDescent="0.25">
      <c r="AI55" s="7"/>
    </row>
    <row r="56" spans="14:36" ht="15" customHeight="1" x14ac:dyDescent="0.25">
      <c r="O56" s="28"/>
      <c r="AI56" s="7"/>
    </row>
    <row r="57" spans="14:36" ht="15" customHeight="1" x14ac:dyDescent="0.25">
      <c r="AI57" s="7"/>
    </row>
    <row r="58" spans="14:36" ht="15" customHeight="1" x14ac:dyDescent="0.25"/>
    <row r="62" spans="14:36" x14ac:dyDescent="0.25">
      <c r="N62" s="7"/>
    </row>
    <row r="63" spans="14:36" x14ac:dyDescent="0.25">
      <c r="N63" s="7"/>
      <c r="X63" s="181"/>
      <c r="Y63" s="181"/>
    </row>
    <row r="64" spans="14:36" x14ac:dyDescent="0.25">
      <c r="X64" s="180"/>
    </row>
    <row r="65" spans="7:7" ht="15" customHeight="1" x14ac:dyDescent="0.25"/>
    <row r="71" spans="7:7" ht="15" customHeight="1" x14ac:dyDescent="0.25"/>
    <row r="80" spans="7:7" x14ac:dyDescent="0.25">
      <c r="G80" s="7"/>
    </row>
    <row r="81" spans="7:7" x14ac:dyDescent="0.25">
      <c r="G81" s="7"/>
    </row>
    <row r="105" spans="23:23" x14ac:dyDescent="0.25">
      <c r="W105" s="3"/>
    </row>
  </sheetData>
  <mergeCells count="13">
    <mergeCell ref="B17:F19"/>
    <mergeCell ref="O48:W52"/>
    <mergeCell ref="Z48:AJ52"/>
    <mergeCell ref="O6:O47"/>
    <mergeCell ref="Z6:Z47"/>
    <mergeCell ref="B21:F23"/>
    <mergeCell ref="B11:F15"/>
    <mergeCell ref="C3:F3"/>
    <mergeCell ref="B4:B5"/>
    <mergeCell ref="C4:C5"/>
    <mergeCell ref="D4:D5"/>
    <mergeCell ref="E4:E5"/>
    <mergeCell ref="F4:F5"/>
  </mergeCells>
  <pageMargins left="0.25" right="0.25" top="0.75" bottom="0.75" header="0.3" footer="0.3"/>
  <pageSetup paperSize="3" scale="4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1E0C-6575-4100-B80E-2BFD177F482A}">
  <sheetPr>
    <tabColor theme="3" tint="0.79998168889431442"/>
  </sheetPr>
  <dimension ref="A2:AC65"/>
  <sheetViews>
    <sheetView view="pageBreakPreview" zoomScale="85" zoomScaleNormal="100" zoomScaleSheetLayoutView="85" workbookViewId="0"/>
  </sheetViews>
  <sheetFormatPr defaultColWidth="9.140625" defaultRowHeight="15" x14ac:dyDescent="0.25"/>
  <cols>
    <col min="1" max="1" width="9.140625" style="2"/>
    <col min="2" max="2" width="10.140625" customWidth="1"/>
    <col min="3" max="3" width="20.140625" customWidth="1"/>
    <col min="4" max="4" width="22.7109375" customWidth="1"/>
    <col min="5" max="5" width="19.85546875" customWidth="1"/>
    <col min="6" max="6" width="22" customWidth="1"/>
    <col min="7" max="7" width="18.5703125" style="3" customWidth="1"/>
    <col min="8" max="8" width="19.7109375" style="3" customWidth="1"/>
    <col min="9" max="9" width="15.7109375" customWidth="1"/>
    <col min="10" max="10" width="24.7109375" customWidth="1"/>
    <col min="11" max="11" width="19" customWidth="1"/>
    <col min="12" max="12" width="19.140625" customWidth="1"/>
    <col min="13" max="13" width="16.85546875" customWidth="1"/>
    <col min="15" max="15" width="44.42578125" customWidth="1"/>
    <col min="16" max="16" width="16.7109375" customWidth="1"/>
    <col min="17" max="18" width="18.5703125" bestFit="1" customWidth="1"/>
    <col min="19" max="19" width="16.42578125" customWidth="1"/>
    <col min="20" max="20" width="11.7109375" bestFit="1" customWidth="1"/>
    <col min="21" max="21" width="16" customWidth="1"/>
    <col min="22" max="22" width="17.7109375" customWidth="1"/>
    <col min="23" max="23" width="25.85546875" customWidth="1"/>
  </cols>
  <sheetData>
    <row r="2" spans="2:24" ht="16.5" customHeight="1" x14ac:dyDescent="0.35">
      <c r="B2" s="1" t="s">
        <v>799</v>
      </c>
      <c r="H2" s="316"/>
    </row>
    <row r="3" spans="2:24" ht="15.75" thickBot="1" x14ac:dyDescent="0.3">
      <c r="I3" s="43"/>
      <c r="J3" s="43"/>
    </row>
    <row r="4" spans="2:24" ht="15.75" thickBot="1" x14ac:dyDescent="0.3">
      <c r="C4" s="508" t="s">
        <v>800</v>
      </c>
      <c r="D4" s="509"/>
      <c r="E4" s="508" t="s">
        <v>801</v>
      </c>
      <c r="F4" s="509"/>
      <c r="G4" s="508" t="s">
        <v>802</v>
      </c>
      <c r="H4" s="510"/>
      <c r="I4" s="510"/>
      <c r="J4" s="510"/>
      <c r="K4" s="509"/>
      <c r="L4" s="510" t="s">
        <v>1</v>
      </c>
      <c r="M4" s="509"/>
    </row>
    <row r="5" spans="2:24" ht="18" customHeight="1" x14ac:dyDescent="0.25">
      <c r="B5" s="445" t="s">
        <v>0</v>
      </c>
      <c r="C5" s="502" t="s">
        <v>803</v>
      </c>
      <c r="D5" s="504" t="s">
        <v>893</v>
      </c>
      <c r="E5" s="502" t="s">
        <v>804</v>
      </c>
      <c r="F5" s="504" t="s">
        <v>805</v>
      </c>
      <c r="G5" s="511" t="s">
        <v>806</v>
      </c>
      <c r="H5" s="513" t="s">
        <v>807</v>
      </c>
      <c r="I5" s="513" t="s">
        <v>808</v>
      </c>
      <c r="J5" s="513" t="s">
        <v>809</v>
      </c>
      <c r="K5" s="515" t="s">
        <v>810</v>
      </c>
      <c r="L5" s="517" t="s">
        <v>811</v>
      </c>
      <c r="M5" s="506" t="s">
        <v>186</v>
      </c>
      <c r="Q5" s="43"/>
    </row>
    <row r="6" spans="2:24" ht="48" customHeight="1" thickBot="1" x14ac:dyDescent="0.3">
      <c r="B6" s="446"/>
      <c r="C6" s="503"/>
      <c r="D6" s="505"/>
      <c r="E6" s="503"/>
      <c r="F6" s="505"/>
      <c r="G6" s="512"/>
      <c r="H6" s="514"/>
      <c r="I6" s="514"/>
      <c r="J6" s="514"/>
      <c r="K6" s="516"/>
      <c r="L6" s="518"/>
      <c r="M6" s="507"/>
      <c r="O6" s="1" t="s">
        <v>861</v>
      </c>
      <c r="R6" s="43"/>
      <c r="X6" s="1" t="s">
        <v>857</v>
      </c>
    </row>
    <row r="7" spans="2:24" x14ac:dyDescent="0.25">
      <c r="B7" s="352">
        <f>Assumptions!D14</f>
        <v>2029</v>
      </c>
      <c r="C7" s="353">
        <f>$S$22*(1+$P$13)^(B7-Assumptions!$D$10)</f>
        <v>16.063390094260054</v>
      </c>
      <c r="D7" s="354">
        <f>$T$22*(1+$P$13)^(B7-Assumptions!$D$10)</f>
        <v>40.225406027709553</v>
      </c>
      <c r="E7" s="353">
        <f>$S$24*(1+$P$13)^(B7-Assumptions!$D$10)</f>
        <v>11.83441814490951</v>
      </c>
      <c r="F7" s="354">
        <f>$T$24*(1+$P$13)^(B7-Assumptions!$D$10)</f>
        <v>31.199829654761434</v>
      </c>
      <c r="G7" s="355">
        <f t="shared" ref="G7:G26" si="0">(C7*$P$34)*$P$28*$P$32*$P$33*$P$36*$P$53</f>
        <v>25696.540880227436</v>
      </c>
      <c r="H7" s="356">
        <f t="shared" ref="H7:H26" si="1">(E7*$P$28+F7*$P$29)*$P$39</f>
        <v>78462.192300750059</v>
      </c>
      <c r="I7" s="356">
        <f>F7*$P$42*$P$29*$P$52</f>
        <v>120119.34417083152</v>
      </c>
      <c r="J7" s="356">
        <f>(E7*$P$28)+(F7*$P$29)*$P$46*$P$17</f>
        <v>33384.834414699006</v>
      </c>
      <c r="K7" s="357">
        <f>E7*$P$17*$P$28*$P$49*$P$52</f>
        <v>1035.0973830445103</v>
      </c>
      <c r="L7" s="358">
        <f>SUM(G7:K7)</f>
        <v>258698.00914955253</v>
      </c>
      <c r="M7" s="357">
        <f>$L7*(1+Assumptions!$D$24)^-($B7-Assumptions!$D$10)</f>
        <v>208921.16050272831</v>
      </c>
      <c r="O7" s="47" t="s">
        <v>812</v>
      </c>
      <c r="P7" s="29" t="s">
        <v>813</v>
      </c>
      <c r="R7" s="307"/>
      <c r="S7" s="3"/>
      <c r="T7" s="3"/>
    </row>
    <row r="8" spans="2:24" x14ac:dyDescent="0.25">
      <c r="B8" s="359">
        <f>B7+1</f>
        <v>2030</v>
      </c>
      <c r="C8" s="360">
        <f>$S$22*(1+$P$13)^(B8-Assumptions!$D$10)</f>
        <v>16.232055690249783</v>
      </c>
      <c r="D8" s="361">
        <f>$T$22*(1+$P$13)^(B8-Assumptions!$D$10)</f>
        <v>40.647772791000506</v>
      </c>
      <c r="E8" s="360">
        <f>$S$24*(1+$P$13)^(B8-Assumptions!$D$10)</f>
        <v>11.95867953543106</v>
      </c>
      <c r="F8" s="361">
        <f>$T$24*(1+$P$13)^(B8-Assumptions!$D$10)</f>
        <v>31.527427866136431</v>
      </c>
      <c r="G8" s="362">
        <f t="shared" si="0"/>
        <v>25966.354559469823</v>
      </c>
      <c r="H8" s="363">
        <f t="shared" si="1"/>
        <v>79286.04531990792</v>
      </c>
      <c r="I8" s="363">
        <f t="shared" ref="I8:I26" si="2">F8*$P$42*$P$29*$P$52</f>
        <v>121380.59728462524</v>
      </c>
      <c r="J8" s="363">
        <f t="shared" ref="J8:J26" si="3">(E8*$P$28)+(F8*$P$29)*$P$46*$P$17</f>
        <v>33735.375176053334</v>
      </c>
      <c r="K8" s="364">
        <f t="shared" ref="K8:K26" si="4">E8*$P$17*$P$28*$P$49*$P$52</f>
        <v>1045.9659055664774</v>
      </c>
      <c r="L8" s="365">
        <f>SUM(G8:K8)</f>
        <v>261414.33824562276</v>
      </c>
      <c r="M8" s="364">
        <f>$L8*(1+Assumptions!$D$24)^-($B8-Assumptions!$D$10)</f>
        <v>204767.05401358573</v>
      </c>
      <c r="O8" s="20" t="s">
        <v>814</v>
      </c>
      <c r="P8" s="332">
        <v>6315</v>
      </c>
      <c r="R8" s="318"/>
      <c r="S8" s="308"/>
      <c r="T8" s="308"/>
    </row>
    <row r="9" spans="2:24" x14ac:dyDescent="0.25">
      <c r="B9" s="359">
        <f t="shared" ref="B9:B24" si="5">B8+1</f>
        <v>2031</v>
      </c>
      <c r="C9" s="360">
        <f>$S$22*(1+$P$13)^(B9-Assumptions!$D$10)</f>
        <v>16.402492274997407</v>
      </c>
      <c r="D9" s="361">
        <f>$T$22*(1+$P$13)^(B9-Assumptions!$D$10)</f>
        <v>41.074574405306009</v>
      </c>
      <c r="E9" s="360">
        <f>$S$24*(1+$P$13)^(B9-Assumptions!$D$10)</f>
        <v>12.084245670553086</v>
      </c>
      <c r="F9" s="361">
        <f>$T$24*(1+$P$13)^(B9-Assumptions!$D$10)</f>
        <v>31.858465858730863</v>
      </c>
      <c r="G9" s="362">
        <f t="shared" si="0"/>
        <v>26239.001282344252</v>
      </c>
      <c r="H9" s="363">
        <f t="shared" si="1"/>
        <v>80118.548795766954</v>
      </c>
      <c r="I9" s="363">
        <f t="shared" si="2"/>
        <v>122655.09355611382</v>
      </c>
      <c r="J9" s="363">
        <f t="shared" si="3"/>
        <v>34089.596615401904</v>
      </c>
      <c r="K9" s="364">
        <f t="shared" si="4"/>
        <v>1056.9485475749254</v>
      </c>
      <c r="L9" s="365">
        <f t="shared" ref="L9:L26" si="6">SUM(G9:K9)</f>
        <v>264159.18879720184</v>
      </c>
      <c r="M9" s="364">
        <f>$L9*(1+Assumptions!$D$24)^-($B9-Assumptions!$D$10)</f>
        <v>200695.54615007609</v>
      </c>
      <c r="O9" s="20" t="s">
        <v>815</v>
      </c>
      <c r="P9" s="332">
        <f>7091-P8</f>
        <v>776</v>
      </c>
      <c r="R9" s="308"/>
      <c r="S9" s="308"/>
      <c r="T9" s="308"/>
    </row>
    <row r="10" spans="2:24" x14ac:dyDescent="0.25">
      <c r="B10" s="359">
        <f t="shared" si="5"/>
        <v>2032</v>
      </c>
      <c r="C10" s="360">
        <f>$S$22*(1+$P$13)^(B10-Assumptions!$D$10)</f>
        <v>16.574718443884883</v>
      </c>
      <c r="D10" s="361">
        <f>$T$22*(1+$P$13)^(B10-Assumptions!$D$10)</f>
        <v>41.505857436561726</v>
      </c>
      <c r="E10" s="360">
        <f>$S$24*(1+$P$13)^(B10-Assumptions!$D$10)</f>
        <v>12.211130250093895</v>
      </c>
      <c r="F10" s="361">
        <f>$T$24*(1+$P$13)^(B10-Assumptions!$D$10)</f>
        <v>32.192979750247538</v>
      </c>
      <c r="G10" s="362">
        <f t="shared" si="0"/>
        <v>26514.510795808874</v>
      </c>
      <c r="H10" s="363">
        <f t="shared" si="1"/>
        <v>80959.793558122532</v>
      </c>
      <c r="I10" s="363">
        <f t="shared" si="2"/>
        <v>123942.97203845299</v>
      </c>
      <c r="J10" s="363">
        <f t="shared" si="3"/>
        <v>34447.537379863628</v>
      </c>
      <c r="K10" s="364">
        <f t="shared" si="4"/>
        <v>1068.0465073244625</v>
      </c>
      <c r="L10" s="365">
        <f t="shared" si="6"/>
        <v>266932.86027957249</v>
      </c>
      <c r="M10" s="364">
        <f>$L10*(1+Assumptions!$D$24)^-($B10-Assumptions!$D$10)</f>
        <v>196704.99455349363</v>
      </c>
      <c r="O10" s="20" t="s">
        <v>816</v>
      </c>
      <c r="P10" s="332">
        <f>8843-P8-P9</f>
        <v>1752</v>
      </c>
      <c r="R10" s="308"/>
      <c r="S10" s="43"/>
      <c r="T10" s="308"/>
    </row>
    <row r="11" spans="2:24" x14ac:dyDescent="0.25">
      <c r="B11" s="359">
        <f t="shared" si="5"/>
        <v>2033</v>
      </c>
      <c r="C11" s="360">
        <f>$S$22*(1+$P$13)^(B11-Assumptions!$D$10)</f>
        <v>16.748752987545672</v>
      </c>
      <c r="D11" s="361">
        <f>$T$22*(1+$P$13)^(B11-Assumptions!$D$10)</f>
        <v>41.941668939645616</v>
      </c>
      <c r="E11" s="360">
        <f>$S$24*(1+$P$13)^(B11-Assumptions!$D$10)</f>
        <v>12.339347117719878</v>
      </c>
      <c r="F11" s="361">
        <f>$T$24*(1+$P$13)^(B11-Assumptions!$D$10)</f>
        <v>32.531006037625133</v>
      </c>
      <c r="G11" s="362">
        <f t="shared" si="0"/>
        <v>26792.913159164862</v>
      </c>
      <c r="H11" s="363">
        <f t="shared" si="1"/>
        <v>81809.871390482789</v>
      </c>
      <c r="I11" s="363">
        <f t="shared" si="2"/>
        <v>125244.37324485676</v>
      </c>
      <c r="J11" s="363">
        <f t="shared" si="3"/>
        <v>34809.236522352185</v>
      </c>
      <c r="K11" s="364">
        <f t="shared" si="4"/>
        <v>1079.2609956513691</v>
      </c>
      <c r="L11" s="365">
        <f t="shared" si="6"/>
        <v>269735.655312508</v>
      </c>
      <c r="M11" s="364">
        <f>$L11*(1+Assumptions!$D$24)^-($B11-Assumptions!$D$10)</f>
        <v>192793.78952114968</v>
      </c>
      <c r="S11" s="43"/>
    </row>
    <row r="12" spans="2:24" x14ac:dyDescent="0.25">
      <c r="B12" s="359">
        <f t="shared" si="5"/>
        <v>2034</v>
      </c>
      <c r="C12" s="360">
        <f>$S$22*(1+$P$13)^(B12-Assumptions!$D$10)</f>
        <v>16.924614893914903</v>
      </c>
      <c r="D12" s="361">
        <f>$T$22*(1+$P$13)^(B12-Assumptions!$D$10)</f>
        <v>42.382056463511901</v>
      </c>
      <c r="E12" s="360">
        <f>$S$24*(1+$P$13)^(B12-Assumptions!$D$10)</f>
        <v>12.468910262455939</v>
      </c>
      <c r="F12" s="361">
        <f>$T$24*(1+$P$13)^(B12-Assumptions!$D$10)</f>
        <v>32.872581601020201</v>
      </c>
      <c r="G12" s="362">
        <f t="shared" si="0"/>
        <v>27074.238747336098</v>
      </c>
      <c r="H12" s="363">
        <f t="shared" si="1"/>
        <v>82668.875040082872</v>
      </c>
      <c r="I12" s="363">
        <f t="shared" si="2"/>
        <v>126559.43916392777</v>
      </c>
      <c r="J12" s="363">
        <f t="shared" si="3"/>
        <v>35174.733505836892</v>
      </c>
      <c r="K12" s="364">
        <f t="shared" si="4"/>
        <v>1090.5932361057087</v>
      </c>
      <c r="L12" s="365">
        <f t="shared" si="6"/>
        <v>272567.87969328935</v>
      </c>
      <c r="M12" s="364">
        <f>$L12*(1+Assumptions!$D$24)^-($B12-Assumptions!$D$10)</f>
        <v>188960.35335705313</v>
      </c>
      <c r="O12" s="1" t="s">
        <v>817</v>
      </c>
    </row>
    <row r="13" spans="2:24" ht="17.25" x14ac:dyDescent="0.25">
      <c r="B13" s="359">
        <f t="shared" si="5"/>
        <v>2035</v>
      </c>
      <c r="C13" s="360">
        <f>$S$22*(1+$P$13)^(B13-Assumptions!$D$10)</f>
        <v>17.102323350301006</v>
      </c>
      <c r="D13" s="361">
        <f>$T$22*(1+$P$13)^(B13-Assumptions!$D$10)</f>
        <v>42.827068056378778</v>
      </c>
      <c r="E13" s="360">
        <f>$S$24*(1+$P$13)^(B13-Assumptions!$D$10)</f>
        <v>12.599833820211726</v>
      </c>
      <c r="F13" s="361">
        <f>$T$24*(1+$P$13)^(B13-Assumptions!$D$10)</f>
        <v>33.217743707830913</v>
      </c>
      <c r="G13" s="362">
        <f t="shared" si="0"/>
        <v>27358.51825418312</v>
      </c>
      <c r="H13" s="363">
        <f t="shared" si="1"/>
        <v>83536.898228003731</v>
      </c>
      <c r="I13" s="363">
        <f t="shared" si="2"/>
        <v>127888.313275149</v>
      </c>
      <c r="J13" s="363">
        <f t="shared" si="3"/>
        <v>35544.068207648175</v>
      </c>
      <c r="K13" s="364">
        <f t="shared" si="4"/>
        <v>1102.0444650848185</v>
      </c>
      <c r="L13" s="365">
        <f t="shared" si="6"/>
        <v>275429.84243006882</v>
      </c>
      <c r="M13" s="364">
        <f>$L13*(1+Assumptions!$D$24)^-($B13-Assumptions!$D$10)</f>
        <v>185203.13973550158</v>
      </c>
      <c r="O13" s="20" t="s">
        <v>818</v>
      </c>
      <c r="P13" s="333">
        <v>1.0500000000000001E-2</v>
      </c>
      <c r="S13" s="43"/>
      <c r="U13" s="306"/>
    </row>
    <row r="14" spans="2:24" ht="17.25" x14ac:dyDescent="0.25">
      <c r="B14" s="359">
        <f t="shared" si="5"/>
        <v>2036</v>
      </c>
      <c r="C14" s="360">
        <f>$S$22*(1+$P$13)^(B14-Assumptions!$D$10)</f>
        <v>17.281897745479171</v>
      </c>
      <c r="D14" s="361">
        <f>$T$22*(1+$P$13)^(B14-Assumptions!$D$10)</f>
        <v>43.276752270970754</v>
      </c>
      <c r="E14" s="360">
        <f>$S$24*(1+$P$13)^(B14-Assumptions!$D$10)</f>
        <v>12.73213207532395</v>
      </c>
      <c r="F14" s="361">
        <f>$T$24*(1+$P$13)^(B14-Assumptions!$D$10)</f>
        <v>33.566530016763139</v>
      </c>
      <c r="G14" s="362">
        <f t="shared" si="0"/>
        <v>27645.782695852045</v>
      </c>
      <c r="H14" s="363">
        <f t="shared" si="1"/>
        <v>84414.035659397778</v>
      </c>
      <c r="I14" s="363">
        <f t="shared" si="2"/>
        <v>129231.14056453806</v>
      </c>
      <c r="J14" s="363">
        <f t="shared" si="3"/>
        <v>35917.280923828483</v>
      </c>
      <c r="K14" s="364">
        <f t="shared" si="4"/>
        <v>1113.6159319682092</v>
      </c>
      <c r="L14" s="365">
        <f t="shared" si="6"/>
        <v>278321.85577558458</v>
      </c>
      <c r="M14" s="364">
        <f>$L14*(1+Assumptions!$D$24)^-($B14-Assumptions!$D$10)</f>
        <v>181520.63307732728</v>
      </c>
      <c r="O14" s="20" t="s">
        <v>819</v>
      </c>
      <c r="P14" s="334">
        <f>5232/SUM(P8:P10)</f>
        <v>0.59165441592219836</v>
      </c>
      <c r="S14" s="43"/>
      <c r="U14" s="131"/>
      <c r="V14" s="306"/>
    </row>
    <row r="15" spans="2:24" ht="17.25" x14ac:dyDescent="0.25">
      <c r="B15" s="359">
        <f t="shared" si="5"/>
        <v>2037</v>
      </c>
      <c r="C15" s="360">
        <f>$S$22*(1+$P$13)^(B15-Assumptions!$D$10)</f>
        <v>17.463357671806701</v>
      </c>
      <c r="D15" s="361">
        <f>$T$22*(1+$P$13)^(B15-Assumptions!$D$10)</f>
        <v>43.731158169815949</v>
      </c>
      <c r="E15" s="360">
        <f>$S$24*(1+$P$13)^(B15-Assumptions!$D$10)</f>
        <v>12.865819462114851</v>
      </c>
      <c r="F15" s="361">
        <f>$T$24*(1+$P$13)^(B15-Assumptions!$D$10)</f>
        <v>33.91897858193915</v>
      </c>
      <c r="G15" s="362">
        <f t="shared" si="0"/>
        <v>27936.063414158496</v>
      </c>
      <c r="H15" s="363">
        <f t="shared" si="1"/>
        <v>85300.383033821447</v>
      </c>
      <c r="I15" s="363">
        <f t="shared" si="2"/>
        <v>130588.06754046571</v>
      </c>
      <c r="J15" s="363">
        <f t="shared" si="3"/>
        <v>36294.412373528685</v>
      </c>
      <c r="K15" s="364">
        <f t="shared" si="4"/>
        <v>1125.3088992538753</v>
      </c>
      <c r="L15" s="365">
        <f t="shared" si="6"/>
        <v>281244.23526122823</v>
      </c>
      <c r="M15" s="364">
        <f>$L15*(1+Assumptions!$D$24)^-($B15-Assumptions!$D$10)</f>
        <v>177911.34793854435</v>
      </c>
      <c r="O15" s="20" t="s">
        <v>820</v>
      </c>
      <c r="P15" s="335">
        <v>5.0000000000000001E-3</v>
      </c>
      <c r="S15" s="43"/>
      <c r="U15" s="131"/>
      <c r="V15" s="131"/>
    </row>
    <row r="16" spans="2:24" ht="17.25" x14ac:dyDescent="0.25">
      <c r="B16" s="359">
        <f t="shared" si="5"/>
        <v>2038</v>
      </c>
      <c r="C16" s="360">
        <f>$S$22*(1+$P$13)^(B16-Assumptions!$D$10)</f>
        <v>17.64672292736067</v>
      </c>
      <c r="D16" s="361">
        <f>$T$22*(1+$P$13)^(B16-Assumptions!$D$10)</f>
        <v>44.190335330599019</v>
      </c>
      <c r="E16" s="360">
        <f>$S$24*(1+$P$13)^(B16-Assumptions!$D$10)</f>
        <v>13.000910566467057</v>
      </c>
      <c r="F16" s="361">
        <f>$T$24*(1+$P$13)^(B16-Assumptions!$D$10)</f>
        <v>34.275127857049512</v>
      </c>
      <c r="G16" s="362">
        <f t="shared" si="0"/>
        <v>28229.392080007157</v>
      </c>
      <c r="H16" s="363">
        <f t="shared" si="1"/>
        <v>86196.037055676585</v>
      </c>
      <c r="I16" s="363">
        <f t="shared" si="2"/>
        <v>131959.24224964061</v>
      </c>
      <c r="J16" s="363">
        <f t="shared" si="3"/>
        <v>36675.503703450733</v>
      </c>
      <c r="K16" s="364">
        <f t="shared" si="4"/>
        <v>1137.1246426960408</v>
      </c>
      <c r="L16" s="365">
        <f t="shared" si="6"/>
        <v>284197.29973147117</v>
      </c>
      <c r="M16" s="364">
        <f>$L16*(1+Assumptions!$D$24)^-($B16-Assumptions!$D$10)</f>
        <v>174373.82841115331</v>
      </c>
      <c r="O16" s="20" t="s">
        <v>854</v>
      </c>
      <c r="P16" s="336">
        <f>48/84.1</f>
        <v>0.57074910820451852</v>
      </c>
      <c r="Q16" s="309"/>
    </row>
    <row r="17" spans="1:23" ht="17.25" customHeight="1" x14ac:dyDescent="0.25">
      <c r="B17" s="359">
        <f t="shared" si="5"/>
        <v>2039</v>
      </c>
      <c r="C17" s="360">
        <f>$S$22*(1+$P$13)^(B17-Assumptions!$D$10)</f>
        <v>17.832013518097959</v>
      </c>
      <c r="D17" s="361">
        <f>$T$22*(1+$P$13)^(B17-Assumptions!$D$10)</f>
        <v>44.654333851570307</v>
      </c>
      <c r="E17" s="360">
        <f>$S$24*(1+$P$13)^(B17-Assumptions!$D$10)</f>
        <v>13.137420127414961</v>
      </c>
      <c r="F17" s="361">
        <f>$T$24*(1+$P$13)^(B17-Assumptions!$D$10)</f>
        <v>34.635016699548537</v>
      </c>
      <c r="G17" s="362">
        <f t="shared" si="0"/>
        <v>28525.800696847233</v>
      </c>
      <c r="H17" s="363">
        <f t="shared" si="1"/>
        <v>87101.095444761202</v>
      </c>
      <c r="I17" s="363">
        <f t="shared" si="2"/>
        <v>133344.81429326185</v>
      </c>
      <c r="J17" s="363">
        <f t="shared" si="3"/>
        <v>37060.596492336968</v>
      </c>
      <c r="K17" s="364">
        <f t="shared" si="4"/>
        <v>1149.0644514443495</v>
      </c>
      <c r="L17" s="365">
        <f t="shared" si="6"/>
        <v>287181.37137865159</v>
      </c>
      <c r="M17" s="364">
        <f>$L17*(1+Assumptions!$D$24)^-($B17-Assumptions!$D$10)</f>
        <v>170906.64753585879</v>
      </c>
      <c r="O17" s="20" t="s">
        <v>821</v>
      </c>
      <c r="P17" s="210">
        <v>2.38</v>
      </c>
      <c r="Q17" s="519" t="s">
        <v>879</v>
      </c>
      <c r="R17" s="519"/>
      <c r="S17" s="519"/>
      <c r="T17" s="519"/>
      <c r="U17" s="519"/>
      <c r="V17" s="519"/>
    </row>
    <row r="18" spans="1:23" ht="17.25" customHeight="1" x14ac:dyDescent="0.25">
      <c r="B18" s="359">
        <f t="shared" si="5"/>
        <v>2040</v>
      </c>
      <c r="C18" s="360">
        <f>$S$22*(1+$P$13)^(B18-Assumptions!$D$10)</f>
        <v>18.019249660037985</v>
      </c>
      <c r="D18" s="361">
        <f>$T$22*(1+$P$13)^(B18-Assumptions!$D$10)</f>
        <v>45.123204357011794</v>
      </c>
      <c r="E18" s="360">
        <f>$S$24*(1+$P$13)^(B18-Assumptions!$D$10)</f>
        <v>13.275363038752817</v>
      </c>
      <c r="F18" s="361">
        <f>$T$24*(1+$P$13)^(B18-Assumptions!$D$10)</f>
        <v>34.998684374893791</v>
      </c>
      <c r="G18" s="362">
        <f t="shared" si="0"/>
        <v>28825.321604164124</v>
      </c>
      <c r="H18" s="363">
        <f t="shared" si="1"/>
        <v>88015.65694693118</v>
      </c>
      <c r="I18" s="363">
        <f t="shared" si="2"/>
        <v>134744.93484334109</v>
      </c>
      <c r="J18" s="363">
        <f t="shared" si="3"/>
        <v>37449.732755506499</v>
      </c>
      <c r="K18" s="364">
        <f t="shared" si="4"/>
        <v>1161.129628184515</v>
      </c>
      <c r="L18" s="365">
        <f t="shared" si="6"/>
        <v>290196.77577812743</v>
      </c>
      <c r="M18" s="364">
        <f>$L18*(1+Assumptions!$D$24)^-($B18-Assumptions!$D$10)</f>
        <v>167508.40672646492</v>
      </c>
      <c r="O18" s="12"/>
      <c r="P18" s="12"/>
      <c r="Q18" s="519"/>
      <c r="R18" s="519"/>
      <c r="S18" s="519"/>
      <c r="T18" s="519"/>
      <c r="U18" s="519"/>
      <c r="V18" s="519"/>
    </row>
    <row r="19" spans="1:23" ht="17.25" x14ac:dyDescent="0.25">
      <c r="B19" s="359">
        <f t="shared" si="5"/>
        <v>2041</v>
      </c>
      <c r="C19" s="360">
        <f>$S$22*(1+$P$13)^(B19-Assumptions!$D$10)</f>
        <v>18.208451781468387</v>
      </c>
      <c r="D19" s="361">
        <f>$T$22*(1+$P$13)^(B19-Assumptions!$D$10)</f>
        <v>45.596998002760422</v>
      </c>
      <c r="E19" s="360">
        <f>$S$24*(1+$P$13)^(B19-Assumptions!$D$10)</f>
        <v>13.414754350659724</v>
      </c>
      <c r="F19" s="361">
        <f>$T$24*(1+$P$13)^(B19-Assumptions!$D$10)</f>
        <v>35.366170560830184</v>
      </c>
      <c r="G19" s="362">
        <f t="shared" si="0"/>
        <v>29127.987481007855</v>
      </c>
      <c r="H19" s="363">
        <f t="shared" si="1"/>
        <v>88939.82134487397</v>
      </c>
      <c r="I19" s="363">
        <f t="shared" si="2"/>
        <v>136159.75665919622</v>
      </c>
      <c r="J19" s="363">
        <f t="shared" si="3"/>
        <v>37842.954949439329</v>
      </c>
      <c r="K19" s="364">
        <f t="shared" si="4"/>
        <v>1173.3214892804526</v>
      </c>
      <c r="L19" s="365">
        <f t="shared" si="6"/>
        <v>293243.84192379785</v>
      </c>
      <c r="M19" s="364">
        <f>$L19*(1+Assumptions!$D$24)^-($B19-Assumptions!$D$10)</f>
        <v>164177.73520571567</v>
      </c>
      <c r="O19" s="1" t="s">
        <v>862</v>
      </c>
      <c r="Q19" s="315"/>
      <c r="R19" s="315"/>
      <c r="S19" s="315"/>
      <c r="T19" s="315"/>
      <c r="U19" s="315"/>
      <c r="V19" s="315"/>
    </row>
    <row r="20" spans="1:23" x14ac:dyDescent="0.25">
      <c r="B20" s="359">
        <f t="shared" si="5"/>
        <v>2042</v>
      </c>
      <c r="C20" s="360">
        <f>$S$22*(1+$P$13)^(B20-Assumptions!$D$10)</f>
        <v>18.399640525173801</v>
      </c>
      <c r="D20" s="361">
        <f>$T$22*(1+$P$13)^(B20-Assumptions!$D$10)</f>
        <v>46.075766481789401</v>
      </c>
      <c r="E20" s="360">
        <f>$S$24*(1+$P$13)^(B20-Assumptions!$D$10)</f>
        <v>13.555609271341648</v>
      </c>
      <c r="F20" s="361">
        <f>$T$24*(1+$P$13)^(B20-Assumptions!$D$10)</f>
        <v>35.737515351718891</v>
      </c>
      <c r="G20" s="362">
        <f t="shared" si="0"/>
        <v>29433.83134955843</v>
      </c>
      <c r="H20" s="363">
        <f t="shared" si="1"/>
        <v>89873.689468995115</v>
      </c>
      <c r="I20" s="363">
        <f t="shared" si="2"/>
        <v>137589.43410411771</v>
      </c>
      <c r="J20" s="363">
        <f t="shared" si="3"/>
        <v>38240.305976408425</v>
      </c>
      <c r="K20" s="364">
        <f t="shared" si="4"/>
        <v>1185.6413649178971</v>
      </c>
      <c r="L20" s="365">
        <f t="shared" si="6"/>
        <v>296322.90226399759</v>
      </c>
      <c r="M20" s="364">
        <f>$L20*(1+Assumptions!$D$24)^-($B20-Assumptions!$D$10)</f>
        <v>160913.28945235271</v>
      </c>
      <c r="P20" s="522" t="s">
        <v>822</v>
      </c>
      <c r="Q20" s="523"/>
      <c r="R20" s="524"/>
      <c r="S20" s="522" t="s">
        <v>855</v>
      </c>
      <c r="T20" s="523"/>
      <c r="U20" s="524"/>
    </row>
    <row r="21" spans="1:23" x14ac:dyDescent="0.25">
      <c r="B21" s="359">
        <f t="shared" si="5"/>
        <v>2043</v>
      </c>
      <c r="C21" s="360">
        <f>$S$22*(1+$P$13)^(B21-Assumptions!$D$10)</f>
        <v>18.592836750688129</v>
      </c>
      <c r="D21" s="361">
        <f>$T$22*(1+$P$13)^(B21-Assumptions!$D$10)</f>
        <v>46.559562029848188</v>
      </c>
      <c r="E21" s="360">
        <f>$S$24*(1+$P$13)^(B21-Assumptions!$D$10)</f>
        <v>13.697943168690736</v>
      </c>
      <c r="F21" s="361">
        <f>$T$24*(1+$P$13)^(B21-Assumptions!$D$10)</f>
        <v>36.112759262911943</v>
      </c>
      <c r="G21" s="362">
        <f t="shared" si="0"/>
        <v>29742.886578728798</v>
      </c>
      <c r="H21" s="363">
        <f t="shared" si="1"/>
        <v>90817.3632084196</v>
      </c>
      <c r="I21" s="363">
        <f t="shared" si="2"/>
        <v>139034.12316221098</v>
      </c>
      <c r="J21" s="363">
        <f t="shared" si="3"/>
        <v>38641.82918916073</v>
      </c>
      <c r="K21" s="364">
        <f t="shared" si="4"/>
        <v>1198.0905992495352</v>
      </c>
      <c r="L21" s="365">
        <f t="shared" si="6"/>
        <v>299434.2927377696</v>
      </c>
      <c r="M21" s="364">
        <f>$L21*(1+Assumptions!$D$24)^-($B21-Assumptions!$D$10)</f>
        <v>157713.75265916821</v>
      </c>
      <c r="P21" s="322" t="s">
        <v>826</v>
      </c>
      <c r="Q21" s="322" t="s">
        <v>827</v>
      </c>
      <c r="R21" s="322" t="s">
        <v>828</v>
      </c>
      <c r="S21" s="322" t="s">
        <v>823</v>
      </c>
      <c r="T21" s="322" t="s">
        <v>824</v>
      </c>
      <c r="U21" s="322" t="s">
        <v>825</v>
      </c>
    </row>
    <row r="22" spans="1:23" x14ac:dyDescent="0.25">
      <c r="B22" s="359">
        <f t="shared" si="5"/>
        <v>2044</v>
      </c>
      <c r="C22" s="360">
        <f>$S$22*(1+$P$13)^(B22-Assumptions!$D$10)</f>
        <v>18.788061536570353</v>
      </c>
      <c r="D22" s="361">
        <f>$T$22*(1+$P$13)^(B22-Assumptions!$D$10)</f>
        <v>47.048437431161602</v>
      </c>
      <c r="E22" s="360">
        <f>$S$24*(1+$P$13)^(B22-Assumptions!$D$10)</f>
        <v>13.84177157196199</v>
      </c>
      <c r="F22" s="361">
        <f>$T$24*(1+$P$13)^(B22-Assumptions!$D$10)</f>
        <v>36.491943235172521</v>
      </c>
      <c r="G22" s="362">
        <f t="shared" si="0"/>
        <v>30055.186887805452</v>
      </c>
      <c r="H22" s="363">
        <f t="shared" si="1"/>
        <v>91770.945522107984</v>
      </c>
      <c r="I22" s="363">
        <f t="shared" si="2"/>
        <v>140493.98145541418</v>
      </c>
      <c r="J22" s="363">
        <f t="shared" si="3"/>
        <v>39047.568395646907</v>
      </c>
      <c r="K22" s="364">
        <f t="shared" si="4"/>
        <v>1210.6705505416553</v>
      </c>
      <c r="L22" s="365">
        <f t="shared" si="6"/>
        <v>302578.3528115162</v>
      </c>
      <c r="M22" s="364">
        <f>$L22*(1+Assumptions!$D$24)^-($B22-Assumptions!$D$10)</f>
        <v>154577.83420183268</v>
      </c>
      <c r="O22" s="326" t="s">
        <v>860</v>
      </c>
      <c r="P22" s="177">
        <f>P15*SUM(P8:P10)*P14</f>
        <v>26.160000000000004</v>
      </c>
      <c r="Q22" s="177">
        <f>(0.004+1.2*P15)*SUM(P8:P10)*P14</f>
        <v>52.320000000000007</v>
      </c>
      <c r="R22" s="177">
        <f>(0.006+3*P15)*SUM(P8:P10)*P14</f>
        <v>109.87199999999999</v>
      </c>
      <c r="S22" s="324">
        <f>SUM(P8:P10)*P14*P15*P16</f>
        <v>14.930796670630205</v>
      </c>
      <c r="T22" s="324">
        <f>U22-S22</f>
        <v>37.389203329369806</v>
      </c>
      <c r="U22" s="324">
        <f>Q22</f>
        <v>52.320000000000007</v>
      </c>
      <c r="W22" s="43"/>
    </row>
    <row r="23" spans="1:23" x14ac:dyDescent="0.25">
      <c r="B23" s="359">
        <f t="shared" si="5"/>
        <v>2045</v>
      </c>
      <c r="C23" s="360">
        <f>$S$22*(1+$P$13)^(B23-Assumptions!$D$10)</f>
        <v>18.985336182704344</v>
      </c>
      <c r="D23" s="361">
        <f>$T$22*(1+$P$13)^(B23-Assumptions!$D$10)</f>
        <v>47.542446024188799</v>
      </c>
      <c r="E23" s="360">
        <f>$S$24*(1+$P$13)^(B23-Assumptions!$D$10)</f>
        <v>13.987110173467592</v>
      </c>
      <c r="F23" s="361">
        <f>$T$24*(1+$P$13)^(B23-Assumptions!$D$10)</f>
        <v>36.875108639141835</v>
      </c>
      <c r="G23" s="362">
        <f t="shared" si="0"/>
        <v>30370.766350127415</v>
      </c>
      <c r="H23" s="363">
        <f t="shared" si="1"/>
        <v>92734.540450090135</v>
      </c>
      <c r="I23" s="363">
        <f t="shared" si="2"/>
        <v>141969.16826069605</v>
      </c>
      <c r="J23" s="363">
        <f t="shared" si="3"/>
        <v>39457.56786380121</v>
      </c>
      <c r="K23" s="364">
        <f t="shared" si="4"/>
        <v>1223.3825913223427</v>
      </c>
      <c r="L23" s="365">
        <f t="shared" si="6"/>
        <v>305755.42551603715</v>
      </c>
      <c r="M23" s="364">
        <f>$L23*(1+Assumptions!$D$24)^-($B23-Assumptions!$D$10)</f>
        <v>151504.2691182851</v>
      </c>
      <c r="O23" s="20" t="s">
        <v>863</v>
      </c>
      <c r="P23" s="177">
        <f>P15*P14*(P8*(2.93-1)+P9*(2.11-1)+P10*(1.39-1))</f>
        <v>40.624737577745115</v>
      </c>
      <c r="Q23" s="177">
        <f>(0.004+1.2*P15)*P14*(P8*1.93+P9*1.11+P10*0.39)</f>
        <v>81.249475155490231</v>
      </c>
      <c r="R23" s="177">
        <f>(0.006+3*P15)*P14*(P8*1.93+P9*1.11+P10*0.39)</f>
        <v>170.62389782652946</v>
      </c>
      <c r="S23" s="324">
        <f>(P8*P14*P15*P16*(2.93-1)+(P9*P14*P15*P16*(2.11-1)+(P10*P14*P15*P16*(1.39-1))))</f>
        <v>23.186532743540617</v>
      </c>
      <c r="T23" s="324">
        <f>U23-S23</f>
        <v>58.062942411949614</v>
      </c>
      <c r="U23" s="324">
        <f>Q23</f>
        <v>81.249475155490231</v>
      </c>
    </row>
    <row r="24" spans="1:23" ht="15.75" thickBot="1" x14ac:dyDescent="0.3">
      <c r="B24" s="359">
        <f t="shared" si="5"/>
        <v>2046</v>
      </c>
      <c r="C24" s="360">
        <f>$S$22*(1+$P$13)^(B24-Assumptions!$D$10)</f>
        <v>19.184682212622743</v>
      </c>
      <c r="D24" s="361">
        <f>$T$22*(1+$P$13)^(B24-Assumptions!$D$10)</f>
        <v>48.041641707442786</v>
      </c>
      <c r="E24" s="360">
        <f>$S$24*(1+$P$13)^(B24-Assumptions!$D$10)</f>
        <v>14.133974830289002</v>
      </c>
      <c r="F24" s="361">
        <f>$T$24*(1+$P$13)^(B24-Assumptions!$D$10)</f>
        <v>37.262297279852824</v>
      </c>
      <c r="G24" s="362">
        <f t="shared" si="0"/>
        <v>30689.659396803752</v>
      </c>
      <c r="H24" s="363">
        <f t="shared" si="1"/>
        <v>93708.253124816081</v>
      </c>
      <c r="I24" s="363">
        <f t="shared" si="2"/>
        <v>143459.84452743336</v>
      </c>
      <c r="J24" s="363">
        <f t="shared" si="3"/>
        <v>39871.872326371122</v>
      </c>
      <c r="K24" s="364">
        <f t="shared" si="4"/>
        <v>1236.2281085312275</v>
      </c>
      <c r="L24" s="365">
        <f t="shared" si="6"/>
        <v>308965.85748395557</v>
      </c>
      <c r="M24" s="364">
        <f>$L24*(1+Assumptions!$D$24)^-($B24-Assumptions!$D$10)</f>
        <v>148491.81759847442</v>
      </c>
      <c r="O24" s="20" t="s">
        <v>864</v>
      </c>
      <c r="P24" s="177">
        <f>ROUNDDOWN(P23/2,0)</f>
        <v>20</v>
      </c>
      <c r="Q24" s="177">
        <f t="shared" ref="Q24:U24" si="7">ROUNDDOWN(Q23/2,0)</f>
        <v>40</v>
      </c>
      <c r="R24" s="177">
        <f t="shared" si="7"/>
        <v>85</v>
      </c>
      <c r="S24" s="177">
        <f t="shared" si="7"/>
        <v>11</v>
      </c>
      <c r="T24" s="177">
        <f t="shared" si="7"/>
        <v>29</v>
      </c>
      <c r="U24" s="177">
        <f t="shared" si="7"/>
        <v>40</v>
      </c>
    </row>
    <row r="25" spans="1:23" ht="15.75" thickTop="1" x14ac:dyDescent="0.25">
      <c r="B25" s="359">
        <f>B24+1</f>
        <v>2047</v>
      </c>
      <c r="C25" s="360">
        <f>$S$22*(1+$P$13)^(B25-Assumptions!$D$10)</f>
        <v>19.386121375855279</v>
      </c>
      <c r="D25" s="361">
        <f>$T$22*(1+$P$13)^(B25-Assumptions!$D$10)</f>
        <v>48.54607894537093</v>
      </c>
      <c r="E25" s="360">
        <f>$S$24*(1+$P$13)^(B25-Assumptions!$D$10)</f>
        <v>14.282381566007038</v>
      </c>
      <c r="F25" s="361">
        <f>$T$24*(1+$P$13)^(B25-Assumptions!$D$10)</f>
        <v>37.653551401291281</v>
      </c>
      <c r="G25" s="362">
        <f t="shared" si="0"/>
        <v>31011.900820470186</v>
      </c>
      <c r="H25" s="363">
        <f t="shared" si="1"/>
        <v>94692.189782626665</v>
      </c>
      <c r="I25" s="363">
        <f t="shared" si="2"/>
        <v>144966.17289497142</v>
      </c>
      <c r="J25" s="363">
        <f t="shared" si="3"/>
        <v>40290.526985798024</v>
      </c>
      <c r="K25" s="364">
        <f t="shared" si="4"/>
        <v>1249.2085036708052</v>
      </c>
      <c r="L25" s="365">
        <f t="shared" si="6"/>
        <v>312209.99898753711</v>
      </c>
      <c r="M25" s="364">
        <f>$L25*(1+Assumptions!$D$24)^-($B25-Assumptions!$D$10)</f>
        <v>145539.26448424676</v>
      </c>
      <c r="O25" s="323" t="s">
        <v>856</v>
      </c>
      <c r="P25" s="325">
        <f t="shared" ref="P25:U25" si="8">SUM(P22:P23)</f>
        <v>66.784737577745119</v>
      </c>
      <c r="Q25" s="325">
        <f t="shared" si="8"/>
        <v>133.56947515549024</v>
      </c>
      <c r="R25" s="325">
        <f t="shared" si="8"/>
        <v>280.49589782652947</v>
      </c>
      <c r="S25" s="325">
        <f t="shared" si="8"/>
        <v>38.117329414170825</v>
      </c>
      <c r="T25" s="325">
        <f t="shared" si="8"/>
        <v>95.452145741319413</v>
      </c>
      <c r="U25" s="325">
        <f t="shared" si="8"/>
        <v>133.56947515549024</v>
      </c>
    </row>
    <row r="26" spans="1:23" ht="15.75" thickBot="1" x14ac:dyDescent="0.3">
      <c r="B26" s="366">
        <f>B25+1</f>
        <v>2048</v>
      </c>
      <c r="C26" s="367">
        <f>$S$22*(1+$P$13)^(B26-Assumptions!$D$10)</f>
        <v>19.589675650301764</v>
      </c>
      <c r="D26" s="368">
        <f>$T$22*(1+$P$13)^(B26-Assumptions!$D$10)</f>
        <v>49.055812774297337</v>
      </c>
      <c r="E26" s="367">
        <f>$S$24*(1+$P$13)^(B26-Assumptions!$D$10)</f>
        <v>14.432346572450113</v>
      </c>
      <c r="F26" s="368">
        <f>$T$24*(1+$P$13)^(B26-Assumptions!$D$10)</f>
        <v>38.048913691004842</v>
      </c>
      <c r="G26" s="369">
        <f t="shared" si="0"/>
        <v>31337.525779085132</v>
      </c>
      <c r="H26" s="370">
        <f t="shared" si="1"/>
        <v>95686.457775344243</v>
      </c>
      <c r="I26" s="370">
        <f t="shared" si="2"/>
        <v>146488.31771036863</v>
      </c>
      <c r="J26" s="370">
        <f t="shared" si="3"/>
        <v>40713.577519148901</v>
      </c>
      <c r="K26" s="371">
        <f t="shared" si="4"/>
        <v>1262.3251929593489</v>
      </c>
      <c r="L26" s="372">
        <f t="shared" si="6"/>
        <v>315488.20397690625</v>
      </c>
      <c r="M26" s="371">
        <f>$L26*(1+Assumptions!$D$24)^-($B26-Assumptions!$D$10)</f>
        <v>142645.41877917689</v>
      </c>
    </row>
    <row r="27" spans="1:23" ht="15.75" thickBot="1" x14ac:dyDescent="0.3">
      <c r="F27" s="14" t="s">
        <v>1</v>
      </c>
      <c r="G27" s="373">
        <f t="shared" ref="G27:M27" si="9">SUM(G7:G26)</f>
        <v>568574.18281315058</v>
      </c>
      <c r="H27" s="374">
        <f t="shared" si="9"/>
        <v>1736092.6934509787</v>
      </c>
      <c r="I27" s="374">
        <f t="shared" si="9"/>
        <v>2657819.1309996126</v>
      </c>
      <c r="J27" s="374">
        <f t="shared" si="9"/>
        <v>738689.1112762813</v>
      </c>
      <c r="K27" s="375">
        <f t="shared" si="9"/>
        <v>22903.06899437253</v>
      </c>
      <c r="L27" s="373">
        <f t="shared" si="9"/>
        <v>5724078.1875343965</v>
      </c>
      <c r="M27" s="375">
        <f t="shared" si="9"/>
        <v>3475830.2830221886</v>
      </c>
      <c r="O27" s="1" t="s">
        <v>865</v>
      </c>
    </row>
    <row r="28" spans="1:23" ht="17.25" x14ac:dyDescent="0.25">
      <c r="B28" s="181"/>
      <c r="C28" s="181"/>
      <c r="D28" s="181"/>
      <c r="E28" s="181"/>
      <c r="F28" s="311"/>
      <c r="G28" s="312"/>
      <c r="H28" s="312"/>
      <c r="I28" s="312"/>
      <c r="J28" s="312"/>
      <c r="K28" s="312"/>
      <c r="L28" s="312"/>
      <c r="M28" s="312"/>
      <c r="O28" s="326" t="s">
        <v>830</v>
      </c>
      <c r="P28" s="324">
        <f>Assumptions!$D$26</f>
        <v>250</v>
      </c>
      <c r="Q28" s="314" t="s">
        <v>831</v>
      </c>
      <c r="U28" s="306"/>
    </row>
    <row r="29" spans="1:23" x14ac:dyDescent="0.25">
      <c r="C29" s="313"/>
      <c r="D29" s="313"/>
      <c r="O29" s="20" t="s">
        <v>880</v>
      </c>
      <c r="P29" s="324">
        <f>Assumptions!D27-90</f>
        <v>275</v>
      </c>
      <c r="Q29" s="309" t="s">
        <v>840</v>
      </c>
    </row>
    <row r="30" spans="1:23" x14ac:dyDescent="0.25">
      <c r="B30" s="1" t="s">
        <v>2</v>
      </c>
      <c r="C30" s="313"/>
      <c r="D30" s="313"/>
    </row>
    <row r="31" spans="1:23" ht="15" customHeight="1" x14ac:dyDescent="0.25">
      <c r="A31" s="2" t="s">
        <v>14</v>
      </c>
      <c r="B31" s="441" t="s">
        <v>851</v>
      </c>
      <c r="C31" s="441"/>
      <c r="D31" s="441"/>
      <c r="E31" s="441"/>
      <c r="F31" s="441"/>
      <c r="G31" s="441"/>
      <c r="H31" s="441"/>
      <c r="I31" s="441"/>
      <c r="J31" s="441"/>
      <c r="K31" s="441"/>
      <c r="L31" s="441"/>
      <c r="M31" s="441"/>
      <c r="N31" s="7"/>
      <c r="O31" s="1" t="s">
        <v>829</v>
      </c>
    </row>
    <row r="32" spans="1:23" ht="15" customHeight="1" x14ac:dyDescent="0.25">
      <c r="B32" s="441"/>
      <c r="C32" s="441"/>
      <c r="D32" s="441"/>
      <c r="E32" s="441"/>
      <c r="F32" s="441"/>
      <c r="G32" s="441"/>
      <c r="H32" s="441"/>
      <c r="I32" s="441"/>
      <c r="J32" s="441"/>
      <c r="K32" s="441"/>
      <c r="L32" s="441"/>
      <c r="M32" s="441"/>
      <c r="N32" s="7"/>
      <c r="O32" s="326" t="s">
        <v>832</v>
      </c>
      <c r="P32" s="37">
        <v>2</v>
      </c>
      <c r="Q32" s="314" t="s">
        <v>833</v>
      </c>
    </row>
    <row r="33" spans="1:22" ht="15" customHeight="1" x14ac:dyDescent="0.25">
      <c r="B33" s="7"/>
      <c r="C33" s="7"/>
      <c r="D33" s="7"/>
      <c r="E33" s="7"/>
      <c r="F33" s="7"/>
      <c r="G33" s="7"/>
      <c r="H33" s="7"/>
      <c r="I33" s="7"/>
      <c r="J33" s="7"/>
      <c r="K33" s="7"/>
      <c r="L33" s="7"/>
      <c r="M33" s="7"/>
      <c r="N33" s="7"/>
      <c r="O33" s="20" t="s">
        <v>868</v>
      </c>
      <c r="P33" s="179">
        <v>21.6</v>
      </c>
      <c r="Q33" s="314" t="s">
        <v>834</v>
      </c>
    </row>
    <row r="34" spans="1:22" ht="17.25" customHeight="1" x14ac:dyDescent="0.25">
      <c r="A34" s="2" t="s">
        <v>15</v>
      </c>
      <c r="B34" s="441" t="s">
        <v>852</v>
      </c>
      <c r="C34" s="441"/>
      <c r="D34" s="441"/>
      <c r="E34" s="441"/>
      <c r="F34" s="441"/>
      <c r="G34" s="441"/>
      <c r="H34" s="441"/>
      <c r="I34" s="441"/>
      <c r="J34" s="441"/>
      <c r="K34" s="441"/>
      <c r="L34" s="441"/>
      <c r="M34" s="441"/>
      <c r="N34" s="7"/>
      <c r="O34" s="329" t="s">
        <v>869</v>
      </c>
      <c r="P34" s="179">
        <v>0.4</v>
      </c>
      <c r="Q34" s="314" t="s">
        <v>837</v>
      </c>
    </row>
    <row r="35" spans="1:22" ht="17.25" customHeight="1" x14ac:dyDescent="0.25">
      <c r="B35" s="441"/>
      <c r="C35" s="441"/>
      <c r="D35" s="441"/>
      <c r="E35" s="441"/>
      <c r="F35" s="441"/>
      <c r="G35" s="441"/>
      <c r="H35" s="441"/>
      <c r="I35" s="441"/>
      <c r="J35" s="441"/>
      <c r="K35" s="441"/>
      <c r="L35" s="441"/>
      <c r="M35" s="441"/>
      <c r="N35" s="7"/>
      <c r="O35" s="326" t="s">
        <v>835</v>
      </c>
      <c r="P35" s="220">
        <v>0.28000000000000003</v>
      </c>
      <c r="Q35" s="314" t="s">
        <v>836</v>
      </c>
    </row>
    <row r="36" spans="1:22" ht="17.25" customHeight="1" x14ac:dyDescent="0.25">
      <c r="B36" s="7"/>
      <c r="C36" s="7"/>
      <c r="D36" s="7"/>
      <c r="E36" s="7"/>
      <c r="F36" s="7"/>
      <c r="G36" s="7"/>
      <c r="H36" s="7"/>
      <c r="I36" s="7"/>
      <c r="J36" s="7"/>
      <c r="K36" s="7"/>
      <c r="L36" s="7"/>
      <c r="M36" s="7"/>
      <c r="O36" s="326" t="s">
        <v>871</v>
      </c>
      <c r="P36" s="259">
        <f>P35*P53</f>
        <v>0.32200000000000001</v>
      </c>
      <c r="R36" s="310"/>
      <c r="S36" s="310"/>
      <c r="T36" s="310"/>
    </row>
    <row r="37" spans="1:22" ht="15" customHeight="1" x14ac:dyDescent="0.25">
      <c r="A37" s="2" t="s">
        <v>16</v>
      </c>
      <c r="B37" s="520" t="s">
        <v>839</v>
      </c>
      <c r="C37" s="520"/>
      <c r="D37" s="520"/>
      <c r="E37" s="520"/>
      <c r="F37" s="520"/>
      <c r="G37" s="520"/>
      <c r="H37" s="520"/>
      <c r="I37" s="520"/>
      <c r="J37" s="520"/>
      <c r="K37" s="520"/>
      <c r="L37" s="520"/>
      <c r="M37" s="520"/>
      <c r="Q37" s="12"/>
    </row>
    <row r="38" spans="1:22" ht="17.25" customHeight="1" x14ac:dyDescent="0.25">
      <c r="B38" s="344"/>
      <c r="C38" s="344"/>
      <c r="D38" s="344"/>
      <c r="E38" s="344"/>
      <c r="F38" s="344"/>
      <c r="G38" s="344"/>
      <c r="H38" s="344"/>
      <c r="I38" s="344"/>
      <c r="J38" s="344"/>
      <c r="K38" s="344"/>
      <c r="L38" s="344"/>
      <c r="M38" s="344"/>
      <c r="O38" s="1" t="s">
        <v>838</v>
      </c>
      <c r="Q38" s="12"/>
      <c r="V38" s="327"/>
    </row>
    <row r="39" spans="1:22" ht="15" customHeight="1" x14ac:dyDescent="0.25">
      <c r="A39" s="2" t="s">
        <v>98</v>
      </c>
      <c r="B39" s="521" t="s">
        <v>853</v>
      </c>
      <c r="C39" s="521"/>
      <c r="D39" s="521"/>
      <c r="E39" s="521"/>
      <c r="F39" s="521"/>
      <c r="G39" s="521"/>
      <c r="H39" s="521"/>
      <c r="I39" s="521"/>
      <c r="J39" s="521"/>
      <c r="K39" s="521"/>
      <c r="L39" s="521"/>
      <c r="M39" s="521"/>
      <c r="O39" s="20" t="s">
        <v>870</v>
      </c>
      <c r="P39" s="331">
        <v>6.8</v>
      </c>
      <c r="T39" s="327"/>
      <c r="U39" s="327"/>
      <c r="V39" s="327"/>
    </row>
    <row r="40" spans="1:22" ht="15" customHeight="1" x14ac:dyDescent="0.25">
      <c r="T40" s="327"/>
      <c r="U40" s="327"/>
    </row>
    <row r="41" spans="1:22" ht="15" customHeight="1" x14ac:dyDescent="0.25">
      <c r="A41" s="2" t="s">
        <v>17</v>
      </c>
      <c r="B41" s="441" t="s">
        <v>843</v>
      </c>
      <c r="C41" s="441"/>
      <c r="D41" s="441"/>
      <c r="E41" s="441"/>
      <c r="F41" s="441"/>
      <c r="G41" s="441"/>
      <c r="H41" s="441"/>
      <c r="I41" s="441"/>
      <c r="J41" s="441"/>
      <c r="K41" s="441"/>
      <c r="L41" s="441"/>
      <c r="M41" s="441"/>
      <c r="O41" s="1" t="s">
        <v>841</v>
      </c>
    </row>
    <row r="42" spans="1:22" ht="15" customHeight="1" x14ac:dyDescent="0.25">
      <c r="B42" s="441"/>
      <c r="C42" s="441"/>
      <c r="D42" s="441"/>
      <c r="E42" s="441"/>
      <c r="F42" s="441"/>
      <c r="G42" s="441"/>
      <c r="H42" s="441"/>
      <c r="I42" s="441"/>
      <c r="J42" s="441"/>
      <c r="K42" s="441"/>
      <c r="L42" s="441"/>
      <c r="M42" s="441"/>
      <c r="O42" s="326" t="s">
        <v>842</v>
      </c>
      <c r="P42" s="338">
        <v>10</v>
      </c>
      <c r="Q42" s="314"/>
    </row>
    <row r="43" spans="1:22" ht="17.25" customHeight="1" x14ac:dyDescent="0.25">
      <c r="B43" s="319"/>
      <c r="C43" s="319"/>
      <c r="D43" s="319"/>
      <c r="E43" s="319"/>
      <c r="F43" s="319"/>
      <c r="G43" s="319"/>
      <c r="H43" s="319"/>
      <c r="I43" s="319"/>
      <c r="J43" s="319"/>
      <c r="K43" s="319"/>
      <c r="L43" s="319"/>
      <c r="M43" s="319"/>
      <c r="O43" s="326" t="s">
        <v>876</v>
      </c>
      <c r="P43" s="337">
        <f>P42*P52</f>
        <v>14</v>
      </c>
      <c r="Q43" s="314"/>
      <c r="T43" s="43"/>
    </row>
    <row r="44" spans="1:22" ht="17.25" customHeight="1" x14ac:dyDescent="0.25">
      <c r="A44" s="2" t="s">
        <v>138</v>
      </c>
      <c r="B44" s="441" t="s">
        <v>844</v>
      </c>
      <c r="C44" s="441"/>
      <c r="D44" s="441"/>
      <c r="E44" s="441"/>
      <c r="F44" s="441"/>
      <c r="G44" s="441"/>
      <c r="H44" s="441"/>
      <c r="I44" s="441"/>
      <c r="J44" s="441"/>
      <c r="K44" s="441"/>
      <c r="L44" s="441"/>
      <c r="M44" s="441"/>
      <c r="T44" s="317"/>
    </row>
    <row r="45" spans="1:22" ht="17.25" customHeight="1" x14ac:dyDescent="0.25">
      <c r="B45" s="319"/>
      <c r="C45" s="319"/>
      <c r="D45" s="319"/>
      <c r="E45" s="319"/>
      <c r="F45" s="319"/>
      <c r="G45" s="319"/>
      <c r="H45" s="319"/>
      <c r="I45" s="319"/>
      <c r="J45" s="319"/>
      <c r="K45" s="319"/>
      <c r="L45" s="319"/>
      <c r="M45" s="319"/>
      <c r="O45" s="1" t="s">
        <v>873</v>
      </c>
      <c r="Q45" s="309"/>
      <c r="T45" s="317"/>
    </row>
    <row r="46" spans="1:22" ht="17.25" customHeight="1" x14ac:dyDescent="0.25">
      <c r="A46" s="2" t="s">
        <v>155</v>
      </c>
      <c r="B46" s="441" t="s">
        <v>859</v>
      </c>
      <c r="C46" s="441"/>
      <c r="D46" s="441"/>
      <c r="E46" s="441"/>
      <c r="F46" s="441"/>
      <c r="G46" s="441"/>
      <c r="H46" s="441"/>
      <c r="I46" s="441"/>
      <c r="J46" s="441"/>
      <c r="K46" s="441"/>
      <c r="L46" s="441"/>
      <c r="M46" s="441"/>
      <c r="O46" s="326" t="s">
        <v>845</v>
      </c>
      <c r="P46" s="341">
        <v>1.49</v>
      </c>
      <c r="Q46" s="314" t="s">
        <v>846</v>
      </c>
      <c r="T46" s="317"/>
    </row>
    <row r="47" spans="1:22" ht="17.25" customHeight="1" x14ac:dyDescent="0.25">
      <c r="B47" s="441"/>
      <c r="C47" s="441"/>
      <c r="D47" s="441"/>
      <c r="E47" s="441"/>
      <c r="F47" s="441"/>
      <c r="G47" s="441"/>
      <c r="H47" s="441"/>
      <c r="I47" s="441"/>
      <c r="J47" s="441"/>
      <c r="K47" s="441"/>
      <c r="L47" s="441"/>
      <c r="M47" s="441"/>
      <c r="O47" s="12"/>
      <c r="P47" s="13"/>
    </row>
    <row r="48" spans="1:22" ht="17.25" x14ac:dyDescent="0.25">
      <c r="O48" s="1" t="s">
        <v>874</v>
      </c>
      <c r="Q48" s="314"/>
    </row>
    <row r="49" spans="1:29" ht="15" customHeight="1" x14ac:dyDescent="0.25">
      <c r="A49" s="2" t="s">
        <v>847</v>
      </c>
      <c r="B49" s="455" t="s">
        <v>872</v>
      </c>
      <c r="C49" s="455"/>
      <c r="D49" s="455"/>
      <c r="E49" s="455"/>
      <c r="F49" s="455"/>
      <c r="G49" s="455"/>
      <c r="H49" s="455"/>
      <c r="I49" s="455"/>
      <c r="J49" s="455"/>
      <c r="K49" s="455"/>
      <c r="L49" s="455"/>
      <c r="M49" s="455"/>
      <c r="O49" s="326" t="s">
        <v>848</v>
      </c>
      <c r="P49" s="342">
        <v>0.105</v>
      </c>
      <c r="Q49" s="321" t="s">
        <v>881</v>
      </c>
    </row>
    <row r="50" spans="1:29" ht="15" customHeight="1" x14ac:dyDescent="0.25">
      <c r="B50" s="455"/>
      <c r="C50" s="455"/>
      <c r="D50" s="455"/>
      <c r="E50" s="455"/>
      <c r="F50" s="455"/>
      <c r="G50" s="455"/>
      <c r="H50" s="455"/>
      <c r="I50" s="455"/>
      <c r="J50" s="455"/>
      <c r="K50" s="455"/>
      <c r="L50" s="455"/>
      <c r="M50" s="455"/>
      <c r="O50" s="328"/>
      <c r="Q50" s="309"/>
    </row>
    <row r="51" spans="1:29" ht="17.25" customHeight="1" x14ac:dyDescent="0.25">
      <c r="O51" s="28" t="s">
        <v>875</v>
      </c>
    </row>
    <row r="52" spans="1:29" ht="17.25" customHeight="1" x14ac:dyDescent="0.25">
      <c r="A52" s="2" t="s">
        <v>849</v>
      </c>
      <c r="B52" s="441" t="s">
        <v>850</v>
      </c>
      <c r="C52" s="441"/>
      <c r="D52" s="441"/>
      <c r="E52" s="441"/>
      <c r="F52" s="441"/>
      <c r="G52" s="441"/>
      <c r="H52" s="441"/>
      <c r="I52" s="441"/>
      <c r="J52" s="441"/>
      <c r="K52" s="441"/>
      <c r="L52" s="441"/>
      <c r="M52" s="441"/>
      <c r="O52" s="326" t="s">
        <v>866</v>
      </c>
      <c r="P52" s="343">
        <v>1.4</v>
      </c>
      <c r="S52" s="43"/>
    </row>
    <row r="53" spans="1:29" ht="15" customHeight="1" x14ac:dyDescent="0.25">
      <c r="B53" s="441"/>
      <c r="C53" s="441"/>
      <c r="D53" s="441"/>
      <c r="E53" s="441"/>
      <c r="F53" s="441"/>
      <c r="G53" s="441"/>
      <c r="H53" s="441"/>
      <c r="I53" s="441"/>
      <c r="J53" s="441"/>
      <c r="K53" s="441"/>
      <c r="L53" s="441"/>
      <c r="M53" s="441"/>
      <c r="O53" s="326" t="s">
        <v>867</v>
      </c>
      <c r="P53" s="343">
        <v>1.1499999999999999</v>
      </c>
      <c r="Q53" s="321"/>
      <c r="S53" s="317"/>
      <c r="X53" s="315"/>
      <c r="Y53" s="315"/>
      <c r="Z53" s="315"/>
      <c r="AA53" s="315"/>
    </row>
    <row r="54" spans="1:29" ht="15" customHeight="1" x14ac:dyDescent="0.25">
      <c r="B54" s="7"/>
      <c r="C54" s="7"/>
      <c r="D54" s="7"/>
      <c r="E54" s="7"/>
      <c r="F54" s="7"/>
      <c r="G54" s="7"/>
      <c r="H54" s="7"/>
      <c r="I54" s="7"/>
      <c r="J54" s="7"/>
      <c r="K54" s="7"/>
      <c r="L54" s="7"/>
      <c r="M54" s="7"/>
      <c r="Q54" s="314"/>
      <c r="S54" s="43"/>
      <c r="X54" s="321"/>
      <c r="Y54" s="321"/>
      <c r="Z54" s="321"/>
      <c r="AA54" s="321"/>
      <c r="AB54" s="320"/>
      <c r="AC54" s="320"/>
    </row>
    <row r="55" spans="1:29" ht="15" customHeight="1" x14ac:dyDescent="0.25">
      <c r="B55" s="7"/>
      <c r="C55" s="7"/>
      <c r="D55" s="7"/>
      <c r="E55" s="7"/>
      <c r="F55" s="7"/>
      <c r="G55" s="7"/>
      <c r="H55" s="7"/>
      <c r="I55" s="7"/>
      <c r="J55" s="7"/>
      <c r="K55" s="7"/>
      <c r="L55" s="7"/>
      <c r="M55" s="7"/>
      <c r="S55" s="43"/>
      <c r="X55" s="320"/>
      <c r="Y55" s="320"/>
      <c r="Z55" s="320"/>
      <c r="AA55" s="320"/>
      <c r="AB55" s="320"/>
      <c r="AC55" s="320"/>
    </row>
    <row r="56" spans="1:29" ht="16.5" customHeight="1" x14ac:dyDescent="0.25">
      <c r="S56" s="43"/>
      <c r="W56" s="320"/>
      <c r="X56" s="320"/>
      <c r="Y56" s="320"/>
      <c r="Z56" s="320"/>
      <c r="AA56" s="320"/>
      <c r="AB56" s="320"/>
      <c r="AC56" s="320"/>
    </row>
    <row r="58" spans="1:29" ht="15" customHeight="1" x14ac:dyDescent="0.25">
      <c r="B58" s="7"/>
      <c r="C58" s="7"/>
      <c r="D58" s="7"/>
      <c r="E58" s="7"/>
      <c r="F58" s="7"/>
      <c r="G58" s="7"/>
      <c r="H58" s="7"/>
      <c r="I58" s="7"/>
      <c r="J58" s="7"/>
      <c r="K58" s="7"/>
      <c r="L58" s="7"/>
      <c r="M58" s="7"/>
      <c r="R58" s="317"/>
    </row>
    <row r="59" spans="1:29" ht="18" customHeight="1" x14ac:dyDescent="0.25"/>
    <row r="62" spans="1:29" ht="15" customHeight="1" x14ac:dyDescent="0.25">
      <c r="R62" s="43"/>
    </row>
    <row r="63" spans="1:29" x14ac:dyDescent="0.25">
      <c r="R63" s="43"/>
    </row>
    <row r="64" spans="1:29" x14ac:dyDescent="0.25">
      <c r="W64" s="309"/>
    </row>
    <row r="65" ht="15" customHeight="1" x14ac:dyDescent="0.25"/>
  </sheetData>
  <mergeCells count="28">
    <mergeCell ref="Q17:V18"/>
    <mergeCell ref="B37:M37"/>
    <mergeCell ref="B31:M32"/>
    <mergeCell ref="B34:M35"/>
    <mergeCell ref="B39:M39"/>
    <mergeCell ref="P20:R20"/>
    <mergeCell ref="S20:U20"/>
    <mergeCell ref="B49:M50"/>
    <mergeCell ref="B52:M53"/>
    <mergeCell ref="B46:M47"/>
    <mergeCell ref="B41:M42"/>
    <mergeCell ref="B44:M44"/>
    <mergeCell ref="M5:M6"/>
    <mergeCell ref="C4:D4"/>
    <mergeCell ref="E4:F4"/>
    <mergeCell ref="G4:K4"/>
    <mergeCell ref="L4:M4"/>
    <mergeCell ref="G5:G6"/>
    <mergeCell ref="H5:H6"/>
    <mergeCell ref="I5:I6"/>
    <mergeCell ref="J5:J6"/>
    <mergeCell ref="K5:K6"/>
    <mergeCell ref="L5:L6"/>
    <mergeCell ref="B5:B6"/>
    <mergeCell ref="C5:C6"/>
    <mergeCell ref="D5:D6"/>
    <mergeCell ref="E5:E6"/>
    <mergeCell ref="F5:F6"/>
  </mergeCells>
  <pageMargins left="0.7" right="0.7" top="0.75" bottom="0.75" header="0.3" footer="0.3"/>
  <pageSetup scale="16" orientation="portrait" horizontalDpi="3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DFAB-4B9D-400A-BF82-2BB16717E329}">
  <sheetPr codeName="Sheet11">
    <tabColor theme="5" tint="0.59999389629810485"/>
    <pageSetUpPr fitToPage="1"/>
  </sheetPr>
  <dimension ref="A1:AC55"/>
  <sheetViews>
    <sheetView view="pageBreakPreview" zoomScale="80" zoomScaleNormal="40" zoomScaleSheetLayoutView="80" workbookViewId="0"/>
  </sheetViews>
  <sheetFormatPr defaultRowHeight="15" x14ac:dyDescent="0.25"/>
  <cols>
    <col min="2" max="11" width="20.7109375" customWidth="1"/>
    <col min="12" max="12" width="7.140625" customWidth="1"/>
    <col min="13" max="13" width="28.28515625" customWidth="1"/>
    <col min="14" max="14" width="30.5703125" bestFit="1" customWidth="1"/>
    <col min="15" max="15" width="25" bestFit="1" customWidth="1"/>
    <col min="16" max="16" width="15" bestFit="1" customWidth="1"/>
    <col min="17" max="18" width="18.7109375" bestFit="1" customWidth="1"/>
    <col min="19" max="19" width="5" customWidth="1"/>
    <col min="20" max="20" width="16.85546875" customWidth="1"/>
    <col min="21" max="21" width="34" customWidth="1"/>
    <col min="22" max="22" width="13.5703125" customWidth="1"/>
    <col min="23" max="23" width="12.5703125" bestFit="1" customWidth="1"/>
    <col min="24" max="24" width="16.85546875" customWidth="1"/>
    <col min="25" max="25" width="45.42578125" bestFit="1" customWidth="1"/>
    <col min="26" max="28" width="12.5703125" bestFit="1" customWidth="1"/>
    <col min="29" max="30" width="13.140625" bestFit="1" customWidth="1"/>
    <col min="31" max="31" width="13.7109375" bestFit="1" customWidth="1"/>
    <col min="32" max="33" width="13.85546875" bestFit="1" customWidth="1"/>
    <col min="34" max="34" width="14.42578125" bestFit="1" customWidth="1"/>
    <col min="35" max="35" width="13.85546875" bestFit="1" customWidth="1"/>
    <col min="36" max="36" width="13.7109375" bestFit="1" customWidth="1"/>
    <col min="37" max="37" width="13.85546875" bestFit="1" customWidth="1"/>
    <col min="38" max="39" width="13.42578125" bestFit="1" customWidth="1"/>
    <col min="40" max="40" width="13.85546875" bestFit="1" customWidth="1"/>
    <col min="41" max="41" width="13.7109375" bestFit="1" customWidth="1"/>
    <col min="42" max="43" width="13.85546875" bestFit="1" customWidth="1"/>
    <col min="44" max="44" width="14.140625" bestFit="1" customWidth="1"/>
    <col min="45" max="45" width="13.85546875" bestFit="1" customWidth="1"/>
    <col min="46" max="47" width="13.7109375" bestFit="1" customWidth="1"/>
    <col min="48" max="48" width="14.42578125" bestFit="1" customWidth="1"/>
    <col min="49" max="49" width="13.85546875" bestFit="1" customWidth="1"/>
    <col min="50" max="50" width="14.140625" bestFit="1" customWidth="1"/>
    <col min="51" max="51" width="13.42578125" bestFit="1" customWidth="1"/>
    <col min="52" max="53" width="13.7109375" bestFit="1" customWidth="1"/>
    <col min="54" max="55" width="13.85546875" bestFit="1" customWidth="1"/>
    <col min="56" max="56" width="14.140625" bestFit="1" customWidth="1"/>
    <col min="57" max="57" width="13.7109375" bestFit="1" customWidth="1"/>
    <col min="58" max="58" width="13.85546875" bestFit="1" customWidth="1"/>
    <col min="59" max="59" width="14.42578125" bestFit="1" customWidth="1"/>
    <col min="60" max="60" width="14.140625" bestFit="1" customWidth="1"/>
  </cols>
  <sheetData>
    <row r="1" spans="2:29" x14ac:dyDescent="0.25">
      <c r="B1" s="41"/>
      <c r="C1" s="41"/>
      <c r="D1" s="41"/>
      <c r="E1" s="41"/>
      <c r="F1" s="41"/>
      <c r="G1" s="41"/>
      <c r="H1" s="41"/>
      <c r="I1" s="41"/>
      <c r="J1" s="41"/>
      <c r="K1" s="41"/>
      <c r="L1" s="3"/>
      <c r="M1" s="3"/>
      <c r="N1" s="3"/>
      <c r="O1" s="3"/>
      <c r="P1" s="3"/>
      <c r="Q1" s="3"/>
      <c r="R1" s="3"/>
      <c r="S1" s="3"/>
      <c r="Y1" s="3"/>
      <c r="Z1" s="3"/>
    </row>
    <row r="2" spans="2:29" ht="15.75" thickBot="1" x14ac:dyDescent="0.3">
      <c r="B2" s="1" t="s">
        <v>157</v>
      </c>
    </row>
    <row r="3" spans="2:29" ht="22.5" customHeight="1" x14ac:dyDescent="0.25">
      <c r="B3" s="445" t="s">
        <v>0</v>
      </c>
      <c r="C3" s="528" t="s">
        <v>276</v>
      </c>
      <c r="D3" s="461" t="s">
        <v>281</v>
      </c>
      <c r="E3" s="447" t="s">
        <v>904</v>
      </c>
      <c r="F3" s="467" t="s">
        <v>282</v>
      </c>
      <c r="G3" s="528" t="s">
        <v>1006</v>
      </c>
      <c r="H3" s="461" t="s">
        <v>772</v>
      </c>
      <c r="I3" s="467" t="s">
        <v>773</v>
      </c>
      <c r="J3" s="470" t="s">
        <v>52</v>
      </c>
      <c r="K3" s="467" t="s">
        <v>186</v>
      </c>
      <c r="L3" s="78"/>
      <c r="R3" s="78"/>
      <c r="S3" s="78"/>
    </row>
    <row r="4" spans="2:29" ht="22.5" customHeight="1" thickBot="1" x14ac:dyDescent="0.3">
      <c r="B4" s="446"/>
      <c r="C4" s="529"/>
      <c r="D4" s="532"/>
      <c r="E4" s="448"/>
      <c r="F4" s="530"/>
      <c r="G4" s="529"/>
      <c r="H4" s="532"/>
      <c r="I4" s="530"/>
      <c r="J4" s="531"/>
      <c r="K4" s="530"/>
      <c r="L4" s="78"/>
      <c r="M4" s="28" t="s">
        <v>263</v>
      </c>
      <c r="R4" s="79"/>
      <c r="S4" s="78"/>
      <c r="AC4" s="72"/>
    </row>
    <row r="5" spans="2:29" ht="15.75" customHeight="1" x14ac:dyDescent="0.25">
      <c r="B5" s="73">
        <f>Assumptions!$D$14</f>
        <v>2029</v>
      </c>
      <c r="C5" s="92">
        <f>IF(B5&lt;=Assumptions!$D$15,$O$14,0)</f>
        <v>86388.960200000001</v>
      </c>
      <c r="D5" s="117">
        <f>IF(B5&gt;Assumptions!$D$15,0,IF(OR(B5=$P$20,B5=$P$20+$Q$20,B5=$P$20+$Q$20*2,B5=$P$20+$Q$20*3),$O$20,0))</f>
        <v>0</v>
      </c>
      <c r="E5" s="118">
        <f>IF(B5&gt;Assumptions!$D$15,0,IF(OR(B5=$P$22,B5=$P$22+$Q$22,B5=$P$22+$Q$22*2,B5=$P$22+$Q$22*3,B5=$P$22+$Q$22*4,B5=$P$22+$Q$22*5,B5=$P$22+$Q$22*6,B5=$P$22+$Q$22*7),$O$22,0))+
IF(B5&gt;Assumptions!$D$15,0,IF(OR(B5=$P$23,B5=$P$23+$Q$23,B5=$P$23+$Q$23*2,B5=$P$23+$Q$23*3,B5=$P$23+$Q$23*4,B5=$P$23+$Q$23*5,B5=$P$23+$Q$23*6,B5=$P$23+$Q$23*7),$O$23,0))</f>
        <v>0</v>
      </c>
      <c r="F5" s="93">
        <f>IF(B5&gt;Assumptions!$D$15,0,IF(OR(B5=$P$21,B5=$P$21+$Q$21,B5=$P$21+$Q$21+$Q$21,B5=$P$21+$Q$21+$Q$21),$O$21,0))</f>
        <v>0</v>
      </c>
      <c r="G5" s="94">
        <f>IF(B5&lt;=Assumptions!$D$15,IF(B5&lt;Assumptions!$D$14+'O&amp;M + Rehab'!$R$27,'O&amp;M + Rehab'!$O$15,$O$14),0)</f>
        <v>64791.720150000001</v>
      </c>
      <c r="H5" s="153">
        <f>IF(B5&gt;Assumptions!$D$15,0,IF(OR(B5=$Q$27,B5=$Q$27+$R$27,B5=$Q$27+$R$27+$R$27,B5=$Q$27+$R$27+$R$27),$P$27,0))</f>
        <v>0</v>
      </c>
      <c r="I5" s="93">
        <f t="shared" ref="I5:I24" si="0">IF(OR(B5=$Q$28,B5=$Q$28+$R$28,B5=$Q$28+$R$28*2,B5=$Q$28+$R$28*3),$P$28,0)+IF(OR(B5=$Q$29,B5=$Q$29+$R$29,B5=$Q$29+$R$29*2,B5=$Q$29+$R$29*3),$P$29,0)</f>
        <v>0</v>
      </c>
      <c r="J5" s="94">
        <f>SUM(C5:F5)-SUM(G5:I5)</f>
        <v>21597.24005</v>
      </c>
      <c r="K5" s="93">
        <f>J5*(1+Assumptions!$D$24)^-($B5-Assumptions!$D$10)</f>
        <v>17441.65125095168</v>
      </c>
      <c r="L5" s="80"/>
      <c r="M5" s="21" t="s">
        <v>109</v>
      </c>
      <c r="N5" s="71" t="s">
        <v>111</v>
      </c>
      <c r="AC5" s="72"/>
    </row>
    <row r="6" spans="2:29" ht="15.75" customHeight="1" x14ac:dyDescent="0.25">
      <c r="B6" s="75">
        <f>B5+1</f>
        <v>2030</v>
      </c>
      <c r="C6" s="82">
        <f>IF(B6&lt;=Assumptions!$D$15,$O$14,0)</f>
        <v>86388.960200000001</v>
      </c>
      <c r="D6" s="122">
        <f>IF(B6&gt;Assumptions!$D$15,0,IF(OR(B6=$P$20,B6=$P$20+$Q$20,B6=$P$20+$Q$20*2,B6=$P$20+$Q$20*3),$O$20,0))</f>
        <v>0</v>
      </c>
      <c r="E6" s="123">
        <f>IF(B6&gt;Assumptions!$D$15,0,IF(OR(B6=$P$22,B6=$P$22+$Q$22,B6=$P$22+$Q$22*2,B6=$P$22+$Q$22*3,B6=$P$22+$Q$22*4,B6=$P$22+$Q$22*5,B6=$P$22+$Q$22*6,B6=$P$22+$Q$22*7),$O$22,0))+
IF(B6&gt;Assumptions!$D$15,0,IF(OR(B6=$P$23,B6=$P$23+$Q$23,B6=$P$23+$Q$23*2,B6=$P$23+$Q$23*3,B6=$P$23+$Q$23*4,B6=$P$23+$Q$23*5,B6=$P$23+$Q$23*6,B6=$P$23+$Q$23*7),$O$23,0))</f>
        <v>50000.100000000006</v>
      </c>
      <c r="F6" s="83">
        <f>IF(B6&gt;Assumptions!$D$15,0,IF(OR(B6=$P$21,B6=$P$21+$Q$21,B6=$P$21+$Q$21+$Q$21,B6=$P$21+$Q$21+$Q$21),$O$21,0))</f>
        <v>0</v>
      </c>
      <c r="G6" s="84">
        <f>IF(B6&lt;=Assumptions!$D$15,IF(B6&lt;Assumptions!$D$14+'O&amp;M + Rehab'!$R$27,'O&amp;M + Rehab'!$O$15,$O$14),0)</f>
        <v>64791.720150000001</v>
      </c>
      <c r="H6" s="159">
        <f>IF(B6&gt;Assumptions!$D$15,0,IF(OR(B6=$Q$27,B6=$Q$27+$R$27,B6=$Q$27+$R$27+$R$27,B6=$Q$27+$R$27+$R$27),$P$27,0))</f>
        <v>0</v>
      </c>
      <c r="I6" s="83">
        <f t="shared" si="0"/>
        <v>0</v>
      </c>
      <c r="J6" s="84">
        <f t="shared" ref="J6:J24" si="1">SUM(C6:F6)-SUM(G6:I6)</f>
        <v>71597.340049999999</v>
      </c>
      <c r="K6" s="83">
        <f>J6*(1+Assumptions!$D$24)^-($B6-Assumptions!$D$10)</f>
        <v>56082.525907482057</v>
      </c>
      <c r="L6" s="76"/>
      <c r="M6" s="22" t="s">
        <v>264</v>
      </c>
      <c r="N6" s="70">
        <v>1.08</v>
      </c>
    </row>
    <row r="7" spans="2:29" ht="15.75" customHeight="1" x14ac:dyDescent="0.25">
      <c r="B7" s="61">
        <f>+B6+1</f>
        <v>2031</v>
      </c>
      <c r="C7" s="82">
        <f>IF(B7&lt;=Assumptions!$D$15,$O$14,0)</f>
        <v>86388.960200000001</v>
      </c>
      <c r="D7" s="122">
        <f>IF(B7&gt;Assumptions!$D$15,0,IF(OR(B7=$P$20,B7=$P$20+$Q$20,B7=$P$20+$Q$20*2,B7=$P$20+$Q$20*3),$O$20,0))</f>
        <v>0</v>
      </c>
      <c r="E7" s="123">
        <f>IF(B7&gt;Assumptions!$D$15,0,IF(OR(B7=$P$22,B7=$P$22+$Q$22,B7=$P$22+$Q$22*2,B7=$P$22+$Q$22*3,B7=$P$22+$Q$22*4,B7=$P$22+$Q$22*5,B7=$P$22+$Q$22*6,B7=$P$22+$Q$22*7),$O$22,0))+
IF(B7&gt;Assumptions!$D$15,0,IF(OR(B7=$P$23,B7=$P$23+$Q$23,B7=$P$23+$Q$23*2,B7=$P$23+$Q$23*3,B7=$P$23+$Q$23*4,B7=$P$23+$Q$23*5,B7=$P$23+$Q$23*6,B7=$P$23+$Q$23*7),$O$23,0))</f>
        <v>83333.5</v>
      </c>
      <c r="F7" s="83">
        <f>IF(B7&gt;Assumptions!$D$15,0,IF(OR(B7=$P$21,B7=$P$21+$Q$21,B7=$P$21+$Q$21+$Q$21,B7=$P$21+$Q$21+$Q$21),$O$21,0))</f>
        <v>0</v>
      </c>
      <c r="G7" s="84">
        <f>IF(B7&lt;=Assumptions!$D$15,IF(B7&lt;Assumptions!$D$14+'O&amp;M + Rehab'!$R$27,'O&amp;M + Rehab'!$O$15,$O$14),0)</f>
        <v>64791.720150000001</v>
      </c>
      <c r="H7" s="159">
        <f>IF(B7&gt;Assumptions!$D$15,0,IF(OR(B7=$Q$27,B7=$Q$27+$R$27,B7=$Q$27+$R$27+$R$27,B7=$Q$27+$R$27+$R$27),$P$27,0))</f>
        <v>0</v>
      </c>
      <c r="I7" s="83">
        <f t="shared" si="0"/>
        <v>50000.100000000006</v>
      </c>
      <c r="J7" s="84">
        <f t="shared" si="1"/>
        <v>54930.640049999987</v>
      </c>
      <c r="K7" s="83">
        <f>J7*(1+Assumptions!$D$24)^-($B7-Assumptions!$D$10)</f>
        <v>41733.679056954948</v>
      </c>
      <c r="L7" s="176"/>
      <c r="M7" s="22" t="s">
        <v>265</v>
      </c>
      <c r="N7" s="70">
        <v>1</v>
      </c>
    </row>
    <row r="8" spans="2:29" ht="15.75" customHeight="1" x14ac:dyDescent="0.25">
      <c r="B8" s="61">
        <f t="shared" ref="B8:B24" si="2">+B7+1</f>
        <v>2032</v>
      </c>
      <c r="C8" s="82">
        <f>IF(B8&lt;=Assumptions!$D$15,$O$14,0)</f>
        <v>86388.960200000001</v>
      </c>
      <c r="D8" s="122">
        <f>IF(B8&gt;Assumptions!$D$15,0,IF(OR(B8=$P$20,B8=$P$20+$Q$20,B8=$P$20+$Q$20*2,B8=$P$20+$Q$20*3),$O$20,0))</f>
        <v>0</v>
      </c>
      <c r="E8" s="123">
        <f>IF(B8&gt;Assumptions!$D$15,0,IF(OR(B8=$P$22,B8=$P$22+$Q$22,B8=$P$22+$Q$22*2,B8=$P$22+$Q$22*3,B8=$P$22+$Q$22*4,B8=$P$22+$Q$22*5,B8=$P$22+$Q$22*6,B8=$P$22+$Q$22*7),$O$22,0))+
IF(B8&gt;Assumptions!$D$15,0,IF(OR(B8=$P$23,B8=$P$23+$Q$23,B8=$P$23+$Q$23*2,B8=$P$23+$Q$23*3,B8=$P$23+$Q$23*4,B8=$P$23+$Q$23*5,B8=$P$23+$Q$23*6,B8=$P$23+$Q$23*7),$O$23,0))</f>
        <v>0</v>
      </c>
      <c r="F8" s="83">
        <f>IF(B8&gt;Assumptions!$D$15,0,IF(OR(B8=$P$21,B8=$P$21+$Q$21,B8=$P$21+$Q$21+$Q$21,B8=$P$21+$Q$21+$Q$21),$O$21,0))</f>
        <v>0</v>
      </c>
      <c r="G8" s="84">
        <f>IF(B8&lt;=Assumptions!$D$15,IF(B8&lt;Assumptions!$D$14+'O&amp;M + Rehab'!$R$27,'O&amp;M + Rehab'!$O$15,$O$14),0)</f>
        <v>64791.720150000001</v>
      </c>
      <c r="H8" s="159">
        <f>IF(B8&gt;Assumptions!$D$15,0,IF(OR(B8=$Q$27,B8=$Q$27+$R$27,B8=$Q$27+$R$27+$R$27,B8=$Q$27+$R$27+$R$27),$P$27,0))</f>
        <v>0</v>
      </c>
      <c r="I8" s="83">
        <f t="shared" si="0"/>
        <v>83333.5</v>
      </c>
      <c r="J8" s="84">
        <f t="shared" si="1"/>
        <v>-61736.259950000007</v>
      </c>
      <c r="K8" s="83">
        <f>J8*(1+Assumptions!$D$24)^-($B8-Assumptions!$D$10)</f>
        <v>-45493.95179184369</v>
      </c>
      <c r="L8" s="176"/>
      <c r="M8" s="22" t="s">
        <v>273</v>
      </c>
      <c r="N8" s="70">
        <v>0.96</v>
      </c>
    </row>
    <row r="9" spans="2:29" ht="15.75" customHeight="1" x14ac:dyDescent="0.25">
      <c r="B9" s="61">
        <f t="shared" si="2"/>
        <v>2033</v>
      </c>
      <c r="C9" s="82">
        <f>IF(B9&lt;=Assumptions!$D$15,$O$14,0)</f>
        <v>86388.960200000001</v>
      </c>
      <c r="D9" s="122">
        <f>IF(B9&gt;Assumptions!$D$15,0,IF(OR(B9=$P$20,B9=$P$20+$Q$20,B9=$P$20+$Q$20*2,B9=$P$20+$Q$20*3),$O$20,0))</f>
        <v>1843200</v>
      </c>
      <c r="E9" s="123">
        <f>IF(B9&gt;Assumptions!$D$15,0,IF(OR(B9=$P$22,B9=$P$22+$Q$22,B9=$P$22+$Q$22*2,B9=$P$22+$Q$22*3,B9=$P$22+$Q$22*4,B9=$P$22+$Q$22*5,B9=$P$22+$Q$22*6,B9=$P$22+$Q$22*7),$O$22,0))+
IF(B9&gt;Assumptions!$D$15,0,IF(OR(B9=$P$23,B9=$P$23+$Q$23,B9=$P$23+$Q$23*2,B9=$P$23+$Q$23*3,B9=$P$23+$Q$23*4,B9=$P$23+$Q$23*5,B9=$P$23+$Q$23*6,B9=$P$23+$Q$23*7),$O$23,0))</f>
        <v>50000.100000000006</v>
      </c>
      <c r="F9" s="83">
        <f>IF(B9&gt;Assumptions!$D$15,0,IF(OR(B9=$P$21,B9=$P$21+$Q$21,B9=$P$21+$Q$21+$Q$21,B9=$P$21+$Q$21+$Q$21),$O$21,0))</f>
        <v>0</v>
      </c>
      <c r="G9" s="84">
        <f>IF(B9&lt;=Assumptions!$D$15,IF(B9&lt;Assumptions!$D$14+'O&amp;M + Rehab'!$R$27,'O&amp;M + Rehab'!$O$15,$O$14),0)</f>
        <v>64791.720150000001</v>
      </c>
      <c r="H9" s="159">
        <f>IF(B9&gt;Assumptions!$D$15,0,IF(OR(B9=$Q$27,B9=$Q$27+$R$27,B9=$Q$27+$R$27+$R$27,B9=$Q$27+$R$27+$R$27),$P$27,0))</f>
        <v>0</v>
      </c>
      <c r="I9" s="83">
        <f t="shared" si="0"/>
        <v>0</v>
      </c>
      <c r="J9" s="84">
        <f t="shared" si="1"/>
        <v>1914797.3400500002</v>
      </c>
      <c r="K9" s="83">
        <f>J9*(1+Assumptions!$D$24)^-($B9-Assumptions!$D$10)</f>
        <v>1368603.0307174542</v>
      </c>
      <c r="L9" s="76"/>
      <c r="S9" s="76"/>
    </row>
    <row r="10" spans="2:29" ht="15.75" customHeight="1" x14ac:dyDescent="0.25">
      <c r="B10" s="61">
        <f t="shared" si="2"/>
        <v>2034</v>
      </c>
      <c r="C10" s="82">
        <f>IF(B10&lt;=Assumptions!$D$15,$O$14,0)</f>
        <v>86388.960200000001</v>
      </c>
      <c r="D10" s="122">
        <f>IF(B10&gt;Assumptions!$D$15,0,IF(OR(B10=$P$20,B10=$P$20+$Q$20,B10=$P$20+$Q$20*2,B10=$P$20+$Q$20*3),$O$20,0))</f>
        <v>0</v>
      </c>
      <c r="E10" s="123">
        <f>IF(B10&gt;Assumptions!$D$15,0,IF(OR(B10=$P$22,B10=$P$22+$Q$22,B10=$P$22+$Q$22*2,B10=$P$22+$Q$22*3,B10=$P$22+$Q$22*4,B10=$P$22+$Q$22*5,B10=$P$22+$Q$22*6,B10=$P$22+$Q$22*7),$O$22,0))+
IF(B10&gt;Assumptions!$D$15,0,IF(OR(B10=$P$23,B10=$P$23+$Q$23,B10=$P$23+$Q$23*2,B10=$P$23+$Q$23*3,B10=$P$23+$Q$23*4,B10=$P$23+$Q$23*5,B10=$P$23+$Q$23*6,B10=$P$23+$Q$23*7),$O$23,0))</f>
        <v>83333.5</v>
      </c>
      <c r="F10" s="83">
        <f>IF(B10&gt;Assumptions!$D$15,0,IF(OR(B10=$P$21,B10=$P$21+$Q$21,B10=$P$21+$Q$21+$Q$21,B10=$P$21+$Q$21+$Q$21),$O$21,0))</f>
        <v>0</v>
      </c>
      <c r="G10" s="84">
        <f>IF(B10&lt;=Assumptions!$D$15,IF(B10&lt;Assumptions!$D$14+'O&amp;M + Rehab'!$R$27,'O&amp;M + Rehab'!$O$15,$O$14),0)</f>
        <v>64791.720150000001</v>
      </c>
      <c r="H10" s="159">
        <f>IF(B10&gt;Assumptions!$D$15,0,IF(OR(B10=$Q$27,B10=$Q$27+$R$27,B10=$Q$27+$R$27+$R$27,B10=$Q$27+$R$27+$R$27),$P$27,0))</f>
        <v>0</v>
      </c>
      <c r="I10" s="83">
        <f t="shared" si="0"/>
        <v>0</v>
      </c>
      <c r="J10" s="84">
        <f t="shared" si="1"/>
        <v>104930.74004999999</v>
      </c>
      <c r="K10" s="83">
        <f>J10*(1+Assumptions!$D$24)^-($B10-Assumptions!$D$10)</f>
        <v>72744.263704793557</v>
      </c>
      <c r="L10" s="114"/>
      <c r="M10" s="28" t="s">
        <v>269</v>
      </c>
      <c r="S10" s="76"/>
    </row>
    <row r="11" spans="2:29" ht="15.75" customHeight="1" x14ac:dyDescent="0.25">
      <c r="B11" s="61">
        <f t="shared" si="2"/>
        <v>2035</v>
      </c>
      <c r="C11" s="82">
        <f>IF(B11&lt;=Assumptions!$D$15,$O$14,0)</f>
        <v>86388.960200000001</v>
      </c>
      <c r="D11" s="122">
        <f>IF(B11&gt;Assumptions!$D$15,0,IF(OR(B11=$P$20,B11=$P$20+$Q$20,B11=$P$20+$Q$20*2,B11=$P$20+$Q$20*3),$O$20,0))</f>
        <v>0</v>
      </c>
      <c r="E11" s="123">
        <f>IF(B11&gt;Assumptions!$D$15,0,IF(OR(B11=$P$22,B11=$P$22+$Q$22,B11=$P$22+$Q$22*2,B11=$P$22+$Q$22*3,B11=$P$22+$Q$22*4,B11=$P$22+$Q$22*5,B11=$P$22+$Q$22*6,B11=$P$22+$Q$22*7),$O$22,0))+
IF(B11&gt;Assumptions!$D$15,0,IF(OR(B11=$P$23,B11=$P$23+$Q$23,B11=$P$23+$Q$23*2,B11=$P$23+$Q$23*3,B11=$P$23+$Q$23*4,B11=$P$23+$Q$23*5,B11=$P$23+$Q$23*6,B11=$P$23+$Q$23*7),$O$23,0))</f>
        <v>0</v>
      </c>
      <c r="F11" s="83">
        <f>IF(B11&gt;Assumptions!$D$15,0,IF(OR(B11=$P$21,B11=$P$21+$Q$21,B11=$P$21+$Q$21+$Q$21,B11=$P$21+$Q$21+$Q$21),$O$21,0))</f>
        <v>0</v>
      </c>
      <c r="G11" s="84">
        <f>IF(B11&lt;=Assumptions!$D$15,IF(B11&lt;Assumptions!$D$14+'O&amp;M + Rehab'!$R$27,'O&amp;M + Rehab'!$O$15,$O$14),0)</f>
        <v>64791.720150000001</v>
      </c>
      <c r="H11" s="159">
        <f>IF(B11&gt;Assumptions!$D$15,0,IF(OR(B11=$Q$27,B11=$Q$27+$R$27,B11=$Q$27+$R$27+$R$27,B11=$Q$27+$R$27+$R$27),$P$27,0))</f>
        <v>0</v>
      </c>
      <c r="I11" s="83">
        <f t="shared" si="0"/>
        <v>0</v>
      </c>
      <c r="J11" s="84">
        <f t="shared" si="1"/>
        <v>21597.24005</v>
      </c>
      <c r="K11" s="83">
        <f>J11*(1+Assumptions!$D$24)^-($B11-Assumptions!$D$10)</f>
        <v>14522.306775442765</v>
      </c>
      <c r="L11" s="114"/>
      <c r="M11" s="21" t="s">
        <v>22</v>
      </c>
      <c r="N11" s="71" t="s">
        <v>277</v>
      </c>
      <c r="O11" s="71" t="s">
        <v>278</v>
      </c>
      <c r="S11" s="76"/>
    </row>
    <row r="12" spans="2:29" ht="15.75" customHeight="1" x14ac:dyDescent="0.25">
      <c r="B12" s="61">
        <f t="shared" si="2"/>
        <v>2036</v>
      </c>
      <c r="C12" s="82">
        <f>IF(B12&lt;=Assumptions!$D$15,$O$14,0)</f>
        <v>86388.960200000001</v>
      </c>
      <c r="D12" s="122">
        <f>IF(B12&gt;Assumptions!$D$15,0,IF(OR(B12=$P$20,B12=$P$20+$Q$20,B12=$P$20+$Q$20*2,B12=$P$20+$Q$20*3),$O$20,0))</f>
        <v>0</v>
      </c>
      <c r="E12" s="123">
        <f>IF(B12&gt;Assumptions!$D$15,0,IF(OR(B12=$P$22,B12=$P$22+$Q$22,B12=$P$22+$Q$22*2,B12=$P$22+$Q$22*3,B12=$P$22+$Q$22*4,B12=$P$22+$Q$22*5,B12=$P$22+$Q$22*6,B12=$P$22+$Q$22*7),$O$22,0))+
IF(B12&gt;Assumptions!$D$15,0,IF(OR(B12=$P$23,B12=$P$23+$Q$23,B12=$P$23+$Q$23*2,B12=$P$23+$Q$23*3,B12=$P$23+$Q$23*4,B12=$P$23+$Q$23*5,B12=$P$23+$Q$23*6,B12=$P$23+$Q$23*7),$O$23,0))</f>
        <v>50000.100000000006</v>
      </c>
      <c r="F12" s="83">
        <f>IF(B12&gt;Assumptions!$D$15,0,IF(OR(B12=$P$21,B12=$P$21+$Q$21,B12=$P$21+$Q$21+$Q$21,B12=$P$21+$Q$21+$Q$21),$O$21,0))</f>
        <v>0</v>
      </c>
      <c r="G12" s="84">
        <f>IF(B12&lt;=Assumptions!$D$15,IF(B12&lt;Assumptions!$D$14+'O&amp;M + Rehab'!$R$27,'O&amp;M + Rehab'!$O$15,$O$14),0)</f>
        <v>64791.720150000001</v>
      </c>
      <c r="H12" s="159">
        <f>IF(B12&gt;Assumptions!$D$15,0,IF(OR(B12=$Q$27,B12=$Q$27+$R$27,B12=$Q$27+$R$27+$R$27,B12=$Q$27+$R$27+$R$27),$P$27,0))</f>
        <v>0</v>
      </c>
      <c r="I12" s="83">
        <f t="shared" si="0"/>
        <v>0</v>
      </c>
      <c r="J12" s="84">
        <f t="shared" si="1"/>
        <v>71597.340049999999</v>
      </c>
      <c r="K12" s="83">
        <f>J12*(1+Assumptions!$D$24)^-($B12-Assumptions!$D$10)</f>
        <v>46695.558479632593</v>
      </c>
      <c r="L12" s="114"/>
      <c r="M12" s="22" t="s">
        <v>266</v>
      </c>
      <c r="N12" s="220">
        <v>70642.63</v>
      </c>
      <c r="O12" s="259">
        <f>N12*N6</f>
        <v>76294.040400000013</v>
      </c>
      <c r="R12" s="56"/>
      <c r="S12" s="76"/>
    </row>
    <row r="13" spans="2:29" ht="15.75" customHeight="1" x14ac:dyDescent="0.25">
      <c r="B13" s="61">
        <f t="shared" si="2"/>
        <v>2037</v>
      </c>
      <c r="C13" s="82">
        <f>IF(B13&lt;=Assumptions!$D$15,$O$14,0)</f>
        <v>86388.960200000001</v>
      </c>
      <c r="D13" s="122">
        <f>IF(B13&gt;Assumptions!$D$15,0,IF(OR(B13=$P$20,B13=$P$20+$Q$20,B13=$P$20+$Q$20*2,B13=$P$20+$Q$20*3),$O$20,0))</f>
        <v>0</v>
      </c>
      <c r="E13" s="123">
        <f>IF(B13&gt;Assumptions!$D$15,0,IF(OR(B13=$P$22,B13=$P$22+$Q$22,B13=$P$22+$Q$22*2,B13=$P$22+$Q$22*3,B13=$P$22+$Q$22*4,B13=$P$22+$Q$22*5,B13=$P$22+$Q$22*6,B13=$P$22+$Q$22*7),$O$22,0))+
IF(B13&gt;Assumptions!$D$15,0,IF(OR(B13=$P$23,B13=$P$23+$Q$23,B13=$P$23+$Q$23*2,B13=$P$23+$Q$23*3,B13=$P$23+$Q$23*4,B13=$P$23+$Q$23*5,B13=$P$23+$Q$23*6,B13=$P$23+$Q$23*7),$O$23,0))</f>
        <v>83333.5</v>
      </c>
      <c r="F13" s="83">
        <f>IF(B13&gt;Assumptions!$D$15,0,IF(OR(B13=$P$21,B13=$P$21+$Q$21,B13=$P$21+$Q$21+$Q$21,B13=$P$21+$Q$21+$Q$21),$O$21,0))</f>
        <v>0</v>
      </c>
      <c r="G13" s="84">
        <f>IF(B13&lt;=Assumptions!$D$15,IF(B13&lt;Assumptions!$D$14+'O&amp;M + Rehab'!$R$27,'O&amp;M + Rehab'!$O$15,$O$14),0)</f>
        <v>64791.720150000001</v>
      </c>
      <c r="H13" s="159">
        <f>IF(B13&gt;Assumptions!$D$15,0,IF(OR(B13=$Q$27,B13=$Q$27+$R$27,B13=$Q$27+$R$27+$R$27,B13=$Q$27+$R$27+$R$27),$P$27,0))</f>
        <v>0</v>
      </c>
      <c r="I13" s="83">
        <f t="shared" si="0"/>
        <v>0</v>
      </c>
      <c r="J13" s="84">
        <f t="shared" si="1"/>
        <v>104930.74004999999</v>
      </c>
      <c r="K13" s="83">
        <f>J13*(1+Assumptions!$D$24)^-($B13-Assumptions!$D$10)</f>
        <v>66377.785077602559</v>
      </c>
      <c r="L13" s="114"/>
      <c r="M13" s="22" t="s">
        <v>267</v>
      </c>
      <c r="N13" s="220">
        <v>96483.88</v>
      </c>
      <c r="O13" s="259">
        <f>N13*N7</f>
        <v>96483.88</v>
      </c>
      <c r="R13" s="56"/>
      <c r="S13" s="76"/>
    </row>
    <row r="14" spans="2:29" ht="15.75" customHeight="1" x14ac:dyDescent="0.25">
      <c r="B14" s="61">
        <f t="shared" si="2"/>
        <v>2038</v>
      </c>
      <c r="C14" s="82">
        <f>IF(B14&lt;=Assumptions!$D$15,$O$14,0)</f>
        <v>86388.960200000001</v>
      </c>
      <c r="D14" s="122">
        <f>IF(B14&gt;Assumptions!$D$15,0,IF(OR(B14=$P$20,B14=$P$20+$Q$20,B14=$P$20+$Q$20*2,B14=$P$20+$Q$20*3),$O$20,0))</f>
        <v>0</v>
      </c>
      <c r="E14" s="123">
        <f>IF(B14&gt;Assumptions!$D$15,0,IF(OR(B14=$P$22,B14=$P$22+$Q$22,B14=$P$22+$Q$22*2,B14=$P$22+$Q$22*3,B14=$P$22+$Q$22*4,B14=$P$22+$Q$22*5,B14=$P$22+$Q$22*6,B14=$P$22+$Q$22*7),$O$22,0))+
IF(B14&gt;Assumptions!$D$15,0,IF(OR(B14=$P$23,B14=$P$23+$Q$23,B14=$P$23+$Q$23*2,B14=$P$23+$Q$23*3,B14=$P$23+$Q$23*4,B14=$P$23+$Q$23*5,B14=$P$23+$Q$23*6,B14=$P$23+$Q$23*7),$O$23,0))</f>
        <v>0</v>
      </c>
      <c r="F14" s="83">
        <f>IF(B14&gt;Assumptions!$D$15,0,IF(OR(B14=$P$21,B14=$P$21+$Q$21,B14=$P$21+$Q$21+$Q$21,B14=$P$21+$Q$21+$Q$21),$O$21,0))</f>
        <v>0</v>
      </c>
      <c r="G14" s="84">
        <f>IF(B14&lt;=Assumptions!$D$15,IF(B14&lt;Assumptions!$D$14+'O&amp;M + Rehab'!$R$27,'O&amp;M + Rehab'!$O$15,$O$14),0)</f>
        <v>64791.720150000001</v>
      </c>
      <c r="H14" s="159">
        <f>IF(B14&gt;Assumptions!$D$15,0,IF(OR(B14=$Q$27,B14=$Q$27+$R$27,B14=$Q$27+$R$27+$R$27,B14=$Q$27+$R$27+$R$27),$P$27,0))</f>
        <v>0</v>
      </c>
      <c r="I14" s="83">
        <f t="shared" si="0"/>
        <v>0</v>
      </c>
      <c r="J14" s="84">
        <f t="shared" si="1"/>
        <v>21597.24005</v>
      </c>
      <c r="K14" s="83">
        <f>J14*(1+Assumptions!$D$24)^-($B14-Assumptions!$D$10)</f>
        <v>13251.334316658018</v>
      </c>
      <c r="L14" s="114"/>
      <c r="M14" s="525" t="s">
        <v>268</v>
      </c>
      <c r="N14" s="525"/>
      <c r="O14" s="219">
        <f>AVERAGE(O12:O13)</f>
        <v>86388.960200000001</v>
      </c>
      <c r="R14" s="56"/>
      <c r="S14" s="76"/>
    </row>
    <row r="15" spans="2:29" ht="15.75" customHeight="1" x14ac:dyDescent="0.25">
      <c r="B15" s="61">
        <f t="shared" si="2"/>
        <v>2039</v>
      </c>
      <c r="C15" s="82">
        <f>IF(B15&lt;=Assumptions!$D$15,$O$14,0)</f>
        <v>86388.960200000001</v>
      </c>
      <c r="D15" s="122">
        <f>IF(B15&gt;Assumptions!$D$15,0,IF(OR(B15=$P$20,B15=$P$20+$Q$20,B15=$P$20+$Q$20*2,B15=$P$20+$Q$20*3),$O$20,0))</f>
        <v>0</v>
      </c>
      <c r="E15" s="123">
        <f>IF(B15&gt;Assumptions!$D$15,0,IF(OR(B15=$P$22,B15=$P$22+$Q$22,B15=$P$22+$Q$22*2,B15=$P$22+$Q$22*3,B15=$P$22+$Q$22*4,B15=$P$22+$Q$22*5,B15=$P$22+$Q$22*6,B15=$P$22+$Q$22*7),$O$22,0))+
IF(B15&gt;Assumptions!$D$15,0,IF(OR(B15=$P$23,B15=$P$23+$Q$23,B15=$P$23+$Q$23*2,B15=$P$23+$Q$23*3,B15=$P$23+$Q$23*4,B15=$P$23+$Q$23*5,B15=$P$23+$Q$23*6,B15=$P$23+$Q$23*7),$O$23,0))</f>
        <v>50000.100000000006</v>
      </c>
      <c r="F15" s="83">
        <f>IF(B15&gt;Assumptions!$D$15,0,IF(OR(B15=$P$21,B15=$P$21+$Q$21,B15=$P$21+$Q$21+$Q$21,B15=$P$21+$Q$21+$Q$21),$O$21,0))</f>
        <v>0</v>
      </c>
      <c r="G15" s="84">
        <f>IF(B15&lt;=Assumptions!$D$15,IF(B15&lt;Assumptions!$D$14+'O&amp;M + Rehab'!$R$27,'O&amp;M + Rehab'!$O$15,$O$14),0)</f>
        <v>86388.960200000001</v>
      </c>
      <c r="H15" s="159">
        <f>IF(B15&gt;Assumptions!$D$15,0,IF(OR(B15=$Q$27,B15=$Q$27+$R$27,B15=$Q$27+$R$27+$R$27,B15=$Q$27+$R$27+$R$27),$P$27,0))</f>
        <v>0</v>
      </c>
      <c r="I15" s="83">
        <f t="shared" si="0"/>
        <v>0</v>
      </c>
      <c r="J15" s="84">
        <f t="shared" si="1"/>
        <v>50000.100000000006</v>
      </c>
      <c r="K15" s="83">
        <f>J15*(1+Assumptions!$D$24)^-($B15-Assumptions!$D$10)</f>
        <v>29755.932379717495</v>
      </c>
      <c r="L15" s="56"/>
      <c r="M15" s="526" t="s">
        <v>902</v>
      </c>
      <c r="N15" s="527"/>
      <c r="O15" s="219">
        <f>O14*0.75</f>
        <v>64791.720150000001</v>
      </c>
      <c r="R15" s="56"/>
      <c r="S15" s="76"/>
    </row>
    <row r="16" spans="2:29" ht="15.75" customHeight="1" x14ac:dyDescent="0.25">
      <c r="B16" s="61">
        <f t="shared" si="2"/>
        <v>2040</v>
      </c>
      <c r="C16" s="82">
        <f>IF(B16&lt;=Assumptions!$D$15,$O$14,0)</f>
        <v>86388.960200000001</v>
      </c>
      <c r="D16" s="122">
        <f>IF(B16&gt;Assumptions!$D$15,0,IF(OR(B16=$P$20,B16=$P$20+$Q$20,B16=$P$20+$Q$20*2,B16=$P$20+$Q$20*3),$O$20,0))</f>
        <v>1843200</v>
      </c>
      <c r="E16" s="123">
        <f>IF(B16&gt;Assumptions!$D$15,0,IF(OR(B16=$P$22,B16=$P$22+$Q$22,B16=$P$22+$Q$22*2,B16=$P$22+$Q$22*3,B16=$P$22+$Q$22*4,B16=$P$22+$Q$22*5,B16=$P$22+$Q$22*6,B16=$P$22+$Q$22*7),$O$22,0))+
IF(B16&gt;Assumptions!$D$15,0,IF(OR(B16=$P$23,B16=$P$23+$Q$23,B16=$P$23+$Q$23*2,B16=$P$23+$Q$23*3,B16=$P$23+$Q$23*4,B16=$P$23+$Q$23*5,B16=$P$23+$Q$23*6,B16=$P$23+$Q$23*7),$O$23,0))</f>
        <v>83333.5</v>
      </c>
      <c r="F16" s="83">
        <f>IF(B16&gt;Assumptions!$D$15,0,IF(OR(B16=$P$21,B16=$P$21+$Q$21,B16=$P$21+$Q$21+$Q$21,B16=$P$21+$Q$21+$Q$21),$O$21,0))</f>
        <v>3379200</v>
      </c>
      <c r="G16" s="84">
        <f>IF(B16&lt;=Assumptions!$D$15,IF(B16&lt;Assumptions!$D$14+'O&amp;M + Rehab'!$R$27,'O&amp;M + Rehab'!$O$15,$O$14),0)</f>
        <v>86388.960200000001</v>
      </c>
      <c r="H16" s="159">
        <f>IF(B16&gt;Assumptions!$D$15,0,IF(OR(B16=$Q$27,B16=$Q$27+$R$27,B16=$Q$27+$R$27+$R$27,B16=$Q$27+$R$27+$R$27),$P$27,0))</f>
        <v>0</v>
      </c>
      <c r="I16" s="83">
        <f t="shared" si="0"/>
        <v>0</v>
      </c>
      <c r="J16" s="84">
        <f t="shared" si="1"/>
        <v>5305733.5000000009</v>
      </c>
      <c r="K16" s="83">
        <f>J16*(1+Assumptions!$D$24)^-($B16-Assumptions!$D$10)</f>
        <v>3062594.2094537122</v>
      </c>
      <c r="L16" s="56"/>
      <c r="M16" t="s">
        <v>903</v>
      </c>
      <c r="R16" s="56"/>
      <c r="S16" s="76"/>
    </row>
    <row r="17" spans="1:19" ht="15.75" customHeight="1" x14ac:dyDescent="0.25">
      <c r="B17" s="61">
        <f t="shared" si="2"/>
        <v>2041</v>
      </c>
      <c r="C17" s="82">
        <f>IF(B17&lt;=Assumptions!$D$15,$O$14,0)</f>
        <v>86388.960200000001</v>
      </c>
      <c r="D17" s="122">
        <f>IF(B17&gt;Assumptions!$D$15,0,IF(OR(B17=$P$20,B17=$P$20+$Q$20,B17=$P$20+$Q$20*2,B17=$P$20+$Q$20*3),$O$20,0))</f>
        <v>0</v>
      </c>
      <c r="E17" s="123">
        <f>IF(B17&gt;Assumptions!$D$15,0,IF(OR(B17=$P$22,B17=$P$22+$Q$22,B17=$P$22+$Q$22*2,B17=$P$22+$Q$22*3,B17=$P$22+$Q$22*4,B17=$P$22+$Q$22*5,B17=$P$22+$Q$22*6,B17=$P$22+$Q$22*7),$O$22,0))+
IF(B17&gt;Assumptions!$D$15,0,IF(OR(B17=$P$23,B17=$P$23+$Q$23,B17=$P$23+$Q$23*2,B17=$P$23+$Q$23*3,B17=$P$23+$Q$23*4,B17=$P$23+$Q$23*5,B17=$P$23+$Q$23*6,B17=$P$23+$Q$23*7),$O$23,0))</f>
        <v>0</v>
      </c>
      <c r="F17" s="83">
        <f>IF(B17&gt;Assumptions!$D$15,0,IF(OR(B17=$P$21,B17=$P$21+$Q$21,B17=$P$21+$Q$21+$Q$21,B17=$P$21+$Q$21+$Q$21),$O$21,0))</f>
        <v>0</v>
      </c>
      <c r="G17" s="84">
        <f>IF(B17&lt;=Assumptions!$D$15,IF(B17&lt;Assumptions!$D$14+'O&amp;M + Rehab'!$R$27,'O&amp;M + Rehab'!$O$15,$O$14),0)</f>
        <v>86388.960200000001</v>
      </c>
      <c r="H17" s="159">
        <f>IF(B17&gt;Assumptions!$D$15,0,IF(OR(B17=$Q$27,B17=$Q$27+$R$27,B17=$Q$27+$R$27+$R$27,B17=$Q$27+$R$27+$R$27),$P$27,0))</f>
        <v>0</v>
      </c>
      <c r="I17" s="83">
        <f t="shared" si="0"/>
        <v>0</v>
      </c>
      <c r="J17" s="84">
        <f t="shared" si="1"/>
        <v>0</v>
      </c>
      <c r="K17" s="83">
        <f>J17*(1+Assumptions!$D$24)^-($B17-Assumptions!$D$10)</f>
        <v>0</v>
      </c>
      <c r="L17" s="56"/>
      <c r="S17" s="76"/>
    </row>
    <row r="18" spans="1:19" ht="15.75" customHeight="1" x14ac:dyDescent="0.25">
      <c r="B18" s="61">
        <f t="shared" si="2"/>
        <v>2042</v>
      </c>
      <c r="C18" s="82">
        <f>IF(B18&lt;=Assumptions!$D$15,$O$14,0)</f>
        <v>86388.960200000001</v>
      </c>
      <c r="D18" s="122">
        <f>IF(B18&gt;Assumptions!$D$15,0,IF(OR(B18=$P$20,B18=$P$20+$Q$20,B18=$P$20+$Q$20*2,B18=$P$20+$Q$20*3),$O$20,0))</f>
        <v>0</v>
      </c>
      <c r="E18" s="123">
        <f>IF(B18&gt;Assumptions!$D$15,0,IF(OR(B18=$P$22,B18=$P$22+$Q$22,B18=$P$22+$Q$22*2,B18=$P$22+$Q$22*3,B18=$P$22+$Q$22*4,B18=$P$22+$Q$22*5,B18=$P$22+$Q$22*6,B18=$P$22+$Q$22*7),$O$22,0))+
IF(B18&gt;Assumptions!$D$15,0,IF(OR(B18=$P$23,B18=$P$23+$Q$23,B18=$P$23+$Q$23*2,B18=$P$23+$Q$23*3,B18=$P$23+$Q$23*4,B18=$P$23+$Q$23*5,B18=$P$23+$Q$23*6,B18=$P$23+$Q$23*7),$O$23,0))</f>
        <v>50000.100000000006</v>
      </c>
      <c r="F18" s="83">
        <f>IF(B18&gt;Assumptions!$D$15,0,IF(OR(B18=$P$21,B18=$P$21+$Q$21,B18=$P$21+$Q$21+$Q$21,B18=$P$21+$Q$21+$Q$21),$O$21,0))</f>
        <v>0</v>
      </c>
      <c r="G18" s="84">
        <f>IF(B18&lt;=Assumptions!$D$15,IF(B18&lt;Assumptions!$D$14+'O&amp;M + Rehab'!$R$27,'O&amp;M + Rehab'!$O$15,$O$14),0)</f>
        <v>86388.960200000001</v>
      </c>
      <c r="H18" s="159">
        <f>IF(B18&gt;Assumptions!$D$15,0,IF(OR(B18=$Q$27,B18=$Q$27+$R$27,B18=$Q$27+$R$27+$R$27,B18=$Q$27+$R$27+$R$27),$P$27,0))</f>
        <v>0</v>
      </c>
      <c r="I18" s="83">
        <f t="shared" si="0"/>
        <v>0</v>
      </c>
      <c r="J18" s="84">
        <f t="shared" si="1"/>
        <v>50000.100000000006</v>
      </c>
      <c r="K18" s="83">
        <f>J18*(1+Assumptions!$D$24)^-($B18-Assumptions!$D$10)</f>
        <v>27151.733809554109</v>
      </c>
      <c r="L18" s="56"/>
      <c r="M18" s="28" t="s">
        <v>283</v>
      </c>
      <c r="R18" s="76"/>
      <c r="S18" s="76"/>
    </row>
    <row r="19" spans="1:19" ht="15.75" customHeight="1" x14ac:dyDescent="0.25">
      <c r="B19" s="61">
        <f t="shared" si="2"/>
        <v>2043</v>
      </c>
      <c r="C19" s="82">
        <f>IF(B19&lt;=Assumptions!$D$15,$O$14,0)</f>
        <v>86388.960200000001</v>
      </c>
      <c r="D19" s="122">
        <f>IF(B19&gt;Assumptions!$D$15,0,IF(OR(B19=$P$20,B19=$P$20+$Q$20,B19=$P$20+$Q$20*2,B19=$P$20+$Q$20*3),$O$20,0))</f>
        <v>0</v>
      </c>
      <c r="E19" s="123">
        <f>IF(B19&gt;Assumptions!$D$15,0,IF(OR(B19=$P$22,B19=$P$22+$Q$22,B19=$P$22+$Q$22*2,B19=$P$22+$Q$22*3,B19=$P$22+$Q$22*4,B19=$P$22+$Q$22*5,B19=$P$22+$Q$22*6,B19=$P$22+$Q$22*7),$O$22,0))+
IF(B19&gt;Assumptions!$D$15,0,IF(OR(B19=$P$23,B19=$P$23+$Q$23,B19=$P$23+$Q$23*2,B19=$P$23+$Q$23*3,B19=$P$23+$Q$23*4,B19=$P$23+$Q$23*5,B19=$P$23+$Q$23*6,B19=$P$23+$Q$23*7),$O$23,0))</f>
        <v>83333.5</v>
      </c>
      <c r="F19" s="83">
        <f>IF(B19&gt;Assumptions!$D$15,0,IF(OR(B19=$P$21,B19=$P$21+$Q$21,B19=$P$21+$Q$21+$Q$21,B19=$P$21+$Q$21+$Q$21),$O$21,0))</f>
        <v>0</v>
      </c>
      <c r="G19" s="84">
        <f>IF(B19&lt;=Assumptions!$D$15,IF(B19&lt;Assumptions!$D$14+'O&amp;M + Rehab'!$R$27,'O&amp;M + Rehab'!$O$15,$O$14),0)</f>
        <v>86388.960200000001</v>
      </c>
      <c r="H19" s="159">
        <f>IF(B19&gt;Assumptions!$D$15,0,IF(OR(B19=$Q$27,B19=$Q$27+$R$27,B19=$Q$27+$R$27+$R$27,B19=$Q$27+$R$27+$R$27),$P$27,0))</f>
        <v>0</v>
      </c>
      <c r="I19" s="83">
        <f t="shared" si="0"/>
        <v>0</v>
      </c>
      <c r="J19" s="84">
        <f t="shared" si="1"/>
        <v>83333.5</v>
      </c>
      <c r="K19" s="83">
        <f>J19*(1+Assumptions!$D$24)^-($B19-Assumptions!$D$10)</f>
        <v>43892.230535974952</v>
      </c>
      <c r="L19" s="56"/>
      <c r="M19" s="20" t="s">
        <v>270</v>
      </c>
      <c r="N19" s="21" t="s">
        <v>279</v>
      </c>
      <c r="O19" s="21" t="s">
        <v>280</v>
      </c>
      <c r="P19" s="21" t="s">
        <v>275</v>
      </c>
      <c r="Q19" s="21" t="s">
        <v>274</v>
      </c>
      <c r="R19" s="76"/>
      <c r="S19" s="76"/>
    </row>
    <row r="20" spans="1:19" ht="15.75" customHeight="1" x14ac:dyDescent="0.25">
      <c r="B20" s="61">
        <f t="shared" si="2"/>
        <v>2044</v>
      </c>
      <c r="C20" s="82">
        <f>IF(B20&lt;=Assumptions!$D$15,$O$14,0)</f>
        <v>86388.960200000001</v>
      </c>
      <c r="D20" s="122">
        <f>IF(B20&gt;Assumptions!$D$15,0,IF(OR(B20=$P$20,B20=$P$20+$Q$20,B20=$P$20+$Q$20*2,B20=$P$20+$Q$20*3),$O$20,0))</f>
        <v>0</v>
      </c>
      <c r="E20" s="123">
        <f>IF(B20&gt;Assumptions!$D$15,0,IF(OR(B20=$P$22,B20=$P$22+$Q$22,B20=$P$22+$Q$22*2,B20=$P$22+$Q$22*3,B20=$P$22+$Q$22*4,B20=$P$22+$Q$22*5,B20=$P$22+$Q$22*6,B20=$P$22+$Q$22*7),$O$22,0))+
IF(B20&gt;Assumptions!$D$15,0,IF(OR(B20=$P$23,B20=$P$23+$Q$23,B20=$P$23+$Q$23*2,B20=$P$23+$Q$23*3,B20=$P$23+$Q$23*4,B20=$P$23+$Q$23*5,B20=$P$23+$Q$23*6,B20=$P$23+$Q$23*7),$O$23,0))</f>
        <v>0</v>
      </c>
      <c r="F20" s="83">
        <f>IF(B20&gt;Assumptions!$D$15,0,IF(OR(B20=$P$21,B20=$P$21+$Q$21,B20=$P$21+$Q$21+$Q$21,B20=$P$21+$Q$21+$Q$21),$O$21,0))</f>
        <v>0</v>
      </c>
      <c r="G20" s="84">
        <f>IF(B20&lt;=Assumptions!$D$15,IF(B20&lt;Assumptions!$D$14+'O&amp;M + Rehab'!$R$27,'O&amp;M + Rehab'!$O$15,$O$14),0)</f>
        <v>86388.960200000001</v>
      </c>
      <c r="H20" s="159">
        <f>IF(B20&gt;Assumptions!$D$15,0,IF(OR(B20=$Q$27,B20=$Q$27+$R$27,B20=$Q$27+$R$27+$R$27,B20=$Q$27+$R$27+$R$27),$P$27,0))</f>
        <v>0</v>
      </c>
      <c r="I20" s="83">
        <f t="shared" si="0"/>
        <v>0</v>
      </c>
      <c r="J20" s="84">
        <f t="shared" si="1"/>
        <v>0</v>
      </c>
      <c r="K20" s="83">
        <f>J20*(1+Assumptions!$D$24)^-($B20-Assumptions!$D$10)</f>
        <v>0</v>
      </c>
      <c r="L20" s="56"/>
      <c r="M20" s="20" t="s">
        <v>271</v>
      </c>
      <c r="N20" s="220">
        <v>1920000</v>
      </c>
      <c r="O20" s="259">
        <f>N20*N8</f>
        <v>1843200</v>
      </c>
      <c r="P20" s="37">
        <v>2026</v>
      </c>
      <c r="Q20" s="37">
        <v>7</v>
      </c>
      <c r="R20" s="76"/>
      <c r="S20" s="76"/>
    </row>
    <row r="21" spans="1:19" ht="15.75" customHeight="1" x14ac:dyDescent="0.25">
      <c r="B21" s="61">
        <f t="shared" si="2"/>
        <v>2045</v>
      </c>
      <c r="C21" s="82">
        <f>IF(B21&lt;=Assumptions!$D$15,$O$14,0)</f>
        <v>86388.960200000001</v>
      </c>
      <c r="D21" s="122">
        <f>IF(B21&gt;Assumptions!$D$15,0,IF(OR(B21=$P$20,B21=$P$20+$Q$20,B21=$P$20+$Q$20*2,B21=$P$20+$Q$20*3),$O$20,0))</f>
        <v>0</v>
      </c>
      <c r="E21" s="123">
        <f>IF(B21&gt;Assumptions!$D$15,0,IF(OR(B21=$P$22,B21=$P$22+$Q$22,B21=$P$22+$Q$22*2,B21=$P$22+$Q$22*3,B21=$P$22+$Q$22*4,B21=$P$22+$Q$22*5,B21=$P$22+$Q$22*6,B21=$P$22+$Q$22*7),$O$22,0))+
IF(B21&gt;Assumptions!$D$15,0,IF(OR(B21=$P$23,B21=$P$23+$Q$23,B21=$P$23+$Q$23*2,B21=$P$23+$Q$23*3,B21=$P$23+$Q$23*4,B21=$P$23+$Q$23*5,B21=$P$23+$Q$23*6,B21=$P$23+$Q$23*7),$O$23,0))</f>
        <v>50000.100000000006</v>
      </c>
      <c r="F21" s="83">
        <f>IF(B21&gt;Assumptions!$D$15,0,IF(OR(B21=$P$21,B21=$P$21+$Q$21,B21=$P$21+$Q$21+$Q$21,B21=$P$21+$Q$21+$Q$21),$O$21,0))</f>
        <v>0</v>
      </c>
      <c r="G21" s="84">
        <f>IF(B21&lt;=Assumptions!$D$15,IF(B21&lt;Assumptions!$D$14+'O&amp;M + Rehab'!$R$27,'O&amp;M + Rehab'!$O$15,$O$14),0)</f>
        <v>86388.960200000001</v>
      </c>
      <c r="H21" s="159">
        <f>IF(B21&gt;Assumptions!$D$15,0,IF(OR(B21=$Q$27,B21=$Q$27+$R$27,B21=$Q$27+$R$27+$R$27,B21=$Q$27+$R$27+$R$27),$P$27,0))</f>
        <v>0</v>
      </c>
      <c r="I21" s="83">
        <f t="shared" si="0"/>
        <v>0</v>
      </c>
      <c r="J21" s="84">
        <f t="shared" si="1"/>
        <v>50000.100000000006</v>
      </c>
      <c r="K21" s="83">
        <f>J21*(1+Assumptions!$D$24)^-($B21-Assumptions!$D$10)</f>
        <v>24775.451142219681</v>
      </c>
      <c r="L21" s="56"/>
      <c r="M21" s="20" t="s">
        <v>272</v>
      </c>
      <c r="N21" s="220">
        <v>3520000</v>
      </c>
      <c r="O21" s="259">
        <f>N21*N8</f>
        <v>3379200</v>
      </c>
      <c r="P21" s="37">
        <v>2040</v>
      </c>
      <c r="Q21" s="37">
        <v>20</v>
      </c>
      <c r="R21" s="76"/>
      <c r="S21" s="76"/>
    </row>
    <row r="22" spans="1:19" ht="15.75" customHeight="1" x14ac:dyDescent="0.25">
      <c r="B22" s="61">
        <f t="shared" si="2"/>
        <v>2046</v>
      </c>
      <c r="C22" s="82">
        <f>IF(B22&lt;=Assumptions!$D$15,$O$14,0)</f>
        <v>86388.960200000001</v>
      </c>
      <c r="D22" s="122">
        <f>IF(B22&gt;Assumptions!$D$15,0,IF(OR(B22=$P$20,B22=$P$20+$Q$20,B22=$P$20+$Q$20*2,B22=$P$20+$Q$20*3),$O$20,0))</f>
        <v>0</v>
      </c>
      <c r="E22" s="123">
        <f>IF(B22&gt;Assumptions!$D$15,0,IF(OR(B22=$P$22,B22=$P$22+$Q$22,B22=$P$22+$Q$22*2,B22=$P$22+$Q$22*3,B22=$P$22+$Q$22*4,B22=$P$22+$Q$22*5,B22=$P$22+$Q$22*6,B22=$P$22+$Q$22*7),$O$22,0))+
IF(B22&gt;Assumptions!$D$15,0,IF(OR(B22=$P$23,B22=$P$23+$Q$23,B22=$P$23+$Q$23*2,B22=$P$23+$Q$23*3,B22=$P$23+$Q$23*4,B22=$P$23+$Q$23*5,B22=$P$23+$Q$23*6,B22=$P$23+$Q$23*7),$O$23,0))</f>
        <v>83333.5</v>
      </c>
      <c r="F22" s="83">
        <f>IF(B22&gt;Assumptions!$D$15,0,IF(OR(B22=$P$21,B22=$P$21+$Q$21,B22=$P$21+$Q$21+$Q$21,B22=$P$21+$Q$21+$Q$21),$O$21,0))</f>
        <v>0</v>
      </c>
      <c r="G22" s="84">
        <f>IF(B22&lt;=Assumptions!$D$15,IF(B22&lt;Assumptions!$D$14+'O&amp;M + Rehab'!$R$27,'O&amp;M + Rehab'!$O$15,$O$14),0)</f>
        <v>86388.960200000001</v>
      </c>
      <c r="H22" s="159">
        <f>IF(B22&gt;Assumptions!$D$15,0,IF(OR(B22=$Q$27,B22=$Q$27+$R$27,B22=$Q$27+$R$27+$R$27,B22=$Q$27+$R$27+$R$27),$P$27,0))</f>
        <v>0</v>
      </c>
      <c r="I22" s="83">
        <f t="shared" si="0"/>
        <v>50000.100000000006</v>
      </c>
      <c r="J22" s="84">
        <f t="shared" si="1"/>
        <v>33333.399999999994</v>
      </c>
      <c r="K22" s="83">
        <f>J22*(1+Assumptions!$D$24)^-($B22-Assumptions!$D$10)</f>
        <v>16020.336981713339</v>
      </c>
      <c r="L22" s="56"/>
      <c r="M22" s="20" t="s">
        <v>770</v>
      </c>
      <c r="N22" s="259" t="s">
        <v>246</v>
      </c>
      <c r="O22" s="259">
        <f>P28</f>
        <v>50000.100000000006</v>
      </c>
      <c r="P22" s="37">
        <v>2027</v>
      </c>
      <c r="Q22" s="37">
        <v>3</v>
      </c>
      <c r="R22" s="76"/>
    </row>
    <row r="23" spans="1:19" ht="15.75" customHeight="1" x14ac:dyDescent="0.25">
      <c r="B23" s="61">
        <f t="shared" si="2"/>
        <v>2047</v>
      </c>
      <c r="C23" s="82">
        <f>IF(B23&lt;=Assumptions!$D$15,$O$14,0)</f>
        <v>86388.960200000001</v>
      </c>
      <c r="D23" s="122">
        <f>IF(B23&gt;Assumptions!$D$15,0,IF(OR(B23=$P$20,B23=$P$20+$Q$20,B23=$P$20+$Q$20*2,B23=$P$20+$Q$20*3),$O$20,0))</f>
        <v>1843200</v>
      </c>
      <c r="E23" s="123">
        <f>IF(B23&gt;Assumptions!$D$15,0,IF(OR(B23=$P$22,B23=$P$22+$Q$22,B23=$P$22+$Q$22*2,B23=$P$22+$Q$22*3,B23=$P$22+$Q$22*4,B23=$P$22+$Q$22*5,B23=$P$22+$Q$22*6,B23=$P$22+$Q$22*7),$O$22,0))+
IF(B23&gt;Assumptions!$D$15,0,IF(OR(B23=$P$23,B23=$P$23+$Q$23,B23=$P$23+$Q$23*2,B23=$P$23+$Q$23*3,B23=$P$23+$Q$23*4,B23=$P$23+$Q$23*5,B23=$P$23+$Q$23*6,B23=$P$23+$Q$23*7),$O$23,0))</f>
        <v>0</v>
      </c>
      <c r="F23" s="83">
        <f>IF(B23&gt;Assumptions!$D$15,0,IF(OR(B23=$P$21,B23=$P$21+$Q$21,B23=$P$21+$Q$21+$Q$21,B23=$P$21+$Q$21+$Q$21),$O$21,0))</f>
        <v>0</v>
      </c>
      <c r="G23" s="84">
        <f>IF(B23&lt;=Assumptions!$D$15,IF(B23&lt;Assumptions!$D$14+'O&amp;M + Rehab'!$R$27,'O&amp;M + Rehab'!$O$15,$O$14),0)</f>
        <v>86388.960200000001</v>
      </c>
      <c r="H23" s="159">
        <f>IF(B23&gt;Assumptions!$D$15,0,IF(OR(B23=$Q$27,B23=$Q$27+$R$27,B23=$Q$27+$R$27+$R$27,B23=$Q$27+$R$27+$R$27),$P$27,0))</f>
        <v>1843200</v>
      </c>
      <c r="I23" s="83">
        <f t="shared" si="0"/>
        <v>83333.5</v>
      </c>
      <c r="J23" s="84">
        <f t="shared" si="1"/>
        <v>-83333.5</v>
      </c>
      <c r="K23" s="83">
        <f>J23*(1+Assumptions!$D$24)^-($B23-Assumptions!$D$10)</f>
        <v>-38846.597918800537</v>
      </c>
      <c r="L23" s="56"/>
      <c r="M23" s="20" t="s">
        <v>771</v>
      </c>
      <c r="N23" s="259" t="s">
        <v>246</v>
      </c>
      <c r="O23" s="259">
        <f>P29</f>
        <v>83333.5</v>
      </c>
      <c r="P23" s="37">
        <v>2028</v>
      </c>
      <c r="Q23" s="37">
        <v>3</v>
      </c>
    </row>
    <row r="24" spans="1:19" ht="15.75" customHeight="1" thickBot="1" x14ac:dyDescent="0.3">
      <c r="B24" s="62">
        <f t="shared" si="2"/>
        <v>2048</v>
      </c>
      <c r="C24" s="85">
        <f>IF(B24&lt;=Assumptions!$D$15,$O$14,0)</f>
        <v>86388.960200000001</v>
      </c>
      <c r="D24" s="126">
        <f>IF(B24&gt;Assumptions!$D$15,0,IF(OR(B24=$P$20,B24=$P$20+$Q$20,B24=$P$20+$Q$20*2,B24=$P$20+$Q$20*3),$O$20,0))</f>
        <v>0</v>
      </c>
      <c r="E24" s="127">
        <f>IF(B24&gt;Assumptions!$D$15,0,IF(OR(B24=$P$22,B24=$P$22+$Q$22,B24=$P$22+$Q$22*2,B24=$P$22+$Q$22*3,B24=$P$22+$Q$22*4,B24=$P$22+$Q$22*5,B24=$P$22+$Q$22*6,B24=$P$22+$Q$22*7),$O$22,0))+
IF(B24&gt;Assumptions!$D$15,0,IF(OR(B24=$P$23,B24=$P$23+$Q$23,B24=$P$23+$Q$23*2,B24=$P$23+$Q$23*3,B24=$P$23+$Q$23*4,B24=$P$23+$Q$23*5,B24=$P$23+$Q$23*6,B24=$P$23+$Q$23*7),$O$23,0))</f>
        <v>50000.100000000006</v>
      </c>
      <c r="F24" s="86">
        <f>IF(B24&gt;Assumptions!$D$15,0,IF(OR(B24=$P$21,B24=$P$21+$Q$21,B24=$P$21+$Q$21+$Q$21,B24=$P$21+$Q$21+$Q$21),$O$21,0))</f>
        <v>0</v>
      </c>
      <c r="G24" s="87">
        <f>IF(B24&lt;=Assumptions!$D$15,IF(B24&lt;Assumptions!$D$14+'O&amp;M + Rehab'!$R$27,'O&amp;M + Rehab'!$O$15,$O$14),0)</f>
        <v>86388.960200000001</v>
      </c>
      <c r="H24" s="165">
        <f>IF(B24&gt;Assumptions!$D$15,0,IF(OR(B24=$Q$27,B24=$Q$27+$R$27,B24=$Q$27+$R$27+$R$27,B24=$Q$27+$R$27+$R$27),$P$27,0))</f>
        <v>0</v>
      </c>
      <c r="I24" s="86">
        <f t="shared" si="0"/>
        <v>0</v>
      </c>
      <c r="J24" s="87">
        <f t="shared" si="1"/>
        <v>50000.100000000006</v>
      </c>
      <c r="K24" s="86">
        <f>J24*(1+Assumptions!$D$24)^-($B24-Assumptions!$D$10)</f>
        <v>22607.137489117682</v>
      </c>
      <c r="L24" s="56"/>
      <c r="S24" s="76"/>
    </row>
    <row r="25" spans="1:19" ht="15.75" customHeight="1" thickBot="1" x14ac:dyDescent="0.3">
      <c r="J25" s="67" t="s">
        <v>1</v>
      </c>
      <c r="K25" s="542">
        <f>SUM(K5:K24)</f>
        <v>4839908.6173683386</v>
      </c>
      <c r="L25" s="56"/>
      <c r="M25" s="28" t="s">
        <v>284</v>
      </c>
      <c r="R25" s="76"/>
      <c r="S25" s="76"/>
    </row>
    <row r="26" spans="1:19" ht="15.75" customHeight="1" x14ac:dyDescent="0.25">
      <c r="B26" s="38"/>
      <c r="C26" s="77"/>
      <c r="D26" s="77"/>
      <c r="E26" s="77"/>
      <c r="F26" s="77"/>
      <c r="G26" s="77"/>
      <c r="H26" s="77"/>
      <c r="I26" s="77"/>
      <c r="J26" s="77"/>
      <c r="K26" s="77"/>
      <c r="L26" s="56"/>
      <c r="M26" s="20" t="s">
        <v>270</v>
      </c>
      <c r="N26" s="21" t="s">
        <v>776</v>
      </c>
      <c r="O26" s="21" t="s">
        <v>777</v>
      </c>
      <c r="P26" s="21" t="s">
        <v>280</v>
      </c>
      <c r="Q26" s="21" t="s">
        <v>275</v>
      </c>
      <c r="R26" s="21" t="s">
        <v>274</v>
      </c>
      <c r="S26" s="76"/>
    </row>
    <row r="27" spans="1:19" ht="15.75" customHeight="1" x14ac:dyDescent="0.25">
      <c r="B27" s="7"/>
      <c r="C27" s="7"/>
      <c r="D27" s="7"/>
      <c r="E27" s="7"/>
      <c r="F27" s="7"/>
      <c r="G27" s="7"/>
      <c r="H27" s="7"/>
      <c r="I27" s="7"/>
      <c r="J27" s="7"/>
      <c r="L27" s="56"/>
      <c r="M27" s="20" t="s">
        <v>271</v>
      </c>
      <c r="N27" s="21" t="s">
        <v>246</v>
      </c>
      <c r="O27" s="21" t="s">
        <v>246</v>
      </c>
      <c r="P27" s="259">
        <f>O20</f>
        <v>1843200</v>
      </c>
      <c r="Q27" s="37">
        <v>2047</v>
      </c>
      <c r="R27" s="37">
        <v>10</v>
      </c>
      <c r="S27" s="296"/>
    </row>
    <row r="28" spans="1:19" ht="15.75" customHeight="1" x14ac:dyDescent="0.25">
      <c r="B28" s="1" t="s">
        <v>2</v>
      </c>
      <c r="L28" s="56"/>
      <c r="M28" s="20" t="s">
        <v>770</v>
      </c>
      <c r="N28" s="220">
        <v>3</v>
      </c>
      <c r="O28" s="295">
        <v>16666.7</v>
      </c>
      <c r="P28" s="259">
        <f>N28*O28</f>
        <v>50000.100000000006</v>
      </c>
      <c r="Q28" s="37">
        <v>2031</v>
      </c>
      <c r="R28" s="37">
        <v>15</v>
      </c>
      <c r="S28" s="76"/>
    </row>
    <row r="29" spans="1:19" ht="15.75" customHeight="1" x14ac:dyDescent="0.25">
      <c r="A29" s="2" t="s">
        <v>14</v>
      </c>
      <c r="B29" s="406" t="s">
        <v>933</v>
      </c>
      <c r="C29" s="406"/>
      <c r="D29" s="406"/>
      <c r="E29" s="406"/>
      <c r="F29" s="406"/>
      <c r="G29" s="406"/>
      <c r="H29" s="406"/>
      <c r="I29" s="406"/>
      <c r="J29" s="406"/>
      <c r="K29" s="35"/>
      <c r="L29" s="56"/>
      <c r="M29" s="20" t="s">
        <v>771</v>
      </c>
      <c r="N29" s="220">
        <v>5</v>
      </c>
      <c r="O29" s="295">
        <v>16666.7</v>
      </c>
      <c r="P29" s="259">
        <f>N29*O29</f>
        <v>83333.5</v>
      </c>
      <c r="Q29" s="37">
        <f>Q28+1</f>
        <v>2032</v>
      </c>
      <c r="R29" s="37">
        <v>15</v>
      </c>
      <c r="S29" s="76"/>
    </row>
    <row r="30" spans="1:19" ht="15.75" customHeight="1" x14ac:dyDescent="0.25">
      <c r="B30" s="406"/>
      <c r="C30" s="406"/>
      <c r="D30" s="406"/>
      <c r="E30" s="406"/>
      <c r="F30" s="406"/>
      <c r="G30" s="406"/>
      <c r="H30" s="406"/>
      <c r="I30" s="406"/>
      <c r="J30" s="406"/>
      <c r="K30" s="35"/>
      <c r="L30" s="56"/>
      <c r="S30" s="76"/>
    </row>
    <row r="31" spans="1:19" ht="15.75" customHeight="1" x14ac:dyDescent="0.25">
      <c r="B31" s="406"/>
      <c r="C31" s="406"/>
      <c r="D31" s="406"/>
      <c r="E31" s="406"/>
      <c r="F31" s="406"/>
      <c r="G31" s="406"/>
      <c r="H31" s="406"/>
      <c r="I31" s="406"/>
      <c r="J31" s="406"/>
      <c r="K31" s="35"/>
      <c r="L31" s="56"/>
      <c r="S31" s="76"/>
    </row>
    <row r="32" spans="1:19" ht="15.75" customHeight="1" x14ac:dyDescent="0.25">
      <c r="K32" s="35"/>
      <c r="L32" s="56"/>
      <c r="S32" s="76"/>
    </row>
    <row r="33" spans="1:25" ht="15.75" customHeight="1" x14ac:dyDescent="0.25">
      <c r="A33" s="2" t="s">
        <v>15</v>
      </c>
      <c r="B33" s="406" t="s">
        <v>905</v>
      </c>
      <c r="C33" s="406"/>
      <c r="D33" s="406"/>
      <c r="E33" s="406"/>
      <c r="F33" s="406"/>
      <c r="G33" s="406"/>
      <c r="H33" s="406"/>
      <c r="I33" s="406"/>
      <c r="J33" s="406"/>
      <c r="K33" s="35"/>
      <c r="L33" s="56"/>
      <c r="M33" s="224"/>
      <c r="S33" s="76"/>
      <c r="Y33" s="32"/>
    </row>
    <row r="34" spans="1:25" ht="15.75" customHeight="1" x14ac:dyDescent="0.25">
      <c r="B34" s="35"/>
      <c r="C34" s="35"/>
      <c r="D34" s="35"/>
      <c r="E34" s="35"/>
      <c r="F34" s="35"/>
      <c r="G34" s="35"/>
      <c r="H34" s="35"/>
      <c r="I34" s="35"/>
      <c r="J34" s="35"/>
      <c r="K34" s="35"/>
      <c r="L34" s="56"/>
      <c r="S34" s="76"/>
      <c r="Y34" s="32"/>
    </row>
    <row r="35" spans="1:25" ht="15.75" customHeight="1" x14ac:dyDescent="0.25">
      <c r="L35" s="56"/>
      <c r="P35" s="56"/>
      <c r="Q35" s="224"/>
      <c r="R35" s="76"/>
      <c r="S35" s="76"/>
      <c r="Y35" s="32"/>
    </row>
    <row r="36" spans="1:25" ht="15.75" customHeight="1" x14ac:dyDescent="0.25">
      <c r="L36" s="56"/>
      <c r="P36" s="56"/>
      <c r="Q36" s="76"/>
      <c r="R36" s="76"/>
      <c r="S36" s="76"/>
      <c r="Y36" s="32"/>
    </row>
    <row r="37" spans="1:25" ht="15.75" customHeight="1" x14ac:dyDescent="0.25">
      <c r="L37" s="56"/>
      <c r="O37" s="56"/>
      <c r="P37" s="56"/>
      <c r="Q37" s="76"/>
      <c r="R37" s="76"/>
      <c r="S37" s="76"/>
    </row>
    <row r="38" spans="1:25" ht="15.75" customHeight="1" x14ac:dyDescent="0.25">
      <c r="L38" s="56"/>
      <c r="P38" s="56"/>
      <c r="Q38" s="76"/>
      <c r="R38" s="76"/>
      <c r="S38" s="76"/>
    </row>
    <row r="39" spans="1:25" ht="15.75" customHeight="1" x14ac:dyDescent="0.25">
      <c r="L39" s="56"/>
      <c r="M39" s="32"/>
      <c r="N39" s="32"/>
      <c r="O39" s="32"/>
      <c r="P39" s="81"/>
      <c r="Q39" s="76"/>
      <c r="R39" s="76"/>
      <c r="S39" s="76"/>
    </row>
    <row r="40" spans="1:25" ht="15.75" customHeight="1" x14ac:dyDescent="0.25">
      <c r="L40" s="56"/>
      <c r="M40" s="32"/>
      <c r="N40" s="32"/>
      <c r="O40" s="32"/>
      <c r="Q40" s="76"/>
      <c r="R40" s="76"/>
      <c r="S40" s="76"/>
    </row>
    <row r="41" spans="1:25" ht="15.75" customHeight="1" x14ac:dyDescent="0.25">
      <c r="L41" s="56"/>
      <c r="M41" s="32"/>
      <c r="N41" s="32"/>
      <c r="O41" s="32"/>
      <c r="Q41" s="81"/>
      <c r="R41" s="81"/>
      <c r="S41" s="76"/>
    </row>
    <row r="42" spans="1:25" ht="15.75" customHeight="1" x14ac:dyDescent="0.25">
      <c r="L42" s="81"/>
      <c r="P42" s="32"/>
      <c r="S42" s="81"/>
    </row>
    <row r="43" spans="1:25" ht="15.75" customHeight="1" x14ac:dyDescent="0.25">
      <c r="P43" s="32"/>
    </row>
    <row r="44" spans="1:25" ht="15.75" customHeight="1" x14ac:dyDescent="0.25">
      <c r="P44" s="32"/>
      <c r="Q44" s="32"/>
      <c r="R44" s="32"/>
    </row>
    <row r="45" spans="1:25" ht="15.75" customHeight="1" x14ac:dyDescent="0.25">
      <c r="L45" s="32"/>
      <c r="Q45" s="32"/>
      <c r="R45" s="32"/>
      <c r="S45" s="32"/>
    </row>
    <row r="46" spans="1:25" x14ac:dyDescent="0.25">
      <c r="L46" s="32"/>
      <c r="Q46" s="32"/>
      <c r="R46" s="32"/>
      <c r="S46" s="32"/>
    </row>
    <row r="47" spans="1:25" x14ac:dyDescent="0.25">
      <c r="L47" s="32"/>
      <c r="S47" s="32"/>
    </row>
    <row r="53" ht="15" customHeight="1" x14ac:dyDescent="0.25"/>
    <row r="55" ht="15" customHeight="1" x14ac:dyDescent="0.25"/>
  </sheetData>
  <mergeCells count="14">
    <mergeCell ref="B33:J33"/>
    <mergeCell ref="M14:N14"/>
    <mergeCell ref="M15:N15"/>
    <mergeCell ref="B3:B4"/>
    <mergeCell ref="C3:C4"/>
    <mergeCell ref="I3:I4"/>
    <mergeCell ref="J3:J4"/>
    <mergeCell ref="K3:K4"/>
    <mergeCell ref="D3:D4"/>
    <mergeCell ref="F3:F4"/>
    <mergeCell ref="G3:G4"/>
    <mergeCell ref="H3:H4"/>
    <mergeCell ref="E3:E4"/>
    <mergeCell ref="B29:J31"/>
  </mergeCells>
  <pageMargins left="0.25" right="0.25" top="0.75" bottom="0.75" header="0.3" footer="0.3"/>
  <pageSetup paperSize="3"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47E-4568-464D-AE1B-323783893167}">
  <sheetPr codeName="Sheet10">
    <tabColor theme="5" tint="0.59999389629810485"/>
    <pageSetUpPr fitToPage="1"/>
  </sheetPr>
  <dimension ref="A1:AM65"/>
  <sheetViews>
    <sheetView view="pageBreakPreview" zoomScale="70" zoomScaleNormal="55" zoomScaleSheetLayoutView="70" workbookViewId="0"/>
  </sheetViews>
  <sheetFormatPr defaultRowHeight="15" x14ac:dyDescent="0.25"/>
  <cols>
    <col min="2" max="6" width="20.7109375" customWidth="1"/>
    <col min="7" max="7" width="15.7109375" customWidth="1"/>
    <col min="8" max="8" width="15.5703125" customWidth="1"/>
    <col min="9" max="9" width="56.28515625" bestFit="1" customWidth="1"/>
    <col min="10" max="10" width="15" bestFit="1" customWidth="1"/>
    <col min="11" max="11" width="19.28515625" bestFit="1" customWidth="1"/>
    <col min="12" max="12" width="21.7109375" bestFit="1" customWidth="1"/>
    <col min="13" max="14" width="21.7109375" customWidth="1"/>
    <col min="15" max="16" width="21.7109375" bestFit="1" customWidth="1"/>
    <col min="17" max="17" width="14" bestFit="1" customWidth="1"/>
    <col min="18" max="18" width="13.5703125" customWidth="1"/>
    <col min="19" max="19" width="51.5703125" bestFit="1" customWidth="1"/>
  </cols>
  <sheetData>
    <row r="1" spans="2:39" x14ac:dyDescent="0.25">
      <c r="B1" s="41"/>
      <c r="C1" s="41"/>
      <c r="D1" s="41"/>
      <c r="E1" s="41"/>
      <c r="F1" s="41"/>
    </row>
    <row r="2" spans="2:39" x14ac:dyDescent="0.25">
      <c r="B2" s="1" t="s">
        <v>123</v>
      </c>
    </row>
    <row r="3" spans="2:39" ht="15.75" thickBot="1" x14ac:dyDescent="0.3">
      <c r="B3" s="1"/>
    </row>
    <row r="4" spans="2:39" ht="22.5" customHeight="1" x14ac:dyDescent="0.25">
      <c r="B4" s="445" t="s">
        <v>0</v>
      </c>
      <c r="C4" s="493" t="s">
        <v>99</v>
      </c>
      <c r="D4" s="533" t="s">
        <v>186</v>
      </c>
      <c r="E4" s="528" t="s">
        <v>3</v>
      </c>
      <c r="F4" s="533" t="s">
        <v>186</v>
      </c>
    </row>
    <row r="5" spans="2:39" ht="22.5" customHeight="1" thickBot="1" x14ac:dyDescent="0.3">
      <c r="B5" s="463"/>
      <c r="C5" s="494"/>
      <c r="D5" s="534"/>
      <c r="E5" s="529"/>
      <c r="F5" s="534"/>
      <c r="I5" s="1" t="s">
        <v>784</v>
      </c>
    </row>
    <row r="6" spans="2:39" ht="15.75" customHeight="1" x14ac:dyDescent="0.25">
      <c r="B6" s="152">
        <f>Assumptions!D11</f>
        <v>2024</v>
      </c>
      <c r="C6" s="221">
        <f>SUMIF(J$14:J$21,$B6,P$14:P$21)</f>
        <v>0</v>
      </c>
      <c r="D6" s="222">
        <f>C6*(1+Assumptions!$D$24)^-($B6-Assumptions!$D$10)</f>
        <v>0</v>
      </c>
      <c r="E6" s="223">
        <f>IF(B6=Assumptions!$D$15,SUM($Q$14:$Q$21),0)</f>
        <v>0</v>
      </c>
      <c r="F6" s="222">
        <f>E6*(1+Assumptions!$D$24)^-($B6-Assumptions!$D$10)</f>
        <v>0</v>
      </c>
      <c r="I6" s="21" t="s">
        <v>1014</v>
      </c>
      <c r="J6" s="71" t="s">
        <v>111</v>
      </c>
      <c r="T6" s="13"/>
      <c r="U6" s="13"/>
      <c r="V6" s="13"/>
      <c r="W6" s="13"/>
      <c r="X6" s="13"/>
      <c r="Y6" s="13"/>
      <c r="Z6" s="13"/>
      <c r="AA6" s="13"/>
      <c r="AB6" s="13"/>
      <c r="AC6" s="13"/>
      <c r="AD6" s="13"/>
      <c r="AE6" s="13"/>
      <c r="AF6" s="13"/>
      <c r="AG6" s="13"/>
      <c r="AH6" s="13"/>
      <c r="AI6" s="13"/>
      <c r="AJ6" s="13"/>
      <c r="AK6" s="13"/>
      <c r="AL6" s="13"/>
      <c r="AM6" s="13"/>
    </row>
    <row r="7" spans="2:39" ht="15.75" customHeight="1" x14ac:dyDescent="0.25">
      <c r="B7" s="61">
        <f>B6+1</f>
        <v>2025</v>
      </c>
      <c r="C7" s="195">
        <f>SUMIF(J$14:J$21,$B7,P$14:P$21)</f>
        <v>1562793.7500000002</v>
      </c>
      <c r="D7" s="89">
        <f>C7*(1+Assumptions!$D$24)^-($B7-Assumptions!$D$10)</f>
        <v>1426020.1749940161</v>
      </c>
      <c r="E7" s="90">
        <f>IF(B7=Assumptions!$D$15,SUM($Q$14:$Q$21),0)</f>
        <v>0</v>
      </c>
      <c r="F7" s="91">
        <f>E7*(1+Assumptions!$D$24)^-($B7-Assumptions!$D$10)</f>
        <v>0</v>
      </c>
      <c r="I7" s="22" t="s">
        <v>1017</v>
      </c>
      <c r="J7" s="70">
        <f>1.05^(2024-2022)</f>
        <v>1.1025</v>
      </c>
    </row>
    <row r="8" spans="2:39" ht="15.75" customHeight="1" x14ac:dyDescent="0.25">
      <c r="B8" s="61">
        <f t="shared" ref="B8:B30" si="0">B7+1</f>
        <v>2026</v>
      </c>
      <c r="C8" s="195">
        <f>SUMIF(J$14:J$21,$B8,P$14:P$21)</f>
        <v>1823259.375</v>
      </c>
      <c r="D8" s="89">
        <f>C8*(1+Assumptions!$D$24)^-($B8-Assumptions!$D$10)</f>
        <v>1613666.5413769982</v>
      </c>
      <c r="E8" s="90">
        <f>IF(B8=Assumptions!$D$15,SUM($Q$14:$Q$21),0)</f>
        <v>0</v>
      </c>
      <c r="F8" s="91">
        <f>E8*(1+Assumptions!$D$24)^-($B8-Assumptions!$D$10)</f>
        <v>0</v>
      </c>
      <c r="I8" s="22" t="s">
        <v>1007</v>
      </c>
      <c r="J8" s="70">
        <f>1.05^(2025-2022)</f>
        <v>1.1576250000000001</v>
      </c>
    </row>
    <row r="9" spans="2:39" ht="15.75" customHeight="1" x14ac:dyDescent="0.25">
      <c r="B9" s="61">
        <f t="shared" si="0"/>
        <v>2027</v>
      </c>
      <c r="C9" s="195">
        <f>SUMIF(J$14:J$21,$B9,P$14:P$21)</f>
        <v>34364415.352300644</v>
      </c>
      <c r="D9" s="89">
        <f>C9*(1+Assumptions!$D$24)^-($B9-Assumptions!$D$10)</f>
        <v>29499566.442473218</v>
      </c>
      <c r="E9" s="90">
        <f>IF(B9=Assumptions!$D$15,SUM($Q$14:$Q$21),0)</f>
        <v>0</v>
      </c>
      <c r="F9" s="91">
        <f>E9*(1+Assumptions!$D$24)^-($B9-Assumptions!$D$10)</f>
        <v>0</v>
      </c>
      <c r="I9" s="22" t="s">
        <v>1001</v>
      </c>
      <c r="J9" s="70">
        <f>1.05^(2026-2022)</f>
        <v>1.21550625</v>
      </c>
    </row>
    <row r="10" spans="2:39" ht="15.75" customHeight="1" x14ac:dyDescent="0.25">
      <c r="B10" s="61">
        <f t="shared" si="0"/>
        <v>2028</v>
      </c>
      <c r="C10" s="195">
        <f>SUMIF(J$14:J$21,$B10,P$14:P$21)</f>
        <v>0</v>
      </c>
      <c r="D10" s="89">
        <f>C10*(1+Assumptions!$D$24)^-($B10-Assumptions!$D$10)</f>
        <v>0</v>
      </c>
      <c r="E10" s="90">
        <f>IF(B10=Assumptions!$D$15,SUM($Q$14:$Q$21),0)</f>
        <v>0</v>
      </c>
      <c r="F10" s="91">
        <f>E10*(1+Assumptions!$D$24)^-($B10-Assumptions!$D$10)</f>
        <v>0</v>
      </c>
      <c r="I10" s="539" t="s">
        <v>1015</v>
      </c>
    </row>
    <row r="11" spans="2:39" ht="15.75" customHeight="1" x14ac:dyDescent="0.25">
      <c r="B11" s="61">
        <f t="shared" si="0"/>
        <v>2029</v>
      </c>
      <c r="C11" s="195">
        <f>SUMIF(J$14:J$21,$B11,P$14:P$21)</f>
        <v>0</v>
      </c>
      <c r="D11" s="89">
        <f>C11*(1+Assumptions!$D$24)^-($B11-Assumptions!$D$10)</f>
        <v>0</v>
      </c>
      <c r="E11" s="90">
        <f>IF(B11=Assumptions!$D$15,SUM($Q$14:$Q$21),0)</f>
        <v>0</v>
      </c>
      <c r="F11" s="91">
        <f>E11*(1+Assumptions!$D$24)^-($B11-Assumptions!$D$10)</f>
        <v>0</v>
      </c>
    </row>
    <row r="12" spans="2:39" ht="15.75" customHeight="1" x14ac:dyDescent="0.25">
      <c r="B12" s="61">
        <f t="shared" si="0"/>
        <v>2030</v>
      </c>
      <c r="C12" s="195">
        <f>SUMIF(J$14:J$21,$B12,P$14:P$21)</f>
        <v>0</v>
      </c>
      <c r="D12" s="89">
        <f>C12*(1+Assumptions!$D$24)^-($B12-Assumptions!$D$10)</f>
        <v>0</v>
      </c>
      <c r="E12" s="90">
        <f>IF(B12=Assumptions!$D$15,SUM($Q$14:$Q$21),0)</f>
        <v>0</v>
      </c>
      <c r="F12" s="91">
        <f>E12*(1+Assumptions!$D$24)^-($B12-Assumptions!$D$10)</f>
        <v>0</v>
      </c>
      <c r="I12" s="1" t="s">
        <v>783</v>
      </c>
    </row>
    <row r="13" spans="2:39" ht="15.75" customHeight="1" x14ac:dyDescent="0.25">
      <c r="B13" s="61">
        <f t="shared" si="0"/>
        <v>2031</v>
      </c>
      <c r="C13" s="195">
        <f>SUMIF(J$14:J$21,$B13,P$14:P$21)</f>
        <v>0</v>
      </c>
      <c r="D13" s="89">
        <f>C13*(1+Assumptions!$D$24)^-($B13-Assumptions!$D$10)</f>
        <v>0</v>
      </c>
      <c r="E13" s="90">
        <f>IF(B13=Assumptions!$D$15,SUM($Q$14:$Q$21),0)</f>
        <v>0</v>
      </c>
      <c r="F13" s="91">
        <f>E13*(1+Assumptions!$D$24)^-($B13-Assumptions!$D$10)</f>
        <v>0</v>
      </c>
      <c r="I13" s="71" t="s">
        <v>51</v>
      </c>
      <c r="J13" s="297" t="s">
        <v>22</v>
      </c>
      <c r="K13" s="297" t="s">
        <v>13</v>
      </c>
      <c r="L13" s="71" t="s">
        <v>778</v>
      </c>
      <c r="M13" s="218" t="s">
        <v>1000</v>
      </c>
      <c r="N13" s="218" t="s">
        <v>1002</v>
      </c>
      <c r="O13" s="218" t="s">
        <v>1016</v>
      </c>
      <c r="P13" s="218" t="s">
        <v>779</v>
      </c>
      <c r="Q13" s="298" t="s">
        <v>216</v>
      </c>
    </row>
    <row r="14" spans="2:39" ht="15.75" customHeight="1" x14ac:dyDescent="0.25">
      <c r="B14" s="61">
        <f t="shared" si="0"/>
        <v>2032</v>
      </c>
      <c r="C14" s="195">
        <f>SUMIF(J$14:J$21,$B14,P$14:P$21)</f>
        <v>0</v>
      </c>
      <c r="D14" s="89">
        <f>C14*(1+Assumptions!$D$24)^-($B14-Assumptions!$D$10)</f>
        <v>0</v>
      </c>
      <c r="E14" s="90">
        <f>IF(B14=Assumptions!$D$15,SUM($Q$14:$Q$21),0)</f>
        <v>0</v>
      </c>
      <c r="F14" s="91">
        <f>E14*(1+Assumptions!$D$24)^-($B14-Assumptions!$D$10)</f>
        <v>0</v>
      </c>
      <c r="H14">
        <v>1</v>
      </c>
      <c r="I14" s="113" t="s">
        <v>780</v>
      </c>
      <c r="J14" s="262">
        <v>2026</v>
      </c>
      <c r="K14" s="262">
        <v>100</v>
      </c>
      <c r="L14" s="299">
        <f>IFERROR((Assumptions!$D$13)/K14,0)</f>
        <v>0.2</v>
      </c>
      <c r="M14" s="300">
        <f>SUMIF('Cost Data'!$A$8:$A$47,'Capital Cost + RCV'!H14,'Cost Data'!$F$8:$F$47)</f>
        <v>1500000</v>
      </c>
      <c r="N14" s="57" t="s">
        <v>246</v>
      </c>
      <c r="O14" s="57" t="s">
        <v>246</v>
      </c>
      <c r="P14" s="300">
        <f>M14*$J$9</f>
        <v>1823259.375</v>
      </c>
      <c r="Q14" s="301">
        <f>P14*L14</f>
        <v>364651.875</v>
      </c>
    </row>
    <row r="15" spans="2:39" ht="15.75" customHeight="1" x14ac:dyDescent="0.25">
      <c r="B15" s="61">
        <f t="shared" si="0"/>
        <v>2033</v>
      </c>
      <c r="C15" s="195">
        <f>SUMIF(J$14:J$21,$B15,P$14:P$21)</f>
        <v>0</v>
      </c>
      <c r="D15" s="89">
        <f>C15*(1+Assumptions!$D$24)^-($B15-Assumptions!$D$10)</f>
        <v>0</v>
      </c>
      <c r="E15" s="90">
        <f>IF(B15=Assumptions!$D$15,SUM($Q$14:$Q$21),0)</f>
        <v>0</v>
      </c>
      <c r="F15" s="91">
        <f>E15*(1+Assumptions!$D$24)^-($B15-Assumptions!$D$10)</f>
        <v>0</v>
      </c>
      <c r="H15">
        <v>2</v>
      </c>
      <c r="I15" s="113" t="s">
        <v>286</v>
      </c>
      <c r="J15" s="262">
        <v>2027</v>
      </c>
      <c r="K15" s="262">
        <v>60</v>
      </c>
      <c r="L15" s="299">
        <f>IFERROR((Assumptions!$D$13)/K15,0)</f>
        <v>0.33333333333333331</v>
      </c>
      <c r="M15" s="57" t="s">
        <v>246</v>
      </c>
      <c r="N15" s="57" t="s">
        <v>246</v>
      </c>
      <c r="O15" s="300">
        <f>SUMIF('Cost Data'!$A$8:$A$38,'Capital Cost + RCV'!H15,'Cost Data'!$F$8:$F$47)</f>
        <v>2486000</v>
      </c>
      <c r="P15" s="300">
        <f>O15*$J$7</f>
        <v>2740815</v>
      </c>
      <c r="Q15" s="301">
        <f>P15*L15</f>
        <v>913605</v>
      </c>
    </row>
    <row r="16" spans="2:39" ht="15.75" customHeight="1" x14ac:dyDescent="0.25">
      <c r="B16" s="61">
        <f t="shared" si="0"/>
        <v>2034</v>
      </c>
      <c r="C16" s="195">
        <f>SUMIF(J$14:J$21,$B16,P$14:P$21)</f>
        <v>0</v>
      </c>
      <c r="D16" s="89">
        <f>C16*(1+Assumptions!$D$24)^-($B16-Assumptions!$D$10)</f>
        <v>0</v>
      </c>
      <c r="E16" s="90">
        <f>IF(B16=Assumptions!$D$15,SUM($Q$14:$Q$21),0)</f>
        <v>0</v>
      </c>
      <c r="F16" s="91">
        <f>E16*(1+Assumptions!$D$24)^-($B16-Assumptions!$D$10)</f>
        <v>0</v>
      </c>
      <c r="H16">
        <v>3</v>
      </c>
      <c r="I16" s="113" t="s">
        <v>781</v>
      </c>
      <c r="J16" s="262">
        <v>2027</v>
      </c>
      <c r="K16" s="262">
        <v>50</v>
      </c>
      <c r="L16" s="299">
        <f>IFERROR((Assumptions!$D$13)/K16,0)</f>
        <v>0.4</v>
      </c>
      <c r="M16" s="57" t="s">
        <v>246</v>
      </c>
      <c r="N16" s="57" t="s">
        <v>246</v>
      </c>
      <c r="O16" s="300">
        <f>SUMIF('Cost Data'!$A$8:$A$38,'Capital Cost + RCV'!H16,'Cost Data'!$F$8:$F$47)</f>
        <v>735000</v>
      </c>
      <c r="P16" s="300">
        <f>O16*$J$7</f>
        <v>810337.5</v>
      </c>
      <c r="Q16" s="301">
        <f>P16*L16</f>
        <v>324135</v>
      </c>
    </row>
    <row r="17" spans="2:39" ht="15.75" customHeight="1" x14ac:dyDescent="0.25">
      <c r="B17" s="61">
        <f t="shared" si="0"/>
        <v>2035</v>
      </c>
      <c r="C17" s="195">
        <f>SUMIF(J$14:J$21,$B17,P$14:P$21)</f>
        <v>0</v>
      </c>
      <c r="D17" s="89">
        <f>C17*(1+Assumptions!$D$24)^-($B17-Assumptions!$D$10)</f>
        <v>0</v>
      </c>
      <c r="E17" s="90">
        <f>IF(B17=Assumptions!$D$15,SUM($Q$14:$Q$21),0)</f>
        <v>0</v>
      </c>
      <c r="F17" s="91">
        <f>E17*(1+Assumptions!$D$24)^-($B17-Assumptions!$D$10)</f>
        <v>0</v>
      </c>
      <c r="H17">
        <v>4</v>
      </c>
      <c r="I17" s="113" t="s">
        <v>782</v>
      </c>
      <c r="J17" s="262">
        <v>2027</v>
      </c>
      <c r="K17" s="262">
        <v>40</v>
      </c>
      <c r="L17" s="299">
        <f>IFERROR((Assumptions!$D$13)/K17,0)</f>
        <v>0.5</v>
      </c>
      <c r="M17" s="57" t="s">
        <v>246</v>
      </c>
      <c r="N17" s="57" t="s">
        <v>246</v>
      </c>
      <c r="O17" s="300">
        <f>SUMIF('Cost Data'!$A$8:$A$38,'Capital Cost + RCV'!H17,'Cost Data'!$F$8:$F$47)</f>
        <v>4471756</v>
      </c>
      <c r="P17" s="300">
        <f>O17*$J$7</f>
        <v>4930110.99</v>
      </c>
      <c r="Q17" s="301">
        <f>P17*L17</f>
        <v>2465055.4950000001</v>
      </c>
    </row>
    <row r="18" spans="2:39" ht="15.75" customHeight="1" x14ac:dyDescent="0.25">
      <c r="B18" s="61">
        <f t="shared" si="0"/>
        <v>2036</v>
      </c>
      <c r="C18" s="195">
        <f>SUMIF(J$14:J$21,$B18,P$14:P$21)</f>
        <v>0</v>
      </c>
      <c r="D18" s="89">
        <f>C18*(1+Assumptions!$D$24)^-($B18-Assumptions!$D$10)</f>
        <v>0</v>
      </c>
      <c r="E18" s="90">
        <f>IF(B18=Assumptions!$D$15,SUM($Q$14:$Q$21),0)</f>
        <v>0</v>
      </c>
      <c r="F18" s="91">
        <f>E18*(1+Assumptions!$D$24)^-($B18-Assumptions!$D$10)</f>
        <v>0</v>
      </c>
      <c r="H18">
        <v>5</v>
      </c>
      <c r="I18" s="113" t="s">
        <v>287</v>
      </c>
      <c r="J18" s="262">
        <v>2027</v>
      </c>
      <c r="K18" s="262">
        <v>25</v>
      </c>
      <c r="L18" s="299">
        <f>IFERROR((Assumptions!$D$13)/K18,0)</f>
        <v>0.8</v>
      </c>
      <c r="M18" s="57" t="s">
        <v>246</v>
      </c>
      <c r="N18" s="57" t="s">
        <v>246</v>
      </c>
      <c r="O18" s="300">
        <f>SUMIF('Cost Data'!$A$8:$A$38,'Capital Cost + RCV'!H18,'Cost Data'!$F$8:$F$47)</f>
        <v>12773650.99</v>
      </c>
      <c r="P18" s="300">
        <f>O18*$J$7</f>
        <v>14082950.216475001</v>
      </c>
      <c r="Q18" s="301">
        <f>P18*L18</f>
        <v>11266360.173180001</v>
      </c>
      <c r="T18" s="13"/>
      <c r="U18" s="13"/>
      <c r="V18" s="13"/>
      <c r="W18" s="13"/>
      <c r="X18" s="13"/>
      <c r="Y18" s="13"/>
      <c r="Z18" s="13"/>
      <c r="AA18" s="13"/>
      <c r="AB18" s="13"/>
      <c r="AC18" s="13"/>
      <c r="AD18" s="13"/>
      <c r="AE18" s="13"/>
      <c r="AF18" s="13"/>
      <c r="AG18" s="13"/>
      <c r="AH18" s="13"/>
      <c r="AI18" s="13"/>
      <c r="AJ18" s="13"/>
      <c r="AK18" s="13"/>
      <c r="AL18" s="13"/>
      <c r="AM18" s="13"/>
    </row>
    <row r="19" spans="2:39" ht="15.75" customHeight="1" x14ac:dyDescent="0.25">
      <c r="B19" s="61">
        <f t="shared" si="0"/>
        <v>2037</v>
      </c>
      <c r="C19" s="195">
        <f>SUMIF(J$14:J$21,$B19,P$14:P$21)</f>
        <v>0</v>
      </c>
      <c r="D19" s="89">
        <f>C19*(1+Assumptions!$D$24)^-($B19-Assumptions!$D$10)</f>
        <v>0</v>
      </c>
      <c r="E19" s="90">
        <f>IF(B19=Assumptions!$D$15,SUM($Q$14:$Q$21),0)</f>
        <v>0</v>
      </c>
      <c r="F19" s="91">
        <f>E19*(1+Assumptions!$D$24)^-($B19-Assumptions!$D$10)</f>
        <v>0</v>
      </c>
      <c r="H19">
        <v>6</v>
      </c>
      <c r="I19" s="261" t="s">
        <v>288</v>
      </c>
      <c r="J19" s="262">
        <v>2027</v>
      </c>
      <c r="K19" s="262">
        <v>0</v>
      </c>
      <c r="L19" s="299">
        <f>IFERROR((Assumptions!$D$13)/K19,0)</f>
        <v>0</v>
      </c>
      <c r="M19" s="57" t="s">
        <v>246</v>
      </c>
      <c r="N19" s="57" t="s">
        <v>246</v>
      </c>
      <c r="O19" s="300">
        <f>SUMIF('Cost Data'!$A$8:$A$38,'Capital Cost + RCV'!H19,'Cost Data'!$F$8:$F$47)+'Cost Data'!F47</f>
        <v>10703130.744513055</v>
      </c>
      <c r="P19" s="300">
        <f>O19*$J$7</f>
        <v>11800201.645825643</v>
      </c>
      <c r="Q19" s="301">
        <f>P19*L19</f>
        <v>0</v>
      </c>
    </row>
    <row r="20" spans="2:39" ht="15.75" customHeight="1" x14ac:dyDescent="0.25">
      <c r="B20" s="61">
        <f t="shared" si="0"/>
        <v>2038</v>
      </c>
      <c r="C20" s="195">
        <f>SUMIF(J$14:J$21,$B20,P$14:P$21)</f>
        <v>0</v>
      </c>
      <c r="D20" s="89">
        <f>C20*(1+Assumptions!$D$24)^-($B20-Assumptions!$D$10)</f>
        <v>0</v>
      </c>
      <c r="E20" s="90">
        <f>IF(B20=Assumptions!$D$15,SUM($Q$14:$Q$21),0)</f>
        <v>0</v>
      </c>
      <c r="F20" s="91">
        <f>E20*(1+Assumptions!$D$24)^-($B20-Assumptions!$D$10)</f>
        <v>0</v>
      </c>
      <c r="H20" s="540">
        <v>6</v>
      </c>
      <c r="I20" s="261" t="s">
        <v>1019</v>
      </c>
      <c r="J20" s="262">
        <v>2022</v>
      </c>
      <c r="K20" s="262">
        <v>0</v>
      </c>
      <c r="L20" s="299">
        <f>IFERROR((Assumptions!$D$13)/K20,0)</f>
        <v>0</v>
      </c>
      <c r="M20" s="57" t="s">
        <v>246</v>
      </c>
      <c r="N20" s="57" t="s">
        <v>246</v>
      </c>
      <c r="O20" s="57" t="s">
        <v>246</v>
      </c>
      <c r="P20" s="300">
        <f>'Cost Data'!F39</f>
        <v>750000</v>
      </c>
      <c r="Q20" s="301"/>
    </row>
    <row r="21" spans="2:39" ht="15.75" customHeight="1" x14ac:dyDescent="0.25">
      <c r="B21" s="61">
        <f t="shared" si="0"/>
        <v>2039</v>
      </c>
      <c r="C21" s="195">
        <f>SUMIF(J$14:J$21,$B21,P$14:P$21)</f>
        <v>0</v>
      </c>
      <c r="D21" s="89">
        <f>C21*(1+Assumptions!$D$24)^-($B21-Assumptions!$D$10)</f>
        <v>0</v>
      </c>
      <c r="E21" s="90">
        <f>IF(B21=Assumptions!$D$15,SUM($Q$14:$Q$21),0)</f>
        <v>0</v>
      </c>
      <c r="F21" s="91">
        <f>E21*(1+Assumptions!$D$24)^-($B21-Assumptions!$D$10)</f>
        <v>0</v>
      </c>
      <c r="H21">
        <v>6</v>
      </c>
      <c r="I21" s="261" t="s">
        <v>1003</v>
      </c>
      <c r="J21" s="262">
        <v>2025</v>
      </c>
      <c r="K21" s="262">
        <v>0</v>
      </c>
      <c r="L21" s="299">
        <f>IFERROR((Assumptions!$D$13)/K21,0)</f>
        <v>0</v>
      </c>
      <c r="M21" s="57" t="s">
        <v>246</v>
      </c>
      <c r="N21" s="300">
        <f>'Cost Data'!F41</f>
        <v>1350000</v>
      </c>
      <c r="O21" s="300" t="s">
        <v>246</v>
      </c>
      <c r="P21" s="300">
        <f>J8*N21</f>
        <v>1562793.7500000002</v>
      </c>
      <c r="Q21" s="301">
        <f>P21*L21</f>
        <v>0</v>
      </c>
    </row>
    <row r="22" spans="2:39" ht="15.75" customHeight="1" x14ac:dyDescent="0.25">
      <c r="B22" s="61">
        <f t="shared" si="0"/>
        <v>2040</v>
      </c>
      <c r="C22" s="195">
        <f>SUMIF(J$14:J$21,$B22,P$14:P$21)</f>
        <v>0</v>
      </c>
      <c r="D22" s="89">
        <f>C22*(1+Assumptions!$D$24)^-($B22-Assumptions!$D$10)</f>
        <v>0</v>
      </c>
      <c r="E22" s="90">
        <f>IF(B22=Assumptions!$D$15,SUM($Q$14:$Q$21),0)</f>
        <v>0</v>
      </c>
      <c r="F22" s="91">
        <f>E22*(1+Assumptions!$D$24)^-($B22-Assumptions!$D$10)</f>
        <v>0</v>
      </c>
      <c r="I22" s="404" t="s">
        <v>285</v>
      </c>
      <c r="J22" s="404"/>
      <c r="K22" s="404"/>
      <c r="L22" s="404"/>
      <c r="O22" s="405"/>
      <c r="P22" s="300">
        <f>SUM(P14:P21)</f>
        <v>38500468.477300644</v>
      </c>
      <c r="Q22" s="301">
        <f>SUM(Q14:Q19)</f>
        <v>15333807.54318</v>
      </c>
    </row>
    <row r="23" spans="2:39" ht="15.75" customHeight="1" x14ac:dyDescent="0.25">
      <c r="B23" s="61">
        <f t="shared" si="0"/>
        <v>2041</v>
      </c>
      <c r="C23" s="195">
        <f>SUMIF(J$14:J$21,$B23,P$14:P$21)</f>
        <v>0</v>
      </c>
      <c r="D23" s="89">
        <f>C23*(1+Assumptions!$D$24)^-($B23-Assumptions!$D$10)</f>
        <v>0</v>
      </c>
      <c r="E23" s="90">
        <f>IF(B23=Assumptions!$D$15,SUM($Q$14:$Q$21),0)</f>
        <v>0</v>
      </c>
      <c r="F23" s="91">
        <f>E23*(1+Assumptions!$D$24)^-($B23-Assumptions!$D$10)</f>
        <v>0</v>
      </c>
    </row>
    <row r="24" spans="2:39" ht="15.75" customHeight="1" x14ac:dyDescent="0.25">
      <c r="B24" s="61">
        <f t="shared" si="0"/>
        <v>2042</v>
      </c>
      <c r="C24" s="195">
        <f>SUMIF(J$14:J$21,$B24,P$14:P$21)</f>
        <v>0</v>
      </c>
      <c r="D24" s="89">
        <f>C24*(1+Assumptions!$D$24)^-($B24-Assumptions!$D$10)</f>
        <v>0</v>
      </c>
      <c r="E24" s="90">
        <f>IF(B24=Assumptions!$D$15,SUM($Q$14:$Q$21),0)</f>
        <v>0</v>
      </c>
      <c r="F24" s="91">
        <f>E24*(1+Assumptions!$D$24)^-($B24-Assumptions!$D$10)</f>
        <v>0</v>
      </c>
      <c r="Q24" s="13"/>
    </row>
    <row r="25" spans="2:39" ht="15.75" customHeight="1" x14ac:dyDescent="0.25">
      <c r="B25" s="61">
        <f t="shared" si="0"/>
        <v>2043</v>
      </c>
      <c r="C25" s="195">
        <f>SUMIF(J$14:J$21,$B25,P$14:P$21)</f>
        <v>0</v>
      </c>
      <c r="D25" s="89">
        <f>C25*(1+Assumptions!$D$24)^-($B25-Assumptions!$D$10)</f>
        <v>0</v>
      </c>
      <c r="E25" s="90">
        <f>IF(B25=Assumptions!$D$15,SUM($Q$14:$Q$21),0)</f>
        <v>0</v>
      </c>
      <c r="F25" s="91">
        <f>E25*(1+Assumptions!$D$24)^-($B25-Assumptions!$D$10)</f>
        <v>0</v>
      </c>
      <c r="Q25" s="13"/>
    </row>
    <row r="26" spans="2:39" ht="15.75" customHeight="1" x14ac:dyDescent="0.25">
      <c r="B26" s="61">
        <f t="shared" si="0"/>
        <v>2044</v>
      </c>
      <c r="C26" s="195">
        <f>SUMIF(J$14:J$21,$B26,P$14:P$21)</f>
        <v>0</v>
      </c>
      <c r="D26" s="89">
        <f>C26*(1+Assumptions!$D$24)^-($B26-Assumptions!$D$10)</f>
        <v>0</v>
      </c>
      <c r="E26" s="90">
        <f>IF(B26=Assumptions!$D$15,SUM($Q$14:$Q$21),0)</f>
        <v>0</v>
      </c>
      <c r="F26" s="91">
        <f>E26*(1+Assumptions!$D$24)^-($B26-Assumptions!$D$10)</f>
        <v>0</v>
      </c>
    </row>
    <row r="27" spans="2:39" ht="15.75" customHeight="1" x14ac:dyDescent="0.25">
      <c r="B27" s="61">
        <f t="shared" si="0"/>
        <v>2045</v>
      </c>
      <c r="C27" s="195">
        <f>SUMIF(J$14:J$21,$B27,P$14:P$21)</f>
        <v>0</v>
      </c>
      <c r="D27" s="89">
        <f>C27*(1+Assumptions!$D$24)^-($B27-Assumptions!$D$10)</f>
        <v>0</v>
      </c>
      <c r="E27" s="90">
        <f>IF(B27=Assumptions!$D$15,SUM($Q$14:$Q$21),0)</f>
        <v>0</v>
      </c>
      <c r="F27" s="91">
        <f>E27*(1+Assumptions!$D$24)^-($B27-Assumptions!$D$10)</f>
        <v>0</v>
      </c>
      <c r="S27" s="13"/>
    </row>
    <row r="28" spans="2:39" ht="15.75" customHeight="1" x14ac:dyDescent="0.25">
      <c r="B28" s="61">
        <f t="shared" si="0"/>
        <v>2046</v>
      </c>
      <c r="C28" s="195">
        <f>SUMIF(J$14:J$21,$B28,P$14:P$21)</f>
        <v>0</v>
      </c>
      <c r="D28" s="89">
        <f>C28*(1+Assumptions!$D$24)^-($B28-Assumptions!$D$10)</f>
        <v>0</v>
      </c>
      <c r="E28" s="90">
        <f>IF(B28=Assumptions!$D$15,SUM($Q$14:$Q$21),0)</f>
        <v>0</v>
      </c>
      <c r="F28" s="91">
        <f>E28*(1+Assumptions!$D$24)^-($B28-Assumptions!$D$10)</f>
        <v>0</v>
      </c>
      <c r="S28" s="13"/>
    </row>
    <row r="29" spans="2:39" ht="15.75" customHeight="1" x14ac:dyDescent="0.25">
      <c r="B29" s="397">
        <f t="shared" si="0"/>
        <v>2047</v>
      </c>
      <c r="C29" s="398">
        <f>SUMIF(J$14:J$21,$B29,P$14:P$21)</f>
        <v>0</v>
      </c>
      <c r="D29" s="399">
        <f>C29*(1+Assumptions!$D$24)^-($B29-Assumptions!$D$10)</f>
        <v>0</v>
      </c>
      <c r="E29" s="400">
        <f>IF(B29=Assumptions!$D$15,SUM($Q$14:$Q$21),0)</f>
        <v>0</v>
      </c>
      <c r="F29" s="401">
        <f>E29*(1+Assumptions!$D$24)^-($B29-Assumptions!$D$10)</f>
        <v>0</v>
      </c>
      <c r="Q29" s="1"/>
      <c r="S29" s="13"/>
    </row>
    <row r="30" spans="2:39" ht="15.75" customHeight="1" thickBot="1" x14ac:dyDescent="0.3">
      <c r="B30" s="62">
        <f t="shared" si="0"/>
        <v>2048</v>
      </c>
      <c r="C30" s="284">
        <f>SUMIF(J$14:J$21,$B30,P$14:P$21)</f>
        <v>0</v>
      </c>
      <c r="D30" s="285">
        <f>C30*(1+Assumptions!$D$24)^-($B30-Assumptions!$D$10)</f>
        <v>0</v>
      </c>
      <c r="E30" s="286">
        <f>IF(B30=Assumptions!$D$15,SUM($Q$14:$Q$21),0)</f>
        <v>15333807.54318</v>
      </c>
      <c r="F30" s="285">
        <f>E30*(1+Assumptions!$D$24)^-($B30-Assumptions!$D$10)</f>
        <v>6933056.0410947185</v>
      </c>
      <c r="S30" s="13"/>
    </row>
    <row r="31" spans="2:39" ht="15.75" customHeight="1" x14ac:dyDescent="0.25">
      <c r="B31" s="67"/>
      <c r="C31" s="202" t="s">
        <v>34</v>
      </c>
      <c r="D31" s="76">
        <f>SUM(D6:D30)</f>
        <v>32539253.158844233</v>
      </c>
      <c r="E31" s="202" t="s">
        <v>139</v>
      </c>
      <c r="F31" s="76">
        <f>SUM(F6:F30)</f>
        <v>6933056.0410947185</v>
      </c>
      <c r="S31" s="13"/>
    </row>
    <row r="32" spans="2:39" ht="15.75" customHeight="1" x14ac:dyDescent="0.25">
      <c r="B32" s="38"/>
      <c r="C32" s="77"/>
      <c r="D32" s="77"/>
      <c r="E32" s="77"/>
      <c r="F32" s="77"/>
      <c r="S32" s="13"/>
    </row>
    <row r="33" spans="1:19" ht="15.75" customHeight="1" x14ac:dyDescent="0.25">
      <c r="B33" s="1" t="s">
        <v>2</v>
      </c>
      <c r="S33" s="13"/>
    </row>
    <row r="34" spans="1:19" ht="15.75" customHeight="1" x14ac:dyDescent="0.25">
      <c r="A34" s="2" t="s">
        <v>14</v>
      </c>
      <c r="B34" s="441" t="s">
        <v>995</v>
      </c>
      <c r="C34" s="441"/>
      <c r="D34" s="441"/>
      <c r="E34" s="441"/>
      <c r="F34" s="441"/>
      <c r="S34" s="13"/>
    </row>
    <row r="35" spans="1:19" ht="15.75" customHeight="1" x14ac:dyDescent="0.25">
      <c r="B35" s="441"/>
      <c r="C35" s="441"/>
      <c r="D35" s="441"/>
      <c r="E35" s="441"/>
      <c r="F35" s="441"/>
      <c r="S35" s="13"/>
    </row>
    <row r="36" spans="1:19" ht="15.75" customHeight="1" x14ac:dyDescent="0.25">
      <c r="B36" s="441"/>
      <c r="C36" s="441"/>
      <c r="D36" s="441"/>
      <c r="E36" s="441"/>
      <c r="F36" s="441"/>
      <c r="S36" s="13"/>
    </row>
    <row r="37" spans="1:19" ht="15.75" customHeight="1" x14ac:dyDescent="0.25">
      <c r="B37" s="441"/>
      <c r="C37" s="441"/>
      <c r="D37" s="441"/>
      <c r="E37" s="441"/>
      <c r="F37" s="441"/>
      <c r="S37" s="13"/>
    </row>
    <row r="38" spans="1:19" ht="15.75" customHeight="1" x14ac:dyDescent="0.25">
      <c r="A38" s="2"/>
      <c r="B38" s="441"/>
      <c r="C38" s="441"/>
      <c r="D38" s="441"/>
      <c r="E38" s="441"/>
      <c r="F38" s="441"/>
      <c r="S38" s="13"/>
    </row>
    <row r="39" spans="1:19" ht="15.75" customHeight="1" x14ac:dyDescent="0.25">
      <c r="B39" s="441"/>
      <c r="C39" s="441"/>
      <c r="D39" s="441"/>
      <c r="E39" s="441"/>
      <c r="F39" s="441"/>
      <c r="S39" s="13"/>
    </row>
    <row r="40" spans="1:19" ht="15.75" customHeight="1" x14ac:dyDescent="0.25">
      <c r="B40" s="441"/>
      <c r="C40" s="441"/>
      <c r="D40" s="441"/>
      <c r="E40" s="441"/>
      <c r="F40" s="441"/>
      <c r="S40" s="13"/>
    </row>
    <row r="41" spans="1:19" ht="15.75" customHeight="1" x14ac:dyDescent="0.25">
      <c r="B41" s="441"/>
      <c r="C41" s="441"/>
      <c r="D41" s="441"/>
      <c r="E41" s="441"/>
      <c r="F41" s="441"/>
      <c r="S41" s="13"/>
    </row>
    <row r="42" spans="1:19" ht="15.75" customHeight="1" x14ac:dyDescent="0.25">
      <c r="S42" s="13"/>
    </row>
    <row r="43" spans="1:19" ht="15.75" customHeight="1" x14ac:dyDescent="0.25"/>
    <row r="44" spans="1:19" ht="15.75" customHeight="1" x14ac:dyDescent="0.25">
      <c r="B44" s="35"/>
      <c r="C44" s="35"/>
      <c r="D44" s="35"/>
      <c r="E44" s="35"/>
      <c r="F44" s="35"/>
    </row>
    <row r="45" spans="1:19" ht="15.75" customHeight="1" x14ac:dyDescent="0.25"/>
    <row r="46" spans="1:19" ht="15.75" customHeight="1" x14ac:dyDescent="0.25"/>
    <row r="47" spans="1:19" ht="15.75" customHeight="1" x14ac:dyDescent="0.25"/>
    <row r="48" spans="1:19" ht="15.75" customHeight="1" x14ac:dyDescent="0.25">
      <c r="B48" s="7"/>
      <c r="C48" s="7"/>
      <c r="D48" s="7"/>
      <c r="E48" s="7"/>
      <c r="F48" s="7"/>
    </row>
    <row r="49" spans="1:6" x14ac:dyDescent="0.25">
      <c r="B49" s="7"/>
      <c r="C49" s="7"/>
      <c r="D49" s="7"/>
      <c r="E49" s="7"/>
      <c r="F49" s="7"/>
    </row>
    <row r="50" spans="1:6" ht="15" customHeight="1" x14ac:dyDescent="0.25">
      <c r="B50" s="7"/>
      <c r="C50" s="7"/>
      <c r="D50" s="7"/>
      <c r="E50" s="7"/>
      <c r="F50" s="7"/>
    </row>
    <row r="51" spans="1:6" ht="15" customHeight="1" x14ac:dyDescent="0.25">
      <c r="B51" s="7"/>
      <c r="C51" s="7"/>
      <c r="D51" s="7"/>
      <c r="E51" s="7"/>
      <c r="F51" s="7"/>
    </row>
    <row r="52" spans="1:6" ht="15" customHeight="1" x14ac:dyDescent="0.25">
      <c r="B52" s="7"/>
      <c r="C52" s="7"/>
      <c r="D52" s="7"/>
      <c r="E52" s="7"/>
      <c r="F52" s="7"/>
    </row>
    <row r="53" spans="1:6" ht="15" customHeight="1" x14ac:dyDescent="0.25"/>
    <row r="55" spans="1:6" ht="15" customHeight="1" x14ac:dyDescent="0.25"/>
    <row r="56" spans="1:6" x14ac:dyDescent="0.25">
      <c r="A56" s="2"/>
    </row>
    <row r="59" spans="1:6" ht="15" customHeight="1" x14ac:dyDescent="0.25"/>
    <row r="62" spans="1:6" x14ac:dyDescent="0.25">
      <c r="A62" s="2"/>
    </row>
    <row r="65" ht="15" customHeight="1" x14ac:dyDescent="0.25"/>
  </sheetData>
  <mergeCells count="6">
    <mergeCell ref="B34:F41"/>
    <mergeCell ref="B4:B5"/>
    <mergeCell ref="C4:C5"/>
    <mergeCell ref="D4:D5"/>
    <mergeCell ref="F4:F5"/>
    <mergeCell ref="E4:E5"/>
  </mergeCells>
  <pageMargins left="0.25" right="0.25" top="0.75" bottom="0.75" header="0.3" footer="0.3"/>
  <pageSetup paperSize="3"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85A1A-F051-4707-90E0-DE841A163744}">
  <sheetPr codeName="Sheet18">
    <tabColor theme="0" tint="-0.499984740745262"/>
    <pageSetUpPr fitToPage="1"/>
  </sheetPr>
  <dimension ref="B3:S37"/>
  <sheetViews>
    <sheetView view="pageBreakPreview" zoomScale="90" zoomScaleNormal="40" zoomScaleSheetLayoutView="90" workbookViewId="0"/>
  </sheetViews>
  <sheetFormatPr defaultRowHeight="15" x14ac:dyDescent="0.25"/>
  <cols>
    <col min="3" max="3" width="40.5703125" bestFit="1" customWidth="1"/>
    <col min="4" max="4" width="17" bestFit="1" customWidth="1"/>
    <col min="5" max="5" width="16.7109375" bestFit="1" customWidth="1"/>
    <col min="6" max="6" width="16.7109375" customWidth="1"/>
    <col min="7" max="7" width="16" bestFit="1" customWidth="1"/>
    <col min="8" max="8" width="14" customWidth="1"/>
  </cols>
  <sheetData>
    <row r="3" spans="2:19" x14ac:dyDescent="0.25">
      <c r="C3" s="63" t="s">
        <v>790</v>
      </c>
    </row>
    <row r="4" spans="2:19" ht="15" customHeight="1" x14ac:dyDescent="0.25">
      <c r="C4" s="441" t="s">
        <v>1008</v>
      </c>
      <c r="D4" s="441"/>
      <c r="E4" s="441"/>
      <c r="F4" s="441"/>
      <c r="G4" s="441"/>
      <c r="H4" s="441"/>
      <c r="I4" s="441"/>
      <c r="J4" s="441"/>
      <c r="K4" s="7"/>
      <c r="L4" s="7"/>
      <c r="M4" s="7"/>
      <c r="N4" s="7"/>
      <c r="O4" s="7"/>
      <c r="P4" s="7"/>
      <c r="Q4" s="7"/>
      <c r="R4" s="7"/>
      <c r="S4" s="7"/>
    </row>
    <row r="5" spans="2:19" x14ac:dyDescent="0.25">
      <c r="C5" s="441"/>
      <c r="D5" s="441"/>
      <c r="E5" s="441"/>
      <c r="F5" s="441"/>
      <c r="G5" s="441"/>
      <c r="H5" s="441"/>
      <c r="I5" s="441"/>
      <c r="J5" s="441"/>
      <c r="K5" s="7"/>
      <c r="L5" s="7"/>
      <c r="M5" s="7"/>
      <c r="N5" s="7"/>
      <c r="O5" s="7"/>
      <c r="P5" s="7"/>
      <c r="Q5" s="7"/>
      <c r="R5" s="7"/>
      <c r="S5" s="7"/>
    </row>
    <row r="6" spans="2:19" x14ac:dyDescent="0.25">
      <c r="B6" s="203"/>
      <c r="C6" s="34" t="s">
        <v>141</v>
      </c>
      <c r="D6" s="255" t="s">
        <v>232</v>
      </c>
      <c r="G6" s="203"/>
      <c r="H6" s="203"/>
      <c r="I6" s="203"/>
      <c r="J6" s="203"/>
      <c r="K6" s="203"/>
      <c r="L6" s="203"/>
      <c r="M6" s="169"/>
      <c r="N6" s="169"/>
      <c r="O6" s="169"/>
      <c r="P6" s="169"/>
      <c r="Q6" s="169"/>
      <c r="R6" s="169"/>
      <c r="S6" s="169"/>
    </row>
    <row r="7" spans="2:19" x14ac:dyDescent="0.25">
      <c r="D7" t="s">
        <v>296</v>
      </c>
    </row>
    <row r="8" spans="2:19" hidden="1" x14ac:dyDescent="0.25"/>
    <row r="9" spans="2:19" x14ac:dyDescent="0.25">
      <c r="C9" s="1" t="s">
        <v>791</v>
      </c>
    </row>
    <row r="10" spans="2:19" x14ac:dyDescent="0.25">
      <c r="C10" s="204" t="s">
        <v>22</v>
      </c>
      <c r="D10" s="21" t="s">
        <v>35</v>
      </c>
    </row>
    <row r="11" spans="2:19" x14ac:dyDescent="0.25">
      <c r="C11" s="139">
        <v>2019</v>
      </c>
      <c r="D11" s="186">
        <v>5500</v>
      </c>
    </row>
    <row r="12" spans="2:19" x14ac:dyDescent="0.25">
      <c r="C12" s="139">
        <v>2040</v>
      </c>
      <c r="D12" s="186">
        <v>6400</v>
      </c>
    </row>
    <row r="14" spans="2:19" x14ac:dyDescent="0.25">
      <c r="C14" s="1" t="s">
        <v>792</v>
      </c>
    </row>
    <row r="15" spans="2:19" x14ac:dyDescent="0.25">
      <c r="C15" s="139" t="s">
        <v>142</v>
      </c>
      <c r="D15" s="205">
        <f>(D12-D11)/D11/(C12-C11)</f>
        <v>7.7922077922077922E-3</v>
      </c>
    </row>
    <row r="16" spans="2:19" x14ac:dyDescent="0.25">
      <c r="C16" s="139" t="s">
        <v>143</v>
      </c>
      <c r="D16" s="253">
        <f>D17*D11</f>
        <v>275</v>
      </c>
    </row>
    <row r="17" spans="3:8" x14ac:dyDescent="0.25">
      <c r="C17" s="139" t="s">
        <v>91</v>
      </c>
      <c r="D17" s="254">
        <v>0.05</v>
      </c>
    </row>
    <row r="18" spans="3:8" x14ac:dyDescent="0.25">
      <c r="D18" s="3"/>
    </row>
    <row r="19" spans="3:8" x14ac:dyDescent="0.25">
      <c r="C19" s="1" t="s">
        <v>182</v>
      </c>
    </row>
    <row r="20" spans="3:8" x14ac:dyDescent="0.25">
      <c r="C20" s="29" t="s">
        <v>55</v>
      </c>
      <c r="D20" s="29" t="s">
        <v>121</v>
      </c>
      <c r="E20" s="29" t="s">
        <v>742</v>
      </c>
      <c r="F20" s="29" t="s">
        <v>122</v>
      </c>
      <c r="G20" s="29" t="s">
        <v>294</v>
      </c>
      <c r="H20" s="29" t="s">
        <v>140</v>
      </c>
    </row>
    <row r="21" spans="3:8" x14ac:dyDescent="0.25">
      <c r="C21" s="175" t="s">
        <v>175</v>
      </c>
      <c r="D21" s="191">
        <v>6.8</v>
      </c>
      <c r="E21" s="191">
        <v>55</v>
      </c>
      <c r="F21" s="191">
        <v>7</v>
      </c>
      <c r="G21" s="243">
        <f>F21/60</f>
        <v>0.11666666666666667</v>
      </c>
      <c r="H21" s="190" t="s">
        <v>233</v>
      </c>
    </row>
    <row r="22" spans="3:8" x14ac:dyDescent="0.25">
      <c r="C22" s="175" t="s">
        <v>176</v>
      </c>
      <c r="D22" s="191">
        <v>6.8</v>
      </c>
      <c r="E22" s="191">
        <v>55</v>
      </c>
      <c r="F22" s="191">
        <v>7</v>
      </c>
      <c r="G22" s="243">
        <f>F22/60</f>
        <v>0.11666666666666667</v>
      </c>
      <c r="H22" s="190" t="s">
        <v>233</v>
      </c>
    </row>
    <row r="24" spans="3:8" x14ac:dyDescent="0.25">
      <c r="C24" s="1" t="s">
        <v>741</v>
      </c>
    </row>
    <row r="25" spans="3:8" x14ac:dyDescent="0.25">
      <c r="C25" s="29" t="s">
        <v>55</v>
      </c>
      <c r="D25" s="29" t="s">
        <v>121</v>
      </c>
      <c r="E25" s="29" t="s">
        <v>742</v>
      </c>
      <c r="F25" s="29" t="s">
        <v>122</v>
      </c>
      <c r="G25" s="29" t="s">
        <v>294</v>
      </c>
      <c r="H25" s="29" t="s">
        <v>140</v>
      </c>
    </row>
    <row r="26" spans="3:8" x14ac:dyDescent="0.25">
      <c r="C26" s="175" t="s">
        <v>175</v>
      </c>
      <c r="D26" s="191">
        <v>6.8</v>
      </c>
      <c r="E26" s="191">
        <v>45</v>
      </c>
      <c r="F26" s="243">
        <f>D26*60/E26</f>
        <v>9.0666666666666664</v>
      </c>
      <c r="G26" s="243">
        <f>F26/60</f>
        <v>0.15111111111111111</v>
      </c>
      <c r="H26" s="190" t="s">
        <v>233</v>
      </c>
    </row>
    <row r="27" spans="3:8" x14ac:dyDescent="0.25">
      <c r="C27" s="175" t="s">
        <v>176</v>
      </c>
      <c r="D27" s="191">
        <v>6.8</v>
      </c>
      <c r="E27" s="191">
        <v>45</v>
      </c>
      <c r="F27" s="243">
        <f>D27*60/E27</f>
        <v>9.0666666666666664</v>
      </c>
      <c r="G27" s="243">
        <f>F27/60</f>
        <v>0.15111111111111111</v>
      </c>
      <c r="H27" s="190" t="s">
        <v>233</v>
      </c>
    </row>
    <row r="29" spans="3:8" x14ac:dyDescent="0.25">
      <c r="C29" s="1" t="s">
        <v>744</v>
      </c>
    </row>
    <row r="30" spans="3:8" x14ac:dyDescent="0.25">
      <c r="C30" s="29" t="s">
        <v>55</v>
      </c>
      <c r="D30" s="29" t="s">
        <v>121</v>
      </c>
      <c r="E30" s="29" t="s">
        <v>742</v>
      </c>
      <c r="F30" s="29" t="s">
        <v>122</v>
      </c>
      <c r="G30" s="29" t="s">
        <v>294</v>
      </c>
      <c r="H30" s="29" t="s">
        <v>140</v>
      </c>
    </row>
    <row r="31" spans="3:8" x14ac:dyDescent="0.25">
      <c r="C31" s="175" t="s">
        <v>175</v>
      </c>
      <c r="D31" s="191">
        <v>7.6</v>
      </c>
      <c r="E31" s="191" t="s">
        <v>743</v>
      </c>
      <c r="F31" s="191">
        <v>9</v>
      </c>
      <c r="G31" s="243">
        <f>F31/60</f>
        <v>0.15</v>
      </c>
      <c r="H31" s="190" t="s">
        <v>906</v>
      </c>
    </row>
    <row r="32" spans="3:8" x14ac:dyDescent="0.25">
      <c r="C32" s="175" t="s">
        <v>176</v>
      </c>
      <c r="D32" s="191">
        <v>7.6</v>
      </c>
      <c r="E32" s="191" t="s">
        <v>743</v>
      </c>
      <c r="F32" s="191">
        <v>9</v>
      </c>
      <c r="G32" s="243">
        <f>F32/60</f>
        <v>0.15</v>
      </c>
      <c r="H32" s="190" t="s">
        <v>906</v>
      </c>
    </row>
    <row r="34" spans="3:8" x14ac:dyDescent="0.25">
      <c r="C34" s="1" t="s">
        <v>745</v>
      </c>
    </row>
    <row r="35" spans="3:8" x14ac:dyDescent="0.25">
      <c r="C35" s="29" t="s">
        <v>55</v>
      </c>
      <c r="D35" s="29" t="s">
        <v>121</v>
      </c>
      <c r="E35" s="29" t="s">
        <v>742</v>
      </c>
      <c r="F35" s="29" t="s">
        <v>122</v>
      </c>
      <c r="G35" s="29" t="s">
        <v>294</v>
      </c>
      <c r="H35" s="29" t="s">
        <v>140</v>
      </c>
    </row>
    <row r="36" spans="3:8" x14ac:dyDescent="0.25">
      <c r="C36" s="175" t="s">
        <v>175</v>
      </c>
      <c r="D36" s="191">
        <v>6.8</v>
      </c>
      <c r="E36" s="191">
        <v>55</v>
      </c>
      <c r="F36" s="191">
        <v>7</v>
      </c>
      <c r="G36" s="243">
        <f>F36/60</f>
        <v>0.11666666666666667</v>
      </c>
      <c r="H36" s="190" t="s">
        <v>233</v>
      </c>
    </row>
    <row r="37" spans="3:8" x14ac:dyDescent="0.25">
      <c r="C37" s="175" t="s">
        <v>176</v>
      </c>
      <c r="D37" s="191">
        <v>6.8</v>
      </c>
      <c r="E37" s="191">
        <v>55</v>
      </c>
      <c r="F37" s="191">
        <v>7</v>
      </c>
      <c r="G37" s="243">
        <f>F37/60</f>
        <v>0.11666666666666667</v>
      </c>
      <c r="H37" s="190" t="s">
        <v>233</v>
      </c>
    </row>
  </sheetData>
  <mergeCells count="1">
    <mergeCell ref="C4:J5"/>
  </mergeCells>
  <hyperlinks>
    <hyperlink ref="D6" r:id="rId1" xr:uid="{4F64F90C-3D2C-4A6F-92F8-7A3764F01DF2}"/>
    <hyperlink ref="H21" r:id="rId2" xr:uid="{3939BE2E-9578-4C3C-8E45-99B26B6A65A0}"/>
    <hyperlink ref="H27" r:id="rId3" xr:uid="{9A482644-F447-493B-AFD3-B4C7DB0AC91C}"/>
    <hyperlink ref="H26" r:id="rId4" xr:uid="{CF156E90-5F0A-478D-BD73-A27317D3A1F1}"/>
    <hyperlink ref="H36" r:id="rId5" xr:uid="{642873AB-0FCC-4A4B-8347-D988DA9DB3F3}"/>
    <hyperlink ref="H32" r:id="rId6" xr:uid="{D7817B83-08C5-42F8-B875-422C129D1C74}"/>
    <hyperlink ref="H31" r:id="rId7" xr:uid="{2543E4E1-CE9F-47BF-A764-6ADD3F3277C5}"/>
  </hyperlinks>
  <pageMargins left="0.7" right="0.7" top="0.75" bottom="0.75" header="0.3" footer="0.3"/>
  <pageSetup scale="57" orientation="portrait"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9203-FB22-4824-A714-A5D1EABF78AA}">
  <sheetPr>
    <tabColor theme="0" tint="-0.499984740745262"/>
  </sheetPr>
  <dimension ref="C3:O30"/>
  <sheetViews>
    <sheetView view="pageBreakPreview" zoomScale="90" zoomScaleNormal="90" zoomScaleSheetLayoutView="90" workbookViewId="0"/>
  </sheetViews>
  <sheetFormatPr defaultRowHeight="15" x14ac:dyDescent="0.25"/>
  <cols>
    <col min="3" max="4" width="22" customWidth="1"/>
    <col min="5" max="5" width="29.7109375" bestFit="1" customWidth="1"/>
    <col min="6" max="6" width="17.85546875" bestFit="1" customWidth="1"/>
    <col min="7" max="7" width="17.85546875" customWidth="1"/>
    <col min="8" max="8" width="18.28515625" bestFit="1" customWidth="1"/>
    <col min="9" max="9" width="18.28515625" customWidth="1"/>
    <col min="10" max="10" width="16.85546875" bestFit="1" customWidth="1"/>
    <col min="11" max="11" width="25.140625" bestFit="1" customWidth="1"/>
    <col min="12" max="12" width="25.28515625" bestFit="1" customWidth="1"/>
    <col min="13" max="14" width="25.140625" bestFit="1" customWidth="1"/>
    <col min="15" max="15" width="28" bestFit="1" customWidth="1"/>
    <col min="16" max="18" width="22" customWidth="1"/>
    <col min="24" max="27" width="11.7109375" customWidth="1"/>
  </cols>
  <sheetData>
    <row r="3" spans="3:15" x14ac:dyDescent="0.25">
      <c r="C3" s="535" t="s">
        <v>222</v>
      </c>
      <c r="D3" s="535"/>
      <c r="E3" s="535"/>
      <c r="F3" s="535"/>
      <c r="G3" s="535"/>
      <c r="H3" s="535"/>
      <c r="I3" s="12"/>
    </row>
    <row r="5" spans="3:15" x14ac:dyDescent="0.25">
      <c r="C5" s="1" t="s">
        <v>934</v>
      </c>
    </row>
    <row r="6" spans="3:15" x14ac:dyDescent="0.25">
      <c r="C6" s="21" t="s">
        <v>127</v>
      </c>
      <c r="D6" s="21" t="s">
        <v>217</v>
      </c>
      <c r="E6" s="21" t="s">
        <v>126</v>
      </c>
      <c r="F6" s="21" t="s">
        <v>234</v>
      </c>
      <c r="G6" s="21" t="s">
        <v>235</v>
      </c>
      <c r="H6" s="21" t="s">
        <v>236</v>
      </c>
      <c r="I6" s="21" t="s">
        <v>237</v>
      </c>
      <c r="J6" s="21" t="s">
        <v>220</v>
      </c>
    </row>
    <row r="7" spans="3:15" x14ac:dyDescent="0.25">
      <c r="C7" s="21">
        <v>1</v>
      </c>
      <c r="D7" s="23">
        <v>4200</v>
      </c>
      <c r="E7" s="37">
        <v>6.8</v>
      </c>
      <c r="F7" s="210">
        <v>0</v>
      </c>
      <c r="G7" s="210">
        <v>1</v>
      </c>
      <c r="H7" s="37">
        <v>2</v>
      </c>
      <c r="I7" s="37">
        <v>8</v>
      </c>
      <c r="J7" s="37">
        <v>41</v>
      </c>
    </row>
    <row r="9" spans="3:15" x14ac:dyDescent="0.25">
      <c r="C9" s="1" t="s">
        <v>935</v>
      </c>
    </row>
    <row r="10" spans="3:15" x14ac:dyDescent="0.25">
      <c r="C10" s="21" t="s">
        <v>127</v>
      </c>
      <c r="D10" s="21" t="s">
        <v>217</v>
      </c>
      <c r="E10" s="21" t="s">
        <v>126</v>
      </c>
      <c r="F10" s="21" t="s">
        <v>234</v>
      </c>
      <c r="G10" s="21" t="s">
        <v>235</v>
      </c>
      <c r="H10" s="21" t="s">
        <v>236</v>
      </c>
      <c r="I10" s="21" t="s">
        <v>237</v>
      </c>
      <c r="J10" s="21" t="s">
        <v>220</v>
      </c>
    </row>
    <row r="11" spans="3:15" x14ac:dyDescent="0.25">
      <c r="C11" s="21">
        <v>1</v>
      </c>
      <c r="D11" s="23">
        <v>4200</v>
      </c>
      <c r="E11" s="37">
        <v>6.8</v>
      </c>
      <c r="F11" s="210">
        <v>2</v>
      </c>
      <c r="G11" s="210">
        <v>0</v>
      </c>
      <c r="H11" s="37">
        <v>2</v>
      </c>
      <c r="I11" s="37">
        <v>0</v>
      </c>
      <c r="J11" s="37">
        <v>9</v>
      </c>
    </row>
    <row r="13" spans="3:15" x14ac:dyDescent="0.25">
      <c r="C13" s="1" t="s">
        <v>936</v>
      </c>
    </row>
    <row r="14" spans="3:15" x14ac:dyDescent="0.25">
      <c r="C14" s="21" t="s">
        <v>127</v>
      </c>
      <c r="D14" s="245" t="s">
        <v>217</v>
      </c>
      <c r="E14" s="21" t="s">
        <v>126</v>
      </c>
      <c r="F14" s="21" t="s">
        <v>234</v>
      </c>
      <c r="G14" s="21" t="s">
        <v>235</v>
      </c>
      <c r="H14" s="21" t="s">
        <v>236</v>
      </c>
      <c r="I14" s="21" t="s">
        <v>237</v>
      </c>
      <c r="J14" s="21" t="s">
        <v>220</v>
      </c>
      <c r="K14" s="21" t="s">
        <v>764</v>
      </c>
      <c r="L14" s="21" t="s">
        <v>765</v>
      </c>
      <c r="M14" s="21" t="s">
        <v>766</v>
      </c>
      <c r="N14" s="21" t="s">
        <v>767</v>
      </c>
      <c r="O14" s="21" t="s">
        <v>768</v>
      </c>
    </row>
    <row r="15" spans="3:15" x14ac:dyDescent="0.25">
      <c r="C15" s="57" t="s">
        <v>219</v>
      </c>
      <c r="D15" s="244">
        <f>AVERAGE(D16:D18)</f>
        <v>4233.333333333333</v>
      </c>
      <c r="E15" s="243">
        <f t="shared" ref="E15:O15" si="0">SUM(E16:E18)</f>
        <v>7.6000000000000005</v>
      </c>
      <c r="F15" s="57">
        <f t="shared" si="0"/>
        <v>0</v>
      </c>
      <c r="G15" s="57">
        <f t="shared" si="0"/>
        <v>1</v>
      </c>
      <c r="H15" s="57">
        <f t="shared" si="0"/>
        <v>5</v>
      </c>
      <c r="I15" s="57">
        <f t="shared" si="0"/>
        <v>17</v>
      </c>
      <c r="J15" s="57">
        <f t="shared" si="0"/>
        <v>26</v>
      </c>
      <c r="K15" s="248">
        <f>SUM(K16:K18)</f>
        <v>0</v>
      </c>
      <c r="L15" s="248">
        <f t="shared" si="0"/>
        <v>2.2471910112359552E-5</v>
      </c>
      <c r="M15" s="248">
        <f t="shared" si="0"/>
        <v>1.1235955056179776E-4</v>
      </c>
      <c r="N15" s="248">
        <f t="shared" si="0"/>
        <v>7.4323761964211399E-4</v>
      </c>
      <c r="O15" s="248">
        <f t="shared" si="0"/>
        <v>2.1595732606968562E-3</v>
      </c>
    </row>
    <row r="16" spans="3:15" x14ac:dyDescent="0.25">
      <c r="C16" s="21">
        <v>1</v>
      </c>
      <c r="D16" s="23">
        <v>1100</v>
      </c>
      <c r="E16" s="37">
        <v>2.9</v>
      </c>
      <c r="F16" s="210">
        <v>0</v>
      </c>
      <c r="G16" s="210">
        <v>0</v>
      </c>
      <c r="H16" s="37">
        <v>0</v>
      </c>
      <c r="I16" s="37">
        <v>0</v>
      </c>
      <c r="J16" s="37">
        <v>6</v>
      </c>
      <c r="K16" s="250">
        <f>F16/($D$16)/$D$30</f>
        <v>0</v>
      </c>
      <c r="L16" s="250">
        <f t="shared" ref="L16:O16" si="1">G16/($D$16)/$D$30</f>
        <v>0</v>
      </c>
      <c r="M16" s="250">
        <f t="shared" si="1"/>
        <v>0</v>
      </c>
      <c r="N16" s="250">
        <f t="shared" si="1"/>
        <v>0</v>
      </c>
      <c r="O16" s="250">
        <f t="shared" si="1"/>
        <v>1.090909090909091E-3</v>
      </c>
    </row>
    <row r="17" spans="3:15" x14ac:dyDescent="0.25">
      <c r="C17" s="21">
        <v>2</v>
      </c>
      <c r="D17" s="23">
        <v>8900</v>
      </c>
      <c r="E17" s="37">
        <v>3</v>
      </c>
      <c r="F17" s="210">
        <v>0</v>
      </c>
      <c r="G17" s="210">
        <v>1</v>
      </c>
      <c r="H17" s="37">
        <v>5</v>
      </c>
      <c r="I17" s="37">
        <v>10</v>
      </c>
      <c r="J17" s="37">
        <v>8</v>
      </c>
      <c r="K17" s="250">
        <f>F17/($D$17)/$D$30</f>
        <v>0</v>
      </c>
      <c r="L17" s="250">
        <f t="shared" ref="L17:O17" si="2">G17/($D$17)/$D$30</f>
        <v>2.2471910112359552E-5</v>
      </c>
      <c r="M17" s="250">
        <f t="shared" si="2"/>
        <v>1.1235955056179776E-4</v>
      </c>
      <c r="N17" s="250">
        <f t="shared" si="2"/>
        <v>2.2471910112359551E-4</v>
      </c>
      <c r="O17" s="250">
        <f t="shared" si="2"/>
        <v>1.7977528089887642E-4</v>
      </c>
    </row>
    <row r="18" spans="3:15" x14ac:dyDescent="0.25">
      <c r="C18" s="21">
        <v>3</v>
      </c>
      <c r="D18" s="23">
        <v>2700</v>
      </c>
      <c r="E18" s="37">
        <v>1.7</v>
      </c>
      <c r="F18" s="210">
        <v>0</v>
      </c>
      <c r="G18" s="210">
        <v>0</v>
      </c>
      <c r="H18" s="37">
        <v>0</v>
      </c>
      <c r="I18" s="37">
        <v>7</v>
      </c>
      <c r="J18" s="37">
        <v>12</v>
      </c>
      <c r="K18" s="250">
        <f>F18/($D$18)/$D$30</f>
        <v>0</v>
      </c>
      <c r="L18" s="250">
        <f t="shared" ref="L18:O18" si="3">G18/($D$18)/$D$30</f>
        <v>0</v>
      </c>
      <c r="M18" s="250">
        <f t="shared" si="3"/>
        <v>0</v>
      </c>
      <c r="N18" s="250">
        <f t="shared" si="3"/>
        <v>5.1851851851851853E-4</v>
      </c>
      <c r="O18" s="250">
        <f t="shared" si="3"/>
        <v>8.8888888888888893E-4</v>
      </c>
    </row>
    <row r="19" spans="3:15" x14ac:dyDescent="0.25">
      <c r="C19" t="s">
        <v>953</v>
      </c>
    </row>
    <row r="21" spans="3:15" x14ac:dyDescent="0.25">
      <c r="C21" s="1" t="s">
        <v>937</v>
      </c>
    </row>
    <row r="22" spans="3:15" x14ac:dyDescent="0.25">
      <c r="C22" s="21" t="s">
        <v>127</v>
      </c>
      <c r="D22" s="245" t="s">
        <v>218</v>
      </c>
      <c r="E22" s="21" t="s">
        <v>126</v>
      </c>
      <c r="F22" s="21" t="s">
        <v>238</v>
      </c>
      <c r="G22" s="21" t="s">
        <v>239</v>
      </c>
      <c r="H22" s="21" t="s">
        <v>240</v>
      </c>
      <c r="I22" s="21" t="s">
        <v>241</v>
      </c>
      <c r="J22" s="21" t="s">
        <v>223</v>
      </c>
    </row>
    <row r="23" spans="3:15" x14ac:dyDescent="0.25">
      <c r="C23" s="57" t="s">
        <v>219</v>
      </c>
      <c r="D23" s="244">
        <f>$D$7</f>
        <v>4200</v>
      </c>
      <c r="E23" s="243">
        <f>E15</f>
        <v>7.6000000000000005</v>
      </c>
      <c r="F23" s="249">
        <f>SUM(F24:F26)</f>
        <v>0</v>
      </c>
      <c r="G23" s="249">
        <f t="shared" ref="G23:J23" si="4">SUM(G24:G26)</f>
        <v>9.4382022471910118E-2</v>
      </c>
      <c r="H23" s="249">
        <f t="shared" si="4"/>
        <v>0.4719101123595506</v>
      </c>
      <c r="I23" s="249">
        <f t="shared" si="4"/>
        <v>3.1215980024968788</v>
      </c>
      <c r="J23" s="249">
        <f t="shared" si="4"/>
        <v>9.0702076949267969</v>
      </c>
    </row>
    <row r="24" spans="3:15" x14ac:dyDescent="0.25">
      <c r="C24" s="21">
        <v>1</v>
      </c>
      <c r="D24" s="244">
        <f t="shared" ref="D24:D26" si="5">$D$7</f>
        <v>4200</v>
      </c>
      <c r="E24" s="57">
        <f>E16</f>
        <v>2.9</v>
      </c>
      <c r="F24" s="251">
        <f>K16*$D$24</f>
        <v>0</v>
      </c>
      <c r="G24" s="251">
        <f t="shared" ref="G24:J24" si="6">L16*$D$24</f>
        <v>0</v>
      </c>
      <c r="H24" s="251">
        <f t="shared" si="6"/>
        <v>0</v>
      </c>
      <c r="I24" s="251">
        <f t="shared" si="6"/>
        <v>0</v>
      </c>
      <c r="J24" s="251">
        <f t="shared" si="6"/>
        <v>4.581818181818182</v>
      </c>
    </row>
    <row r="25" spans="3:15" x14ac:dyDescent="0.25">
      <c r="C25" s="21">
        <v>2</v>
      </c>
      <c r="D25" s="244">
        <f t="shared" si="5"/>
        <v>4200</v>
      </c>
      <c r="E25" s="243">
        <f>E17</f>
        <v>3</v>
      </c>
      <c r="F25" s="251">
        <f>K17*$D$25</f>
        <v>0</v>
      </c>
      <c r="G25" s="251">
        <f t="shared" ref="G25:J25" si="7">L17*$D$25</f>
        <v>9.4382022471910118E-2</v>
      </c>
      <c r="H25" s="251">
        <f t="shared" si="7"/>
        <v>0.4719101123595506</v>
      </c>
      <c r="I25" s="251">
        <f t="shared" si="7"/>
        <v>0.94382022471910121</v>
      </c>
      <c r="J25" s="251">
        <f t="shared" si="7"/>
        <v>0.75505617977528094</v>
      </c>
    </row>
    <row r="26" spans="3:15" x14ac:dyDescent="0.25">
      <c r="C26" s="21">
        <v>3</v>
      </c>
      <c r="D26" s="244">
        <f t="shared" si="5"/>
        <v>4200</v>
      </c>
      <c r="E26" s="57">
        <f>E18</f>
        <v>1.7</v>
      </c>
      <c r="F26" s="251">
        <f>K18*$D$26</f>
        <v>0</v>
      </c>
      <c r="G26" s="251">
        <f t="shared" ref="G26:J26" si="8">L18*$D$26</f>
        <v>0</v>
      </c>
      <c r="H26" s="251">
        <f t="shared" si="8"/>
        <v>0</v>
      </c>
      <c r="I26" s="251">
        <f t="shared" si="8"/>
        <v>2.1777777777777776</v>
      </c>
      <c r="J26" s="251">
        <f t="shared" si="8"/>
        <v>3.7333333333333334</v>
      </c>
    </row>
    <row r="28" spans="3:15" x14ac:dyDescent="0.25">
      <c r="C28" s="1" t="s">
        <v>938</v>
      </c>
    </row>
    <row r="29" spans="3:15" x14ac:dyDescent="0.25">
      <c r="C29" s="21" t="s">
        <v>221</v>
      </c>
      <c r="D29" s="257" t="s">
        <v>229</v>
      </c>
    </row>
    <row r="30" spans="3:15" x14ac:dyDescent="0.25">
      <c r="C30" s="21" t="s">
        <v>212</v>
      </c>
      <c r="D30" s="37">
        <v>5</v>
      </c>
    </row>
  </sheetData>
  <mergeCells count="1">
    <mergeCell ref="C3:H3"/>
  </mergeCells>
  <phoneticPr fontId="13" type="noConversion"/>
  <pageMargins left="0.7" right="0.7" top="0.75" bottom="0.75" header="0.3" footer="0.3"/>
  <pageSetup scale="24" orientation="portrait" r:id="rId1"/>
  <colBreaks count="1" manualBreakCount="1">
    <brk id="16" min="1" max="3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EED2-5950-45C7-9645-A73EDCF8A208}">
  <sheetPr>
    <tabColor theme="0" tint="-0.499984740745262"/>
  </sheetPr>
  <dimension ref="A1:DD151"/>
  <sheetViews>
    <sheetView workbookViewId="0"/>
  </sheetViews>
  <sheetFormatPr defaultRowHeight="15" x14ac:dyDescent="0.25"/>
  <sheetData>
    <row r="1" spans="1:108" x14ac:dyDescent="0.25">
      <c r="A1" s="1" t="s">
        <v>535</v>
      </c>
    </row>
    <row r="2" spans="1:108" ht="14.25" customHeight="1" x14ac:dyDescent="0.25">
      <c r="A2" t="s">
        <v>297</v>
      </c>
      <c r="B2" t="s">
        <v>298</v>
      </c>
      <c r="C2" t="s">
        <v>299</v>
      </c>
      <c r="D2" t="s">
        <v>300</v>
      </c>
      <c r="E2" t="s">
        <v>301</v>
      </c>
      <c r="F2" t="s">
        <v>302</v>
      </c>
      <c r="G2" t="s">
        <v>303</v>
      </c>
      <c r="H2" t="s">
        <v>304</v>
      </c>
      <c r="I2" t="s">
        <v>305</v>
      </c>
      <c r="J2" t="s">
        <v>306</v>
      </c>
      <c r="K2" t="s">
        <v>307</v>
      </c>
      <c r="L2" t="s">
        <v>308</v>
      </c>
      <c r="M2" t="s">
        <v>309</v>
      </c>
      <c r="N2" t="s">
        <v>310</v>
      </c>
      <c r="O2" t="s">
        <v>311</v>
      </c>
      <c r="P2" t="s">
        <v>312</v>
      </c>
      <c r="Q2" t="s">
        <v>313</v>
      </c>
      <c r="R2" t="s">
        <v>314</v>
      </c>
      <c r="S2" t="s">
        <v>315</v>
      </c>
      <c r="T2" t="s">
        <v>316</v>
      </c>
      <c r="U2" t="s">
        <v>317</v>
      </c>
      <c r="V2" t="s">
        <v>318</v>
      </c>
      <c r="W2" t="s">
        <v>319</v>
      </c>
      <c r="X2" t="s">
        <v>320</v>
      </c>
      <c r="Y2" t="s">
        <v>321</v>
      </c>
      <c r="Z2" t="s">
        <v>322</v>
      </c>
      <c r="AA2" t="s">
        <v>323</v>
      </c>
      <c r="AB2" t="s">
        <v>324</v>
      </c>
      <c r="AC2" t="s">
        <v>325</v>
      </c>
      <c r="AD2" t="s">
        <v>326</v>
      </c>
      <c r="AE2" t="s">
        <v>327</v>
      </c>
      <c r="AF2" t="s">
        <v>328</v>
      </c>
      <c r="AG2" t="s">
        <v>329</v>
      </c>
      <c r="AH2" t="s">
        <v>330</v>
      </c>
      <c r="AI2" t="s">
        <v>331</v>
      </c>
      <c r="AJ2" t="s">
        <v>332</v>
      </c>
      <c r="AK2" t="s">
        <v>333</v>
      </c>
      <c r="AL2" t="s">
        <v>334</v>
      </c>
      <c r="AM2" t="s">
        <v>335</v>
      </c>
      <c r="AN2" t="s">
        <v>336</v>
      </c>
      <c r="AO2" t="s">
        <v>337</v>
      </c>
      <c r="AP2" t="s">
        <v>338</v>
      </c>
      <c r="AQ2" t="s">
        <v>339</v>
      </c>
      <c r="AR2" t="s">
        <v>340</v>
      </c>
      <c r="AS2" t="s">
        <v>341</v>
      </c>
      <c r="AT2" t="s">
        <v>342</v>
      </c>
      <c r="AU2" t="s">
        <v>343</v>
      </c>
      <c r="AV2" t="s">
        <v>344</v>
      </c>
      <c r="AW2" t="s">
        <v>345</v>
      </c>
      <c r="AX2" t="s">
        <v>346</v>
      </c>
      <c r="AY2" t="s">
        <v>347</v>
      </c>
      <c r="AZ2" t="s">
        <v>348</v>
      </c>
      <c r="BA2" t="s">
        <v>349</v>
      </c>
      <c r="BB2" t="s">
        <v>350</v>
      </c>
      <c r="BC2" t="s">
        <v>351</v>
      </c>
      <c r="BD2" t="s">
        <v>352</v>
      </c>
      <c r="BE2" t="s">
        <v>353</v>
      </c>
      <c r="BF2" t="s">
        <v>354</v>
      </c>
      <c r="BG2" t="s">
        <v>355</v>
      </c>
      <c r="BH2" t="s">
        <v>356</v>
      </c>
      <c r="BI2" t="s">
        <v>357</v>
      </c>
      <c r="BJ2" t="s">
        <v>358</v>
      </c>
      <c r="BK2" t="s">
        <v>359</v>
      </c>
      <c r="BL2" t="s">
        <v>360</v>
      </c>
      <c r="BM2" t="s">
        <v>361</v>
      </c>
      <c r="BN2" t="s">
        <v>362</v>
      </c>
      <c r="BO2" t="s">
        <v>363</v>
      </c>
      <c r="BP2" t="s">
        <v>364</v>
      </c>
      <c r="BQ2" t="s">
        <v>365</v>
      </c>
      <c r="BR2" t="s">
        <v>366</v>
      </c>
      <c r="BS2" t="s">
        <v>367</v>
      </c>
      <c r="BT2" t="s">
        <v>368</v>
      </c>
      <c r="BU2" t="s">
        <v>369</v>
      </c>
      <c r="BV2" t="s">
        <v>370</v>
      </c>
      <c r="BW2" t="s">
        <v>371</v>
      </c>
      <c r="BX2" t="s">
        <v>372</v>
      </c>
      <c r="BY2" t="s">
        <v>373</v>
      </c>
      <c r="BZ2" t="s">
        <v>374</v>
      </c>
      <c r="CA2" t="s">
        <v>375</v>
      </c>
      <c r="CB2" t="s">
        <v>376</v>
      </c>
      <c r="CC2" t="s">
        <v>377</v>
      </c>
      <c r="CD2" t="s">
        <v>378</v>
      </c>
      <c r="CE2" t="s">
        <v>379</v>
      </c>
      <c r="CF2" t="s">
        <v>380</v>
      </c>
      <c r="CG2" t="s">
        <v>381</v>
      </c>
      <c r="CH2" t="s">
        <v>382</v>
      </c>
      <c r="CI2" t="s">
        <v>383</v>
      </c>
      <c r="CJ2" t="s">
        <v>384</v>
      </c>
      <c r="CK2" t="s">
        <v>385</v>
      </c>
      <c r="CL2" t="s">
        <v>386</v>
      </c>
      <c r="CM2" t="s">
        <v>387</v>
      </c>
      <c r="CN2" t="s">
        <v>388</v>
      </c>
      <c r="CO2" t="s">
        <v>389</v>
      </c>
      <c r="CP2" t="s">
        <v>390</v>
      </c>
      <c r="CQ2" t="s">
        <v>391</v>
      </c>
      <c r="CR2" t="s">
        <v>392</v>
      </c>
      <c r="CS2" t="s">
        <v>393</v>
      </c>
      <c r="CT2" t="s">
        <v>394</v>
      </c>
      <c r="CU2" t="s">
        <v>395</v>
      </c>
      <c r="CV2" t="s">
        <v>396</v>
      </c>
      <c r="CW2" t="s">
        <v>397</v>
      </c>
      <c r="CX2" t="s">
        <v>398</v>
      </c>
      <c r="CY2" t="s">
        <v>399</v>
      </c>
      <c r="CZ2" t="s">
        <v>400</v>
      </c>
      <c r="DA2" t="s">
        <v>401</v>
      </c>
      <c r="DB2" t="s">
        <v>402</v>
      </c>
      <c r="DC2" t="s">
        <v>403</v>
      </c>
      <c r="DD2" t="s">
        <v>404</v>
      </c>
    </row>
    <row r="3" spans="1:108" ht="14.25" customHeight="1" x14ac:dyDescent="0.25">
      <c r="A3">
        <v>815731</v>
      </c>
      <c r="B3" t="s">
        <v>405</v>
      </c>
      <c r="C3">
        <v>54</v>
      </c>
      <c r="D3">
        <v>7.16</v>
      </c>
      <c r="E3" t="s">
        <v>406</v>
      </c>
      <c r="G3" t="s">
        <v>407</v>
      </c>
      <c r="H3" t="s">
        <v>408</v>
      </c>
      <c r="I3" t="s">
        <v>409</v>
      </c>
      <c r="K3">
        <v>20000779</v>
      </c>
      <c r="L3">
        <v>201730072</v>
      </c>
      <c r="M3">
        <v>45449</v>
      </c>
      <c r="N3">
        <v>21</v>
      </c>
      <c r="O3">
        <v>2020</v>
      </c>
      <c r="P3" t="s">
        <v>410</v>
      </c>
      <c r="Q3">
        <v>17</v>
      </c>
      <c r="S3" t="s">
        <v>411</v>
      </c>
      <c r="T3">
        <v>0</v>
      </c>
      <c r="U3">
        <v>2</v>
      </c>
      <c r="V3" t="s">
        <v>412</v>
      </c>
      <c r="W3" t="s">
        <v>413</v>
      </c>
      <c r="X3" t="s">
        <v>414</v>
      </c>
      <c r="Y3" t="s">
        <v>415</v>
      </c>
      <c r="Z3" t="s">
        <v>416</v>
      </c>
      <c r="AA3" t="s">
        <v>417</v>
      </c>
      <c r="AC3" t="s">
        <v>418</v>
      </c>
      <c r="AD3" t="s">
        <v>419</v>
      </c>
      <c r="AE3" t="s">
        <v>420</v>
      </c>
      <c r="AG3" t="s">
        <v>421</v>
      </c>
      <c r="AH3" t="s">
        <v>422</v>
      </c>
      <c r="AI3" t="s">
        <v>423</v>
      </c>
      <c r="AK3" t="s">
        <v>424</v>
      </c>
      <c r="AL3" t="s">
        <v>425</v>
      </c>
      <c r="AT3" t="s">
        <v>426</v>
      </c>
      <c r="AU3" t="s">
        <v>427</v>
      </c>
      <c r="AV3">
        <v>45</v>
      </c>
      <c r="AW3" t="s">
        <v>428</v>
      </c>
      <c r="AX3" t="s">
        <v>429</v>
      </c>
      <c r="AY3" t="s">
        <v>430</v>
      </c>
      <c r="AZ3" t="s">
        <v>431</v>
      </c>
      <c r="BA3" t="s">
        <v>432</v>
      </c>
      <c r="BB3" t="s">
        <v>433</v>
      </c>
      <c r="BC3">
        <v>54</v>
      </c>
      <c r="BD3" t="s">
        <v>434</v>
      </c>
      <c r="BE3" t="s">
        <v>435</v>
      </c>
      <c r="BF3" t="s">
        <v>436</v>
      </c>
      <c r="BJ3" t="s">
        <v>426</v>
      </c>
      <c r="BK3" t="s">
        <v>437</v>
      </c>
      <c r="BL3">
        <v>55</v>
      </c>
      <c r="BM3" t="s">
        <v>428</v>
      </c>
      <c r="BN3" t="s">
        <v>429</v>
      </c>
      <c r="CU3">
        <v>520620.86499999999</v>
      </c>
      <c r="CV3">
        <v>4945622.2412999999</v>
      </c>
      <c r="CW3">
        <v>44.663676479999999</v>
      </c>
      <c r="CX3">
        <v>-92.739889520000006</v>
      </c>
      <c r="CY3" s="287">
        <v>44003.736111111109</v>
      </c>
      <c r="CZ3" t="s">
        <v>438</v>
      </c>
      <c r="DA3" t="s">
        <v>439</v>
      </c>
      <c r="DB3" t="s">
        <v>440</v>
      </c>
      <c r="DC3" t="s">
        <v>441</v>
      </c>
      <c r="DD3" s="15" t="s">
        <v>442</v>
      </c>
    </row>
    <row r="4" spans="1:108" ht="14.25" customHeight="1" x14ac:dyDescent="0.25">
      <c r="A4">
        <v>673594</v>
      </c>
      <c r="B4" t="s">
        <v>405</v>
      </c>
      <c r="C4">
        <v>54</v>
      </c>
      <c r="D4">
        <v>7.1680000000000001</v>
      </c>
      <c r="E4" t="s">
        <v>406</v>
      </c>
      <c r="G4" t="s">
        <v>407</v>
      </c>
      <c r="H4" t="s">
        <v>408</v>
      </c>
      <c r="I4" t="s">
        <v>409</v>
      </c>
      <c r="K4">
        <v>190000015</v>
      </c>
      <c r="L4">
        <v>190030053</v>
      </c>
      <c r="M4">
        <v>45292</v>
      </c>
      <c r="N4">
        <v>3</v>
      </c>
      <c r="O4">
        <v>2019</v>
      </c>
      <c r="P4" t="s">
        <v>443</v>
      </c>
      <c r="Q4">
        <v>8</v>
      </c>
      <c r="R4" t="s">
        <v>444</v>
      </c>
      <c r="S4" t="s">
        <v>445</v>
      </c>
      <c r="T4">
        <v>0</v>
      </c>
      <c r="U4">
        <v>1</v>
      </c>
      <c r="W4" t="s">
        <v>446</v>
      </c>
      <c r="X4" t="s">
        <v>447</v>
      </c>
      <c r="Y4" t="s">
        <v>415</v>
      </c>
      <c r="Z4" t="s">
        <v>448</v>
      </c>
      <c r="AA4" t="s">
        <v>449</v>
      </c>
      <c r="AC4" t="s">
        <v>450</v>
      </c>
      <c r="AD4" t="s">
        <v>419</v>
      </c>
      <c r="AE4" t="s">
        <v>420</v>
      </c>
      <c r="AG4" t="s">
        <v>421</v>
      </c>
      <c r="AH4" t="s">
        <v>451</v>
      </c>
      <c r="AI4" t="s">
        <v>430</v>
      </c>
      <c r="AJ4" t="s">
        <v>452</v>
      </c>
      <c r="AK4" t="s">
        <v>432</v>
      </c>
      <c r="AL4" t="s">
        <v>453</v>
      </c>
      <c r="AM4">
        <v>33</v>
      </c>
      <c r="AN4" t="s">
        <v>454</v>
      </c>
      <c r="AO4" t="s">
        <v>435</v>
      </c>
      <c r="AP4" t="s">
        <v>455</v>
      </c>
      <c r="AQ4" t="s">
        <v>456</v>
      </c>
      <c r="AT4" t="s">
        <v>426</v>
      </c>
      <c r="AU4" t="s">
        <v>437</v>
      </c>
      <c r="AV4">
        <v>55</v>
      </c>
      <c r="AW4" t="s">
        <v>428</v>
      </c>
      <c r="AX4" t="s">
        <v>429</v>
      </c>
      <c r="CU4">
        <v>520630.10560000001</v>
      </c>
      <c r="CV4">
        <v>4945613.0652000001</v>
      </c>
      <c r="CW4">
        <v>44.663593599999999</v>
      </c>
      <c r="CX4">
        <v>-92.739773330000006</v>
      </c>
      <c r="CY4" s="287">
        <v>43468.368055555555</v>
      </c>
      <c r="CZ4" t="s">
        <v>438</v>
      </c>
      <c r="DA4" t="s">
        <v>439</v>
      </c>
      <c r="DB4" t="s">
        <v>440</v>
      </c>
      <c r="DC4" t="s">
        <v>441</v>
      </c>
      <c r="DD4" s="15" t="s">
        <v>457</v>
      </c>
    </row>
    <row r="5" spans="1:108" ht="14.25" customHeight="1" x14ac:dyDescent="0.25">
      <c r="A5">
        <v>981577</v>
      </c>
      <c r="B5" t="s">
        <v>405</v>
      </c>
      <c r="C5">
        <v>54</v>
      </c>
      <c r="D5">
        <v>7.1719999999999997</v>
      </c>
      <c r="E5" t="s">
        <v>406</v>
      </c>
      <c r="G5" t="s">
        <v>407</v>
      </c>
      <c r="H5" t="s">
        <v>408</v>
      </c>
      <c r="I5" t="s">
        <v>409</v>
      </c>
      <c r="K5">
        <v>21001623</v>
      </c>
      <c r="L5">
        <v>213520135</v>
      </c>
      <c r="M5">
        <v>45638</v>
      </c>
      <c r="N5">
        <v>18</v>
      </c>
      <c r="O5">
        <v>2021</v>
      </c>
      <c r="P5" t="s">
        <v>458</v>
      </c>
      <c r="Q5">
        <v>8</v>
      </c>
      <c r="S5" t="s">
        <v>411</v>
      </c>
      <c r="T5">
        <v>0</v>
      </c>
      <c r="U5">
        <v>2</v>
      </c>
      <c r="V5" t="s">
        <v>459</v>
      </c>
      <c r="W5" t="s">
        <v>413</v>
      </c>
      <c r="X5" t="s">
        <v>414</v>
      </c>
      <c r="Y5" t="s">
        <v>415</v>
      </c>
      <c r="Z5" t="s">
        <v>416</v>
      </c>
      <c r="AA5" t="s">
        <v>449</v>
      </c>
      <c r="AC5" t="s">
        <v>460</v>
      </c>
      <c r="AD5" t="s">
        <v>419</v>
      </c>
      <c r="AE5" t="s">
        <v>420</v>
      </c>
      <c r="AG5" t="s">
        <v>421</v>
      </c>
      <c r="AH5" t="s">
        <v>461</v>
      </c>
      <c r="AI5" t="s">
        <v>430</v>
      </c>
      <c r="AJ5" t="s">
        <v>462</v>
      </c>
      <c r="AK5" t="s">
        <v>432</v>
      </c>
      <c r="AL5" t="s">
        <v>463</v>
      </c>
      <c r="AM5">
        <v>19</v>
      </c>
      <c r="AN5" t="s">
        <v>434</v>
      </c>
      <c r="AO5" t="s">
        <v>435</v>
      </c>
      <c r="AP5" t="s">
        <v>464</v>
      </c>
      <c r="AT5" t="s">
        <v>426</v>
      </c>
      <c r="AU5" t="s">
        <v>437</v>
      </c>
      <c r="AV5">
        <v>55</v>
      </c>
      <c r="AW5" t="s">
        <v>428</v>
      </c>
      <c r="AX5" t="s">
        <v>429</v>
      </c>
      <c r="AY5" t="s">
        <v>430</v>
      </c>
      <c r="AZ5" t="s">
        <v>465</v>
      </c>
      <c r="BA5" t="s">
        <v>466</v>
      </c>
      <c r="BB5" t="s">
        <v>453</v>
      </c>
      <c r="BC5">
        <v>54</v>
      </c>
      <c r="BD5" t="s">
        <v>434</v>
      </c>
      <c r="BE5" t="s">
        <v>435</v>
      </c>
      <c r="BF5" t="s">
        <v>436</v>
      </c>
      <c r="BJ5" t="s">
        <v>426</v>
      </c>
      <c r="BK5" t="s">
        <v>427</v>
      </c>
      <c r="BL5">
        <v>55</v>
      </c>
      <c r="BM5" t="s">
        <v>428</v>
      </c>
      <c r="BN5" t="s">
        <v>429</v>
      </c>
      <c r="CU5">
        <v>520634.52669999999</v>
      </c>
      <c r="CV5">
        <v>4945608.6750999996</v>
      </c>
      <c r="CW5">
        <v>44.663553960000002</v>
      </c>
      <c r="CX5">
        <v>-92.739717740000003</v>
      </c>
      <c r="CY5" s="287">
        <v>44548.357638888891</v>
      </c>
      <c r="CZ5" t="s">
        <v>438</v>
      </c>
      <c r="DA5" t="s">
        <v>439</v>
      </c>
      <c r="DB5" t="s">
        <v>440</v>
      </c>
      <c r="DC5" t="s">
        <v>441</v>
      </c>
      <c r="DD5" s="15" t="s">
        <v>467</v>
      </c>
    </row>
    <row r="6" spans="1:108" ht="14.25" customHeight="1" x14ac:dyDescent="0.25">
      <c r="A6">
        <v>865024</v>
      </c>
      <c r="B6" t="s">
        <v>405</v>
      </c>
      <c r="C6">
        <v>54</v>
      </c>
      <c r="D6">
        <v>7.173</v>
      </c>
      <c r="E6" t="s">
        <v>406</v>
      </c>
      <c r="G6" t="s">
        <v>407</v>
      </c>
      <c r="H6" t="s">
        <v>408</v>
      </c>
      <c r="I6" t="s">
        <v>409</v>
      </c>
      <c r="K6">
        <v>20001526</v>
      </c>
      <c r="L6">
        <v>203290008</v>
      </c>
      <c r="M6">
        <v>45607</v>
      </c>
      <c r="N6">
        <v>24</v>
      </c>
      <c r="O6">
        <v>2020</v>
      </c>
      <c r="P6" t="s">
        <v>468</v>
      </c>
      <c r="Q6">
        <v>6</v>
      </c>
      <c r="R6" t="s">
        <v>444</v>
      </c>
      <c r="S6" t="s">
        <v>445</v>
      </c>
      <c r="T6">
        <v>0</v>
      </c>
      <c r="U6">
        <v>1</v>
      </c>
      <c r="W6" t="s">
        <v>469</v>
      </c>
      <c r="X6" t="s">
        <v>470</v>
      </c>
      <c r="Y6" t="s">
        <v>415</v>
      </c>
      <c r="Z6" t="s">
        <v>471</v>
      </c>
      <c r="AA6" t="s">
        <v>472</v>
      </c>
      <c r="AC6" t="s">
        <v>418</v>
      </c>
      <c r="AD6" t="s">
        <v>419</v>
      </c>
      <c r="AE6" t="s">
        <v>420</v>
      </c>
      <c r="AG6" t="s">
        <v>421</v>
      </c>
      <c r="AH6" t="s">
        <v>451</v>
      </c>
      <c r="AI6" t="s">
        <v>430</v>
      </c>
      <c r="AJ6" t="s">
        <v>431</v>
      </c>
      <c r="AK6" t="s">
        <v>432</v>
      </c>
      <c r="AL6" t="s">
        <v>453</v>
      </c>
      <c r="AM6">
        <v>66</v>
      </c>
      <c r="AN6" t="s">
        <v>454</v>
      </c>
      <c r="AO6" t="s">
        <v>435</v>
      </c>
      <c r="AP6" t="s">
        <v>456</v>
      </c>
      <c r="AQ6" t="s">
        <v>473</v>
      </c>
      <c r="AT6" t="s">
        <v>426</v>
      </c>
      <c r="AU6" t="s">
        <v>437</v>
      </c>
      <c r="AV6">
        <v>55</v>
      </c>
      <c r="AW6" t="s">
        <v>428</v>
      </c>
      <c r="AX6" t="s">
        <v>429</v>
      </c>
      <c r="CU6">
        <v>520635.54989999998</v>
      </c>
      <c r="CV6">
        <v>4945607.659</v>
      </c>
      <c r="CW6">
        <v>44.663544780000002</v>
      </c>
      <c r="CX6">
        <v>-92.739704869999997</v>
      </c>
      <c r="CY6" s="287">
        <v>44159.262499999997</v>
      </c>
      <c r="CZ6" t="s">
        <v>438</v>
      </c>
      <c r="DA6" t="s">
        <v>439</v>
      </c>
      <c r="DB6" t="s">
        <v>440</v>
      </c>
      <c r="DC6" t="s">
        <v>441</v>
      </c>
      <c r="DD6" s="15" t="s">
        <v>474</v>
      </c>
    </row>
    <row r="7" spans="1:108" ht="14.25" customHeight="1" x14ac:dyDescent="0.25">
      <c r="A7">
        <v>970165</v>
      </c>
      <c r="B7" t="s">
        <v>405</v>
      </c>
      <c r="C7">
        <v>68</v>
      </c>
      <c r="D7">
        <v>1.6879999999999999</v>
      </c>
      <c r="E7" t="s">
        <v>406</v>
      </c>
      <c r="G7" t="s">
        <v>407</v>
      </c>
      <c r="H7" t="s">
        <v>408</v>
      </c>
      <c r="I7" t="s">
        <v>409</v>
      </c>
      <c r="K7">
        <v>21001371</v>
      </c>
      <c r="L7">
        <v>213030009</v>
      </c>
      <c r="M7">
        <v>45575</v>
      </c>
      <c r="N7">
        <v>30</v>
      </c>
      <c r="O7">
        <v>2021</v>
      </c>
      <c r="P7" t="s">
        <v>458</v>
      </c>
      <c r="Q7">
        <v>0</v>
      </c>
      <c r="S7" t="s">
        <v>445</v>
      </c>
      <c r="T7">
        <v>0</v>
      </c>
      <c r="U7">
        <v>1</v>
      </c>
      <c r="W7" t="s">
        <v>475</v>
      </c>
      <c r="X7" t="s">
        <v>476</v>
      </c>
      <c r="Y7" t="s">
        <v>415</v>
      </c>
      <c r="Z7" t="s">
        <v>471</v>
      </c>
      <c r="AA7" t="s">
        <v>449</v>
      </c>
      <c r="AC7" t="s">
        <v>450</v>
      </c>
      <c r="AD7" t="s">
        <v>419</v>
      </c>
      <c r="AE7" t="s">
        <v>477</v>
      </c>
      <c r="AF7" t="s">
        <v>478</v>
      </c>
      <c r="AG7" t="s">
        <v>479</v>
      </c>
      <c r="AH7" t="s">
        <v>480</v>
      </c>
      <c r="AI7" t="s">
        <v>430</v>
      </c>
      <c r="AJ7" t="s">
        <v>462</v>
      </c>
      <c r="AK7" t="s">
        <v>432</v>
      </c>
      <c r="AL7" t="s">
        <v>453</v>
      </c>
      <c r="AM7">
        <v>51</v>
      </c>
      <c r="AN7" t="s">
        <v>434</v>
      </c>
      <c r="AO7" t="s">
        <v>435</v>
      </c>
      <c r="AP7" t="s">
        <v>473</v>
      </c>
      <c r="AQ7" t="s">
        <v>481</v>
      </c>
      <c r="AT7" t="s">
        <v>426</v>
      </c>
      <c r="AU7" t="s">
        <v>437</v>
      </c>
      <c r="AV7">
        <v>55</v>
      </c>
      <c r="AW7" t="s">
        <v>428</v>
      </c>
      <c r="AX7" t="s">
        <v>482</v>
      </c>
      <c r="CU7">
        <v>520636.71799999999</v>
      </c>
      <c r="CV7">
        <v>4945606.4989999998</v>
      </c>
      <c r="CW7">
        <v>44.663534300000002</v>
      </c>
      <c r="CX7">
        <v>-92.739690179999997</v>
      </c>
      <c r="CY7" s="287">
        <v>44499.00277777778</v>
      </c>
      <c r="CZ7" t="s">
        <v>438</v>
      </c>
      <c r="DA7" t="s">
        <v>439</v>
      </c>
      <c r="DB7" t="s">
        <v>440</v>
      </c>
      <c r="DC7" t="s">
        <v>441</v>
      </c>
      <c r="DD7" t="s">
        <v>483</v>
      </c>
    </row>
    <row r="8" spans="1:108" ht="14.25" customHeight="1" x14ac:dyDescent="0.25">
      <c r="A8">
        <v>1037487</v>
      </c>
      <c r="B8" t="s">
        <v>405</v>
      </c>
      <c r="C8">
        <v>68</v>
      </c>
      <c r="D8">
        <v>1.6879999999999999</v>
      </c>
      <c r="E8" t="s">
        <v>406</v>
      </c>
      <c r="G8" t="s">
        <v>407</v>
      </c>
      <c r="H8" t="s">
        <v>408</v>
      </c>
      <c r="I8" t="s">
        <v>409</v>
      </c>
      <c r="K8">
        <v>22000980</v>
      </c>
      <c r="L8">
        <v>222140056</v>
      </c>
      <c r="M8">
        <v>45512</v>
      </c>
      <c r="N8">
        <v>2</v>
      </c>
      <c r="O8">
        <v>2022</v>
      </c>
      <c r="P8" t="s">
        <v>468</v>
      </c>
      <c r="Q8">
        <v>15</v>
      </c>
      <c r="R8" t="s">
        <v>484</v>
      </c>
      <c r="S8" t="s">
        <v>485</v>
      </c>
      <c r="T8">
        <v>0</v>
      </c>
      <c r="U8">
        <v>2</v>
      </c>
      <c r="V8" t="s">
        <v>486</v>
      </c>
      <c r="W8" t="s">
        <v>413</v>
      </c>
      <c r="X8" t="s">
        <v>414</v>
      </c>
      <c r="Y8" t="s">
        <v>415</v>
      </c>
      <c r="Z8" t="s">
        <v>416</v>
      </c>
      <c r="AA8" t="s">
        <v>449</v>
      </c>
      <c r="AC8" t="s">
        <v>450</v>
      </c>
      <c r="AD8" t="s">
        <v>419</v>
      </c>
      <c r="AE8" t="s">
        <v>477</v>
      </c>
      <c r="AF8" t="s">
        <v>420</v>
      </c>
      <c r="AG8" t="s">
        <v>479</v>
      </c>
      <c r="AH8" t="s">
        <v>486</v>
      </c>
      <c r="AI8" t="s">
        <v>430</v>
      </c>
      <c r="AJ8" t="s">
        <v>431</v>
      </c>
      <c r="AK8" t="s">
        <v>432</v>
      </c>
      <c r="AL8" t="s">
        <v>453</v>
      </c>
      <c r="AM8">
        <v>42</v>
      </c>
      <c r="AN8" t="s">
        <v>434</v>
      </c>
      <c r="AO8" t="s">
        <v>435</v>
      </c>
      <c r="AP8" t="s">
        <v>487</v>
      </c>
      <c r="AT8" t="s">
        <v>426</v>
      </c>
      <c r="AU8" t="s">
        <v>437</v>
      </c>
      <c r="AV8">
        <v>55</v>
      </c>
      <c r="AW8" t="s">
        <v>428</v>
      </c>
      <c r="AX8" t="s">
        <v>429</v>
      </c>
      <c r="AY8" t="s">
        <v>430</v>
      </c>
      <c r="AZ8" t="s">
        <v>488</v>
      </c>
      <c r="BA8" t="s">
        <v>424</v>
      </c>
      <c r="BB8" t="s">
        <v>453</v>
      </c>
      <c r="BC8">
        <v>57</v>
      </c>
      <c r="BD8" t="s">
        <v>434</v>
      </c>
      <c r="BE8" t="s">
        <v>435</v>
      </c>
      <c r="BF8" t="s">
        <v>436</v>
      </c>
      <c r="BJ8" t="s">
        <v>426</v>
      </c>
      <c r="BK8" t="s">
        <v>427</v>
      </c>
      <c r="BL8">
        <v>55</v>
      </c>
      <c r="BM8" t="s">
        <v>428</v>
      </c>
      <c r="BN8" t="s">
        <v>429</v>
      </c>
      <c r="CU8">
        <v>520636.71799999999</v>
      </c>
      <c r="CV8">
        <v>4945606.4989999998</v>
      </c>
      <c r="CW8">
        <v>44.663534300000002</v>
      </c>
      <c r="CX8">
        <v>-92.739690179999997</v>
      </c>
      <c r="CY8" s="287">
        <v>44775.645833333336</v>
      </c>
      <c r="CZ8" t="s">
        <v>438</v>
      </c>
      <c r="DA8" t="s">
        <v>439</v>
      </c>
      <c r="DB8" t="s">
        <v>440</v>
      </c>
      <c r="DC8" t="s">
        <v>441</v>
      </c>
      <c r="DD8" t="s">
        <v>489</v>
      </c>
    </row>
    <row r="9" spans="1:108" ht="14.25" customHeight="1" x14ac:dyDescent="0.25">
      <c r="A9">
        <v>675784</v>
      </c>
      <c r="B9" t="s">
        <v>405</v>
      </c>
      <c r="C9">
        <v>68</v>
      </c>
      <c r="D9">
        <v>1.69</v>
      </c>
      <c r="E9" t="s">
        <v>406</v>
      </c>
      <c r="G9" t="s">
        <v>407</v>
      </c>
      <c r="H9" t="s">
        <v>408</v>
      </c>
      <c r="I9" t="s">
        <v>409</v>
      </c>
      <c r="K9">
        <v>19000085</v>
      </c>
      <c r="L9">
        <v>190120130</v>
      </c>
      <c r="M9">
        <v>45292</v>
      </c>
      <c r="N9">
        <v>12</v>
      </c>
      <c r="O9">
        <v>2019</v>
      </c>
      <c r="P9" t="s">
        <v>458</v>
      </c>
      <c r="Q9">
        <v>21</v>
      </c>
      <c r="R9" t="s">
        <v>484</v>
      </c>
      <c r="S9" t="s">
        <v>411</v>
      </c>
      <c r="T9">
        <v>0</v>
      </c>
      <c r="U9">
        <v>1</v>
      </c>
      <c r="W9" t="s">
        <v>469</v>
      </c>
      <c r="X9" t="s">
        <v>414</v>
      </c>
      <c r="Y9" t="s">
        <v>415</v>
      </c>
      <c r="Z9" t="s">
        <v>471</v>
      </c>
      <c r="AA9" t="s">
        <v>449</v>
      </c>
      <c r="AC9" t="s">
        <v>450</v>
      </c>
      <c r="AD9" t="s">
        <v>419</v>
      </c>
      <c r="AE9" t="s">
        <v>490</v>
      </c>
      <c r="AG9" t="s">
        <v>479</v>
      </c>
      <c r="AH9" t="s">
        <v>451</v>
      </c>
      <c r="AI9" t="s">
        <v>430</v>
      </c>
      <c r="AJ9" t="s">
        <v>462</v>
      </c>
      <c r="AK9" t="s">
        <v>432</v>
      </c>
      <c r="AL9" t="s">
        <v>453</v>
      </c>
      <c r="AM9">
        <v>45</v>
      </c>
      <c r="AN9" t="s">
        <v>434</v>
      </c>
      <c r="AO9" t="s">
        <v>491</v>
      </c>
      <c r="AP9" t="s">
        <v>456</v>
      </c>
      <c r="AQ9" t="s">
        <v>492</v>
      </c>
      <c r="AT9" t="s">
        <v>426</v>
      </c>
      <c r="AU9" t="s">
        <v>437</v>
      </c>
      <c r="AV9">
        <v>55</v>
      </c>
      <c r="AW9" t="s">
        <v>428</v>
      </c>
      <c r="AX9" t="s">
        <v>429</v>
      </c>
      <c r="CU9">
        <v>520639.81280000001</v>
      </c>
      <c r="CV9">
        <v>4945607.7818</v>
      </c>
      <c r="CW9">
        <v>44.663545759999998</v>
      </c>
      <c r="CX9">
        <v>-92.739651089999995</v>
      </c>
      <c r="CY9" s="287">
        <v>43477.895833333336</v>
      </c>
      <c r="CZ9" t="s">
        <v>438</v>
      </c>
      <c r="DA9" t="s">
        <v>439</v>
      </c>
      <c r="DB9" t="s">
        <v>440</v>
      </c>
      <c r="DC9" t="s">
        <v>441</v>
      </c>
      <c r="DD9" s="15" t="s">
        <v>493</v>
      </c>
    </row>
    <row r="10" spans="1:108" ht="14.25" customHeight="1" x14ac:dyDescent="0.25">
      <c r="A10">
        <v>1150744</v>
      </c>
      <c r="B10" t="s">
        <v>405</v>
      </c>
      <c r="C10">
        <v>68</v>
      </c>
      <c r="D10">
        <v>1.6930000000000001</v>
      </c>
      <c r="E10" t="s">
        <v>406</v>
      </c>
      <c r="G10" t="s">
        <v>407</v>
      </c>
      <c r="H10" t="s">
        <v>408</v>
      </c>
      <c r="I10" t="s">
        <v>409</v>
      </c>
      <c r="K10">
        <v>23001629</v>
      </c>
      <c r="L10">
        <v>233530030</v>
      </c>
      <c r="M10">
        <v>45638</v>
      </c>
      <c r="N10">
        <v>19</v>
      </c>
      <c r="O10">
        <v>2023</v>
      </c>
      <c r="P10" t="s">
        <v>468</v>
      </c>
      <c r="Q10">
        <v>8</v>
      </c>
      <c r="R10" t="s">
        <v>444</v>
      </c>
      <c r="S10" t="s">
        <v>411</v>
      </c>
      <c r="T10">
        <v>0</v>
      </c>
      <c r="U10">
        <v>1</v>
      </c>
      <c r="W10" t="s">
        <v>446</v>
      </c>
      <c r="X10" t="s">
        <v>414</v>
      </c>
      <c r="Y10" t="s">
        <v>415</v>
      </c>
      <c r="Z10" t="s">
        <v>416</v>
      </c>
      <c r="AA10" t="s">
        <v>449</v>
      </c>
      <c r="AC10" t="s">
        <v>450</v>
      </c>
      <c r="AD10" t="s">
        <v>419</v>
      </c>
      <c r="AE10" t="s">
        <v>477</v>
      </c>
      <c r="AF10" t="s">
        <v>420</v>
      </c>
      <c r="AG10" t="s">
        <v>479</v>
      </c>
      <c r="AH10" t="s">
        <v>451</v>
      </c>
      <c r="AI10" t="s">
        <v>430</v>
      </c>
      <c r="AJ10" t="s">
        <v>462</v>
      </c>
      <c r="AK10" t="s">
        <v>432</v>
      </c>
      <c r="AL10" t="s">
        <v>453</v>
      </c>
      <c r="AM10">
        <v>67</v>
      </c>
      <c r="AN10" t="s">
        <v>434</v>
      </c>
      <c r="AO10" t="s">
        <v>435</v>
      </c>
      <c r="AP10" t="s">
        <v>494</v>
      </c>
      <c r="AQ10" t="s">
        <v>455</v>
      </c>
      <c r="AT10" t="s">
        <v>426</v>
      </c>
      <c r="AU10" t="s">
        <v>437</v>
      </c>
      <c r="AV10">
        <v>55</v>
      </c>
      <c r="AW10" t="s">
        <v>428</v>
      </c>
      <c r="AX10" t="s">
        <v>429</v>
      </c>
      <c r="CU10">
        <v>520643.64120000001</v>
      </c>
      <c r="CV10">
        <v>4945609.3687000005</v>
      </c>
      <c r="CW10">
        <v>44.663559939999999</v>
      </c>
      <c r="CX10">
        <v>-92.739602739999995</v>
      </c>
      <c r="CY10" s="287">
        <v>45279.370138888888</v>
      </c>
      <c r="CZ10" t="s">
        <v>438</v>
      </c>
      <c r="DA10" t="s">
        <v>439</v>
      </c>
      <c r="DB10" t="s">
        <v>440</v>
      </c>
      <c r="DC10" t="s">
        <v>441</v>
      </c>
      <c r="DD10" s="15" t="s">
        <v>495</v>
      </c>
    </row>
    <row r="11" spans="1:108" ht="14.25" customHeight="1" x14ac:dyDescent="0.25">
      <c r="A11">
        <v>1032989</v>
      </c>
      <c r="B11" t="s">
        <v>405</v>
      </c>
      <c r="C11">
        <v>68</v>
      </c>
      <c r="D11">
        <v>1.7070000000000001</v>
      </c>
      <c r="E11" t="s">
        <v>406</v>
      </c>
      <c r="G11" t="s">
        <v>407</v>
      </c>
      <c r="H11" t="s">
        <v>408</v>
      </c>
      <c r="I11" t="s">
        <v>409</v>
      </c>
      <c r="K11">
        <v>22000854</v>
      </c>
      <c r="L11">
        <v>221900061</v>
      </c>
      <c r="M11">
        <v>45480</v>
      </c>
      <c r="N11">
        <v>9</v>
      </c>
      <c r="O11">
        <v>2022</v>
      </c>
      <c r="P11" t="s">
        <v>458</v>
      </c>
      <c r="Q11">
        <v>16</v>
      </c>
      <c r="R11" t="s">
        <v>496</v>
      </c>
      <c r="S11" t="s">
        <v>497</v>
      </c>
      <c r="T11">
        <v>0</v>
      </c>
      <c r="U11">
        <v>1</v>
      </c>
      <c r="W11" t="s">
        <v>475</v>
      </c>
      <c r="X11" t="s">
        <v>414</v>
      </c>
      <c r="Y11" t="s">
        <v>415</v>
      </c>
      <c r="Z11" t="s">
        <v>416</v>
      </c>
      <c r="AA11" t="s">
        <v>449</v>
      </c>
      <c r="AC11" t="s">
        <v>450</v>
      </c>
      <c r="AD11" t="s">
        <v>419</v>
      </c>
      <c r="AE11" t="s">
        <v>477</v>
      </c>
      <c r="AF11" t="s">
        <v>498</v>
      </c>
      <c r="AG11" t="s">
        <v>479</v>
      </c>
      <c r="AH11" t="s">
        <v>480</v>
      </c>
      <c r="AI11" t="s">
        <v>430</v>
      </c>
      <c r="AJ11" t="s">
        <v>27</v>
      </c>
      <c r="AK11" t="s">
        <v>424</v>
      </c>
      <c r="AL11" t="s">
        <v>453</v>
      </c>
      <c r="AM11">
        <v>36</v>
      </c>
      <c r="AN11" t="s">
        <v>434</v>
      </c>
      <c r="AO11" t="s">
        <v>435</v>
      </c>
      <c r="AP11" t="s">
        <v>464</v>
      </c>
      <c r="AT11" t="s">
        <v>426</v>
      </c>
      <c r="AU11" t="s">
        <v>427</v>
      </c>
      <c r="AW11" t="s">
        <v>428</v>
      </c>
      <c r="AX11" t="s">
        <v>429</v>
      </c>
      <c r="CU11">
        <v>520665.18709999998</v>
      </c>
      <c r="CV11">
        <v>4945618.2998000002</v>
      </c>
      <c r="CW11">
        <v>44.663639719999999</v>
      </c>
      <c r="CX11">
        <v>-92.739330589999994</v>
      </c>
      <c r="CY11" s="287">
        <v>44751.675694444442</v>
      </c>
      <c r="CZ11" t="s">
        <v>438</v>
      </c>
      <c r="DA11" t="s">
        <v>439</v>
      </c>
      <c r="DB11" t="s">
        <v>440</v>
      </c>
      <c r="DC11" t="s">
        <v>441</v>
      </c>
      <c r="DD11" t="s">
        <v>499</v>
      </c>
    </row>
    <row r="12" spans="1:108" ht="14.25" customHeight="1" x14ac:dyDescent="0.25">
      <c r="CZ12" s="287"/>
    </row>
    <row r="13" spans="1:108" ht="14.25" customHeight="1" x14ac:dyDescent="0.25">
      <c r="A13" s="1" t="s">
        <v>536</v>
      </c>
      <c r="CZ13" s="287"/>
    </row>
    <row r="14" spans="1:108" ht="14.25" customHeight="1" x14ac:dyDescent="0.25">
      <c r="A14" t="s">
        <v>297</v>
      </c>
      <c r="B14" t="s">
        <v>298</v>
      </c>
      <c r="C14" t="s">
        <v>299</v>
      </c>
      <c r="D14" t="s">
        <v>300</v>
      </c>
      <c r="E14" t="s">
        <v>301</v>
      </c>
      <c r="F14" t="s">
        <v>302</v>
      </c>
      <c r="G14" t="s">
        <v>303</v>
      </c>
      <c r="H14" t="s">
        <v>304</v>
      </c>
      <c r="I14" t="s">
        <v>305</v>
      </c>
      <c r="J14" t="s">
        <v>306</v>
      </c>
      <c r="K14" t="s">
        <v>307</v>
      </c>
      <c r="L14" t="s">
        <v>308</v>
      </c>
      <c r="M14" t="s">
        <v>309</v>
      </c>
      <c r="N14" t="s">
        <v>310</v>
      </c>
      <c r="O14" t="s">
        <v>311</v>
      </c>
      <c r="P14" t="s">
        <v>312</v>
      </c>
      <c r="Q14" t="s">
        <v>313</v>
      </c>
      <c r="R14" t="s">
        <v>314</v>
      </c>
      <c r="S14" t="s">
        <v>315</v>
      </c>
      <c r="T14" t="s">
        <v>316</v>
      </c>
      <c r="U14" t="s">
        <v>317</v>
      </c>
      <c r="V14" t="s">
        <v>318</v>
      </c>
      <c r="W14" t="s">
        <v>319</v>
      </c>
      <c r="X14" t="s">
        <v>320</v>
      </c>
      <c r="Y14" t="s">
        <v>321</v>
      </c>
      <c r="Z14" t="s">
        <v>322</v>
      </c>
      <c r="AA14" t="s">
        <v>323</v>
      </c>
      <c r="AB14" t="s">
        <v>324</v>
      </c>
      <c r="AC14" t="s">
        <v>325</v>
      </c>
      <c r="AD14" t="s">
        <v>326</v>
      </c>
      <c r="AE14" t="s">
        <v>327</v>
      </c>
      <c r="AF14" t="s">
        <v>328</v>
      </c>
      <c r="AG14" t="s">
        <v>329</v>
      </c>
      <c r="AH14" t="s">
        <v>330</v>
      </c>
      <c r="AI14" t="s">
        <v>331</v>
      </c>
      <c r="AJ14" t="s">
        <v>332</v>
      </c>
      <c r="AK14" t="s">
        <v>333</v>
      </c>
      <c r="AL14" t="s">
        <v>334</v>
      </c>
      <c r="AM14" t="s">
        <v>335</v>
      </c>
      <c r="AN14" t="s">
        <v>336</v>
      </c>
      <c r="AO14" t="s">
        <v>337</v>
      </c>
      <c r="AP14" t="s">
        <v>338</v>
      </c>
      <c r="AQ14" t="s">
        <v>339</v>
      </c>
      <c r="AR14" t="s">
        <v>340</v>
      </c>
      <c r="AS14" t="s">
        <v>341</v>
      </c>
      <c r="AT14" t="s">
        <v>342</v>
      </c>
      <c r="AU14" t="s">
        <v>343</v>
      </c>
      <c r="AV14" t="s">
        <v>344</v>
      </c>
      <c r="AW14" t="s">
        <v>345</v>
      </c>
      <c r="AX14" t="s">
        <v>346</v>
      </c>
      <c r="AY14" t="s">
        <v>347</v>
      </c>
      <c r="AZ14" t="s">
        <v>348</v>
      </c>
      <c r="BA14" t="s">
        <v>349</v>
      </c>
      <c r="BB14" t="s">
        <v>350</v>
      </c>
      <c r="BC14" t="s">
        <v>351</v>
      </c>
      <c r="BD14" t="s">
        <v>352</v>
      </c>
      <c r="BE14" t="s">
        <v>353</v>
      </c>
      <c r="BF14" t="s">
        <v>354</v>
      </c>
      <c r="BG14" t="s">
        <v>355</v>
      </c>
      <c r="BH14" t="s">
        <v>356</v>
      </c>
      <c r="BI14" t="s">
        <v>357</v>
      </c>
      <c r="BJ14" t="s">
        <v>358</v>
      </c>
      <c r="BK14" t="s">
        <v>359</v>
      </c>
      <c r="BL14" t="s">
        <v>360</v>
      </c>
      <c r="BM14" t="s">
        <v>361</v>
      </c>
      <c r="BN14" t="s">
        <v>362</v>
      </c>
      <c r="BO14" t="s">
        <v>363</v>
      </c>
      <c r="BP14" t="s">
        <v>364</v>
      </c>
      <c r="BQ14" t="s">
        <v>365</v>
      </c>
      <c r="BR14" t="s">
        <v>366</v>
      </c>
      <c r="BS14" t="s">
        <v>367</v>
      </c>
      <c r="BT14" t="s">
        <v>368</v>
      </c>
      <c r="BU14" t="s">
        <v>369</v>
      </c>
      <c r="BV14" t="s">
        <v>370</v>
      </c>
      <c r="BW14" t="s">
        <v>371</v>
      </c>
      <c r="BX14" t="s">
        <v>372</v>
      </c>
      <c r="BY14" t="s">
        <v>373</v>
      </c>
      <c r="BZ14" t="s">
        <v>374</v>
      </c>
      <c r="CA14" t="s">
        <v>375</v>
      </c>
      <c r="CB14" t="s">
        <v>376</v>
      </c>
      <c r="CC14" t="s">
        <v>377</v>
      </c>
      <c r="CD14" t="s">
        <v>378</v>
      </c>
      <c r="CE14" t="s">
        <v>379</v>
      </c>
      <c r="CF14" t="s">
        <v>380</v>
      </c>
      <c r="CG14" t="s">
        <v>381</v>
      </c>
      <c r="CH14" t="s">
        <v>382</v>
      </c>
      <c r="CI14" t="s">
        <v>383</v>
      </c>
      <c r="CJ14" t="s">
        <v>384</v>
      </c>
      <c r="CK14" t="s">
        <v>385</v>
      </c>
      <c r="CL14" t="s">
        <v>386</v>
      </c>
      <c r="CM14" t="s">
        <v>387</v>
      </c>
      <c r="CN14" t="s">
        <v>388</v>
      </c>
      <c r="CO14" t="s">
        <v>389</v>
      </c>
      <c r="CP14" t="s">
        <v>390</v>
      </c>
      <c r="CQ14" t="s">
        <v>391</v>
      </c>
      <c r="CR14" t="s">
        <v>392</v>
      </c>
      <c r="CS14" t="s">
        <v>393</v>
      </c>
      <c r="CT14" t="s">
        <v>394</v>
      </c>
      <c r="CU14" t="s">
        <v>395</v>
      </c>
      <c r="CV14" t="s">
        <v>396</v>
      </c>
      <c r="CW14" t="s">
        <v>397</v>
      </c>
      <c r="CX14" t="s">
        <v>398</v>
      </c>
      <c r="CY14" t="s">
        <v>399</v>
      </c>
      <c r="CZ14" t="s">
        <v>400</v>
      </c>
      <c r="DA14" t="s">
        <v>401</v>
      </c>
      <c r="DB14" t="s">
        <v>402</v>
      </c>
      <c r="DC14" t="s">
        <v>403</v>
      </c>
      <c r="DD14" t="s">
        <v>404</v>
      </c>
    </row>
    <row r="15" spans="1:108" ht="14.25" customHeight="1" x14ac:dyDescent="0.25">
      <c r="A15">
        <v>931226</v>
      </c>
      <c r="B15" t="s">
        <v>405</v>
      </c>
      <c r="C15">
        <v>91</v>
      </c>
      <c r="D15">
        <v>13.638</v>
      </c>
      <c r="E15" t="s">
        <v>406</v>
      </c>
      <c r="F15" t="s">
        <v>500</v>
      </c>
      <c r="H15" t="s">
        <v>408</v>
      </c>
      <c r="I15" t="s">
        <v>409</v>
      </c>
      <c r="K15">
        <v>21001539</v>
      </c>
      <c r="L15">
        <v>212110024</v>
      </c>
      <c r="M15" s="288">
        <v>45480</v>
      </c>
      <c r="N15">
        <v>30</v>
      </c>
      <c r="O15">
        <v>2021</v>
      </c>
      <c r="P15" t="s">
        <v>501</v>
      </c>
      <c r="Q15">
        <v>12</v>
      </c>
      <c r="R15" t="s">
        <v>484</v>
      </c>
      <c r="S15" t="s">
        <v>411</v>
      </c>
      <c r="T15">
        <v>0</v>
      </c>
      <c r="U15">
        <v>2</v>
      </c>
      <c r="V15" t="s">
        <v>502</v>
      </c>
      <c r="W15" t="s">
        <v>413</v>
      </c>
      <c r="X15" t="s">
        <v>414</v>
      </c>
      <c r="Y15" t="s">
        <v>503</v>
      </c>
      <c r="Z15" t="s">
        <v>416</v>
      </c>
      <c r="AA15" t="s">
        <v>504</v>
      </c>
      <c r="AC15" t="s">
        <v>450</v>
      </c>
      <c r="AD15" t="s">
        <v>419</v>
      </c>
      <c r="AE15" t="s">
        <v>505</v>
      </c>
      <c r="AG15" t="s">
        <v>506</v>
      </c>
      <c r="AH15" t="s">
        <v>507</v>
      </c>
      <c r="AI15" t="s">
        <v>430</v>
      </c>
      <c r="AJ15" t="s">
        <v>465</v>
      </c>
      <c r="AK15" t="s">
        <v>508</v>
      </c>
      <c r="AL15" t="s">
        <v>509</v>
      </c>
      <c r="AM15">
        <v>48</v>
      </c>
      <c r="AN15" t="s">
        <v>454</v>
      </c>
      <c r="AO15" t="s">
        <v>435</v>
      </c>
      <c r="AP15" t="s">
        <v>510</v>
      </c>
      <c r="AQ15" t="s">
        <v>487</v>
      </c>
      <c r="AT15" t="s">
        <v>426</v>
      </c>
      <c r="AU15" t="s">
        <v>427</v>
      </c>
      <c r="AV15">
        <v>45</v>
      </c>
      <c r="AW15" t="s">
        <v>428</v>
      </c>
      <c r="AX15" t="s">
        <v>429</v>
      </c>
      <c r="AY15" t="s">
        <v>430</v>
      </c>
      <c r="AZ15" t="s">
        <v>431</v>
      </c>
      <c r="BA15" t="s">
        <v>466</v>
      </c>
      <c r="BB15" t="s">
        <v>453</v>
      </c>
      <c r="BC15">
        <v>78</v>
      </c>
      <c r="BD15" t="s">
        <v>434</v>
      </c>
      <c r="BE15" t="s">
        <v>435</v>
      </c>
      <c r="BF15" t="s">
        <v>436</v>
      </c>
      <c r="BJ15" t="s">
        <v>426</v>
      </c>
      <c r="BK15" t="s">
        <v>427</v>
      </c>
      <c r="BL15">
        <v>45</v>
      </c>
      <c r="BM15" t="s">
        <v>428</v>
      </c>
      <c r="BN15" t="s">
        <v>429</v>
      </c>
      <c r="CU15">
        <v>514173.42619999999</v>
      </c>
      <c r="CV15">
        <v>4952466.4117999999</v>
      </c>
      <c r="CW15">
        <v>44.725446490000003</v>
      </c>
      <c r="CX15" s="287">
        <v>-92.8210294</v>
      </c>
      <c r="CY15">
        <v>44407.509722222225</v>
      </c>
      <c r="CZ15" t="s">
        <v>438</v>
      </c>
      <c r="DA15" t="s">
        <v>439</v>
      </c>
      <c r="DB15" t="s">
        <v>511</v>
      </c>
      <c r="DC15" t="s">
        <v>512</v>
      </c>
      <c r="DD15" t="s">
        <v>513</v>
      </c>
    </row>
    <row r="16" spans="1:108" ht="14.25" customHeight="1" x14ac:dyDescent="0.25">
      <c r="A16">
        <v>931411</v>
      </c>
      <c r="B16" t="s">
        <v>405</v>
      </c>
      <c r="C16">
        <v>54</v>
      </c>
      <c r="D16">
        <v>0.36099999999999999</v>
      </c>
      <c r="E16" t="s">
        <v>406</v>
      </c>
      <c r="F16" t="s">
        <v>500</v>
      </c>
      <c r="H16" t="s">
        <v>408</v>
      </c>
      <c r="I16" t="s">
        <v>409</v>
      </c>
      <c r="K16">
        <v>21001543</v>
      </c>
      <c r="L16">
        <v>212120023</v>
      </c>
      <c r="M16" s="288">
        <v>45480</v>
      </c>
      <c r="N16">
        <v>31</v>
      </c>
      <c r="O16">
        <v>2021</v>
      </c>
      <c r="P16" t="s">
        <v>458</v>
      </c>
      <c r="Q16">
        <v>9</v>
      </c>
      <c r="R16" t="s">
        <v>484</v>
      </c>
      <c r="S16" t="s">
        <v>485</v>
      </c>
      <c r="T16">
        <v>0</v>
      </c>
      <c r="U16">
        <v>2</v>
      </c>
      <c r="V16" t="s">
        <v>486</v>
      </c>
      <c r="W16" t="s">
        <v>413</v>
      </c>
      <c r="X16" t="s">
        <v>414</v>
      </c>
      <c r="Y16" t="s">
        <v>415</v>
      </c>
      <c r="Z16" t="s">
        <v>416</v>
      </c>
      <c r="AA16" t="s">
        <v>449</v>
      </c>
      <c r="AC16" t="s">
        <v>450</v>
      </c>
      <c r="AD16" t="s">
        <v>419</v>
      </c>
      <c r="AE16" t="s">
        <v>420</v>
      </c>
      <c r="AF16" t="s">
        <v>514</v>
      </c>
      <c r="AG16" t="s">
        <v>421</v>
      </c>
      <c r="AH16" t="s">
        <v>486</v>
      </c>
      <c r="AI16" t="s">
        <v>430</v>
      </c>
      <c r="AJ16" t="s">
        <v>462</v>
      </c>
      <c r="AK16" t="s">
        <v>466</v>
      </c>
      <c r="AL16" t="s">
        <v>453</v>
      </c>
      <c r="AM16">
        <v>35</v>
      </c>
      <c r="AN16" t="s">
        <v>454</v>
      </c>
      <c r="AO16" t="s">
        <v>515</v>
      </c>
      <c r="AP16" t="s">
        <v>487</v>
      </c>
      <c r="AT16" t="s">
        <v>426</v>
      </c>
      <c r="AU16" t="s">
        <v>437</v>
      </c>
      <c r="AV16">
        <v>45</v>
      </c>
      <c r="AW16" t="s">
        <v>428</v>
      </c>
      <c r="AX16" t="s">
        <v>429</v>
      </c>
      <c r="AY16" t="s">
        <v>430</v>
      </c>
      <c r="AZ16" t="s">
        <v>431</v>
      </c>
      <c r="BA16" t="s">
        <v>466</v>
      </c>
      <c r="BB16" t="s">
        <v>453</v>
      </c>
      <c r="BC16">
        <v>55</v>
      </c>
      <c r="BD16" t="s">
        <v>454</v>
      </c>
      <c r="BE16" t="s">
        <v>435</v>
      </c>
      <c r="BF16" t="s">
        <v>436</v>
      </c>
      <c r="BJ16" t="s">
        <v>426</v>
      </c>
      <c r="BK16" t="s">
        <v>437</v>
      </c>
      <c r="BL16">
        <v>45</v>
      </c>
      <c r="BM16" t="s">
        <v>428</v>
      </c>
      <c r="BN16" t="s">
        <v>429</v>
      </c>
      <c r="CU16">
        <v>514047.88949999999</v>
      </c>
      <c r="CV16">
        <v>4952888.5034999996</v>
      </c>
      <c r="CW16">
        <v>44.729248759999997</v>
      </c>
      <c r="CX16" s="287">
        <v>-92.822603020000003</v>
      </c>
      <c r="CY16">
        <v>44408.375</v>
      </c>
      <c r="CZ16" t="s">
        <v>438</v>
      </c>
      <c r="DA16" t="s">
        <v>439</v>
      </c>
      <c r="DB16" t="s">
        <v>511</v>
      </c>
      <c r="DC16" s="15" t="s">
        <v>512</v>
      </c>
      <c r="DD16" t="s">
        <v>516</v>
      </c>
    </row>
    <row r="17" spans="1:108" ht="14.25" customHeight="1" x14ac:dyDescent="0.25">
      <c r="A17">
        <v>967731</v>
      </c>
      <c r="B17" t="s">
        <v>405</v>
      </c>
      <c r="C17">
        <v>91</v>
      </c>
      <c r="D17">
        <v>13.244</v>
      </c>
      <c r="E17" t="s">
        <v>406</v>
      </c>
      <c r="F17" t="s">
        <v>500</v>
      </c>
      <c r="H17" t="s">
        <v>408</v>
      </c>
      <c r="I17" t="s">
        <v>409</v>
      </c>
      <c r="K17">
        <v>21002089</v>
      </c>
      <c r="L17">
        <v>212910152</v>
      </c>
      <c r="M17" s="288">
        <v>45575</v>
      </c>
      <c r="N17">
        <v>18</v>
      </c>
      <c r="O17">
        <v>2021</v>
      </c>
      <c r="P17" t="s">
        <v>517</v>
      </c>
      <c r="Q17">
        <v>20</v>
      </c>
      <c r="R17" t="s">
        <v>484</v>
      </c>
      <c r="S17" t="s">
        <v>411</v>
      </c>
      <c r="T17">
        <v>0</v>
      </c>
      <c r="U17">
        <v>1</v>
      </c>
      <c r="W17" t="s">
        <v>518</v>
      </c>
      <c r="X17" t="s">
        <v>414</v>
      </c>
      <c r="Y17" t="s">
        <v>503</v>
      </c>
      <c r="Z17" t="s">
        <v>519</v>
      </c>
      <c r="AA17" t="s">
        <v>449</v>
      </c>
      <c r="AC17" t="s">
        <v>450</v>
      </c>
      <c r="AD17" t="s">
        <v>419</v>
      </c>
      <c r="AE17" t="s">
        <v>505</v>
      </c>
      <c r="AG17" t="s">
        <v>506</v>
      </c>
      <c r="AH17" t="s">
        <v>480</v>
      </c>
      <c r="AI17" t="s">
        <v>430</v>
      </c>
      <c r="AJ17" t="s">
        <v>462</v>
      </c>
      <c r="AK17" t="s">
        <v>466</v>
      </c>
      <c r="AL17" t="s">
        <v>453</v>
      </c>
      <c r="AM17">
        <v>46</v>
      </c>
      <c r="AN17" t="s">
        <v>454</v>
      </c>
      <c r="AO17" t="s">
        <v>435</v>
      </c>
      <c r="AP17" t="s">
        <v>436</v>
      </c>
      <c r="AT17" t="s">
        <v>426</v>
      </c>
      <c r="AU17" t="s">
        <v>484</v>
      </c>
      <c r="AW17" t="s">
        <v>520</v>
      </c>
      <c r="AX17" t="s">
        <v>482</v>
      </c>
      <c r="CU17">
        <v>514243.14169999998</v>
      </c>
      <c r="CV17">
        <v>4951839.2517999997</v>
      </c>
      <c r="CW17">
        <v>44.719799209999998</v>
      </c>
      <c r="CX17" s="287">
        <v>-92.820166540000002</v>
      </c>
      <c r="CY17">
        <v>44487.84097222222</v>
      </c>
      <c r="CZ17" t="s">
        <v>438</v>
      </c>
      <c r="DA17" t="s">
        <v>439</v>
      </c>
      <c r="DB17" t="s">
        <v>511</v>
      </c>
      <c r="DC17" s="15" t="s">
        <v>512</v>
      </c>
      <c r="DD17" t="s">
        <v>521</v>
      </c>
    </row>
    <row r="18" spans="1:108" ht="14.25" customHeight="1" x14ac:dyDescent="0.25">
      <c r="A18">
        <v>970099</v>
      </c>
      <c r="B18" t="s">
        <v>405</v>
      </c>
      <c r="C18">
        <v>91</v>
      </c>
      <c r="D18">
        <v>11.294</v>
      </c>
      <c r="E18" t="s">
        <v>406</v>
      </c>
      <c r="G18" t="s">
        <v>522</v>
      </c>
      <c r="H18" t="s">
        <v>408</v>
      </c>
      <c r="I18" t="s">
        <v>409</v>
      </c>
      <c r="K18">
        <v>21001369</v>
      </c>
      <c r="L18">
        <v>213020151</v>
      </c>
      <c r="M18" s="288">
        <v>45575</v>
      </c>
      <c r="N18">
        <v>29</v>
      </c>
      <c r="O18">
        <v>2021</v>
      </c>
      <c r="P18" t="s">
        <v>501</v>
      </c>
      <c r="Q18">
        <v>16</v>
      </c>
      <c r="S18" t="s">
        <v>445</v>
      </c>
      <c r="T18">
        <v>0</v>
      </c>
      <c r="U18">
        <v>1</v>
      </c>
      <c r="W18" t="s">
        <v>523</v>
      </c>
      <c r="X18" t="s">
        <v>524</v>
      </c>
      <c r="Y18" t="s">
        <v>503</v>
      </c>
      <c r="Z18" t="s">
        <v>416</v>
      </c>
      <c r="AA18" t="s">
        <v>449</v>
      </c>
      <c r="AC18" t="s">
        <v>450</v>
      </c>
      <c r="AD18" t="s">
        <v>419</v>
      </c>
      <c r="AE18" t="s">
        <v>505</v>
      </c>
      <c r="AG18" t="s">
        <v>506</v>
      </c>
      <c r="AH18" t="s">
        <v>451</v>
      </c>
      <c r="AI18" t="s">
        <v>430</v>
      </c>
      <c r="AJ18" t="s">
        <v>431</v>
      </c>
      <c r="AK18" t="s">
        <v>466</v>
      </c>
      <c r="AL18" t="s">
        <v>453</v>
      </c>
      <c r="AM18">
        <v>17</v>
      </c>
      <c r="AN18" t="s">
        <v>434</v>
      </c>
      <c r="AO18" t="s">
        <v>435</v>
      </c>
      <c r="AP18" t="s">
        <v>481</v>
      </c>
      <c r="AQ18" t="s">
        <v>473</v>
      </c>
      <c r="AT18" t="s">
        <v>426</v>
      </c>
      <c r="AU18" t="s">
        <v>484</v>
      </c>
      <c r="AV18">
        <v>55</v>
      </c>
      <c r="AW18" t="s">
        <v>428</v>
      </c>
      <c r="AX18" t="s">
        <v>429</v>
      </c>
      <c r="CU18">
        <v>514835.15340000001</v>
      </c>
      <c r="CV18">
        <v>4949007.5734000001</v>
      </c>
      <c r="CW18">
        <v>44.694295449999998</v>
      </c>
      <c r="CX18" s="287">
        <v>-92.812773739999997</v>
      </c>
      <c r="CY18">
        <v>44498.694444444445</v>
      </c>
      <c r="CZ18" t="s">
        <v>438</v>
      </c>
      <c r="DA18" t="s">
        <v>439</v>
      </c>
      <c r="DB18" t="s">
        <v>440</v>
      </c>
      <c r="DC18" s="15" t="s">
        <v>441</v>
      </c>
      <c r="DD18" t="s">
        <v>525</v>
      </c>
    </row>
    <row r="19" spans="1:108" ht="14.25" customHeight="1" x14ac:dyDescent="0.25">
      <c r="A19">
        <v>1007596</v>
      </c>
      <c r="B19" t="s">
        <v>405</v>
      </c>
      <c r="C19">
        <v>54</v>
      </c>
      <c r="D19">
        <v>0.36599999999999999</v>
      </c>
      <c r="E19" t="s">
        <v>406</v>
      </c>
      <c r="F19" t="s">
        <v>500</v>
      </c>
      <c r="H19" t="s">
        <v>408</v>
      </c>
      <c r="I19" t="s">
        <v>409</v>
      </c>
      <c r="K19">
        <v>22000327</v>
      </c>
      <c r="L19">
        <v>220510020</v>
      </c>
      <c r="M19" s="288">
        <v>45324</v>
      </c>
      <c r="N19">
        <v>20</v>
      </c>
      <c r="O19">
        <v>2022</v>
      </c>
      <c r="P19" t="s">
        <v>410</v>
      </c>
      <c r="Q19">
        <v>7</v>
      </c>
      <c r="S19" t="s">
        <v>411</v>
      </c>
      <c r="T19">
        <v>0</v>
      </c>
      <c r="U19">
        <v>2</v>
      </c>
      <c r="V19" t="s">
        <v>502</v>
      </c>
      <c r="W19" t="s">
        <v>413</v>
      </c>
      <c r="X19" t="s">
        <v>414</v>
      </c>
      <c r="Y19" t="s">
        <v>415</v>
      </c>
      <c r="Z19" t="s">
        <v>448</v>
      </c>
      <c r="AA19" t="s">
        <v>449</v>
      </c>
      <c r="AC19" t="s">
        <v>450</v>
      </c>
      <c r="AD19" t="s">
        <v>419</v>
      </c>
      <c r="AE19" t="s">
        <v>420</v>
      </c>
      <c r="AF19" t="s">
        <v>514</v>
      </c>
      <c r="AG19" t="s">
        <v>421</v>
      </c>
      <c r="AH19" t="s">
        <v>507</v>
      </c>
      <c r="AI19" t="s">
        <v>430</v>
      </c>
      <c r="AJ19" t="s">
        <v>465</v>
      </c>
      <c r="AK19" t="s">
        <v>432</v>
      </c>
      <c r="AL19" t="s">
        <v>526</v>
      </c>
      <c r="AM19">
        <v>59</v>
      </c>
      <c r="AN19" t="s">
        <v>434</v>
      </c>
      <c r="AO19" t="s">
        <v>435</v>
      </c>
      <c r="AP19" t="s">
        <v>436</v>
      </c>
      <c r="AT19" t="s">
        <v>426</v>
      </c>
      <c r="AU19" t="s">
        <v>427</v>
      </c>
      <c r="AV19">
        <v>40</v>
      </c>
      <c r="AW19" t="s">
        <v>428</v>
      </c>
      <c r="AX19" t="s">
        <v>429</v>
      </c>
      <c r="AY19" t="s">
        <v>430</v>
      </c>
      <c r="AZ19" t="s">
        <v>431</v>
      </c>
      <c r="BA19" t="s">
        <v>432</v>
      </c>
      <c r="BB19" t="s">
        <v>453</v>
      </c>
      <c r="BC19">
        <v>36</v>
      </c>
      <c r="BD19" t="s">
        <v>434</v>
      </c>
      <c r="BE19" t="s">
        <v>435</v>
      </c>
      <c r="BF19" t="s">
        <v>515</v>
      </c>
      <c r="BJ19" t="s">
        <v>426</v>
      </c>
      <c r="BK19" t="s">
        <v>427</v>
      </c>
      <c r="BL19">
        <v>40</v>
      </c>
      <c r="BM19" t="s">
        <v>428</v>
      </c>
      <c r="BN19" t="s">
        <v>429</v>
      </c>
      <c r="CU19">
        <v>514055.57309999998</v>
      </c>
      <c r="CV19">
        <v>4952887.0119000003</v>
      </c>
      <c r="CW19">
        <v>44.729235180000003</v>
      </c>
      <c r="CX19" s="287">
        <v>-92.82250603</v>
      </c>
      <c r="CY19">
        <v>44612.291666666664</v>
      </c>
      <c r="CZ19" t="s">
        <v>438</v>
      </c>
      <c r="DA19" t="s">
        <v>439</v>
      </c>
      <c r="DB19" t="s">
        <v>511</v>
      </c>
      <c r="DC19" t="s">
        <v>512</v>
      </c>
      <c r="DD19" t="s">
        <v>527</v>
      </c>
    </row>
    <row r="20" spans="1:108" ht="14.25" customHeight="1" x14ac:dyDescent="0.25">
      <c r="A20">
        <v>1022587</v>
      </c>
      <c r="B20" t="s">
        <v>405</v>
      </c>
      <c r="C20">
        <v>54</v>
      </c>
      <c r="D20">
        <v>0.36</v>
      </c>
      <c r="E20" t="s">
        <v>406</v>
      </c>
      <c r="F20" t="s">
        <v>500</v>
      </c>
      <c r="H20" t="s">
        <v>408</v>
      </c>
      <c r="I20" t="s">
        <v>409</v>
      </c>
      <c r="K20" t="s">
        <v>528</v>
      </c>
      <c r="L20">
        <v>221340018</v>
      </c>
      <c r="M20" s="288">
        <v>45417</v>
      </c>
      <c r="N20">
        <v>14</v>
      </c>
      <c r="O20">
        <v>2022</v>
      </c>
      <c r="P20" t="s">
        <v>458</v>
      </c>
      <c r="Q20">
        <v>10</v>
      </c>
      <c r="S20" t="s">
        <v>411</v>
      </c>
      <c r="T20">
        <v>0</v>
      </c>
      <c r="U20">
        <v>2</v>
      </c>
      <c r="V20" t="s">
        <v>502</v>
      </c>
      <c r="W20" t="s">
        <v>413</v>
      </c>
      <c r="X20" t="s">
        <v>414</v>
      </c>
      <c r="Y20" t="s">
        <v>529</v>
      </c>
      <c r="Z20" t="s">
        <v>416</v>
      </c>
      <c r="AA20" t="s">
        <v>449</v>
      </c>
      <c r="AC20" t="s">
        <v>450</v>
      </c>
      <c r="AD20" t="s">
        <v>419</v>
      </c>
      <c r="AE20" t="s">
        <v>420</v>
      </c>
      <c r="AF20" t="s">
        <v>505</v>
      </c>
      <c r="AG20" t="s">
        <v>421</v>
      </c>
      <c r="AH20" t="s">
        <v>507</v>
      </c>
      <c r="AI20" t="s">
        <v>430</v>
      </c>
      <c r="AJ20" t="s">
        <v>462</v>
      </c>
      <c r="AK20" t="s">
        <v>466</v>
      </c>
      <c r="AL20" t="s">
        <v>515</v>
      </c>
      <c r="AM20">
        <v>40</v>
      </c>
      <c r="AN20" t="s">
        <v>434</v>
      </c>
      <c r="AO20" t="s">
        <v>435</v>
      </c>
      <c r="AP20" t="s">
        <v>530</v>
      </c>
      <c r="AT20" t="s">
        <v>426</v>
      </c>
      <c r="AU20" t="s">
        <v>427</v>
      </c>
      <c r="AV20">
        <v>45</v>
      </c>
      <c r="AW20" t="s">
        <v>428</v>
      </c>
      <c r="AX20" t="s">
        <v>429</v>
      </c>
      <c r="AY20" t="s">
        <v>430</v>
      </c>
      <c r="AZ20" t="s">
        <v>462</v>
      </c>
      <c r="BA20" t="s">
        <v>466</v>
      </c>
      <c r="BB20" t="s">
        <v>515</v>
      </c>
      <c r="BC20">
        <v>40</v>
      </c>
      <c r="BD20" t="s">
        <v>434</v>
      </c>
      <c r="BE20" t="s">
        <v>515</v>
      </c>
      <c r="BF20" t="s">
        <v>530</v>
      </c>
      <c r="BJ20" t="s">
        <v>426</v>
      </c>
      <c r="BK20" t="s">
        <v>427</v>
      </c>
      <c r="BL20">
        <v>45</v>
      </c>
      <c r="BM20" t="s">
        <v>428</v>
      </c>
      <c r="BN20" t="s">
        <v>429</v>
      </c>
      <c r="CU20">
        <v>514046.43819999998</v>
      </c>
      <c r="CV20">
        <v>4952888.7896999996</v>
      </c>
      <c r="CW20">
        <v>44.72925137</v>
      </c>
      <c r="CX20" s="287">
        <v>-92.822621339999998</v>
      </c>
      <c r="CY20">
        <v>44695.427083333336</v>
      </c>
      <c r="CZ20" t="s">
        <v>438</v>
      </c>
      <c r="DA20" t="s">
        <v>439</v>
      </c>
      <c r="DB20" t="s">
        <v>511</v>
      </c>
      <c r="DC20" t="s">
        <v>512</v>
      </c>
      <c r="DD20" t="s">
        <v>531</v>
      </c>
    </row>
    <row r="21" spans="1:108" ht="14.25" customHeight="1" x14ac:dyDescent="0.25">
      <c r="A21">
        <v>1045148</v>
      </c>
      <c r="B21" t="s">
        <v>405</v>
      </c>
      <c r="C21">
        <v>91</v>
      </c>
      <c r="D21">
        <v>13.907999999999999</v>
      </c>
      <c r="E21" t="s">
        <v>406</v>
      </c>
      <c r="F21" t="s">
        <v>500</v>
      </c>
      <c r="H21" t="s">
        <v>408</v>
      </c>
      <c r="I21" t="s">
        <v>409</v>
      </c>
      <c r="K21">
        <v>22001686</v>
      </c>
      <c r="L21">
        <v>222540097</v>
      </c>
      <c r="M21" s="288">
        <v>45544</v>
      </c>
      <c r="N21">
        <v>11</v>
      </c>
      <c r="O21">
        <v>2022</v>
      </c>
      <c r="P21" t="s">
        <v>410</v>
      </c>
      <c r="Q21">
        <v>13</v>
      </c>
      <c r="S21" t="s">
        <v>411</v>
      </c>
      <c r="T21">
        <v>0</v>
      </c>
      <c r="U21">
        <v>1</v>
      </c>
      <c r="W21" t="s">
        <v>475</v>
      </c>
      <c r="X21" t="s">
        <v>476</v>
      </c>
      <c r="Y21" t="s">
        <v>415</v>
      </c>
      <c r="Z21" t="s">
        <v>416</v>
      </c>
      <c r="AA21" t="s">
        <v>449</v>
      </c>
      <c r="AC21" t="s">
        <v>450</v>
      </c>
      <c r="AD21" t="s">
        <v>419</v>
      </c>
      <c r="AE21" t="s">
        <v>505</v>
      </c>
      <c r="AF21" t="s">
        <v>420</v>
      </c>
      <c r="AG21" t="s">
        <v>506</v>
      </c>
      <c r="AH21" t="s">
        <v>480</v>
      </c>
      <c r="AI21" t="s">
        <v>430</v>
      </c>
      <c r="AJ21" t="s">
        <v>462</v>
      </c>
      <c r="AK21" t="s">
        <v>466</v>
      </c>
      <c r="AL21" t="s">
        <v>453</v>
      </c>
      <c r="AM21">
        <v>25</v>
      </c>
      <c r="AN21" t="s">
        <v>434</v>
      </c>
      <c r="AO21" t="s">
        <v>491</v>
      </c>
      <c r="AP21" t="s">
        <v>481</v>
      </c>
      <c r="AQ21" t="s">
        <v>473</v>
      </c>
      <c r="AT21" t="s">
        <v>426</v>
      </c>
      <c r="AU21" t="s">
        <v>437</v>
      </c>
      <c r="AV21">
        <v>45</v>
      </c>
      <c r="AW21" t="s">
        <v>428</v>
      </c>
      <c r="AX21" t="s">
        <v>429</v>
      </c>
      <c r="CU21">
        <v>514050.78980000003</v>
      </c>
      <c r="CV21">
        <v>4952878.6191999996</v>
      </c>
      <c r="CW21">
        <v>44.729159719999998</v>
      </c>
      <c r="CX21" s="287">
        <v>-92.82256667</v>
      </c>
      <c r="CY21">
        <v>44815.553472222222</v>
      </c>
      <c r="CZ21" t="s">
        <v>438</v>
      </c>
      <c r="DA21" t="s">
        <v>439</v>
      </c>
      <c r="DB21" t="s">
        <v>511</v>
      </c>
      <c r="DC21" t="s">
        <v>512</v>
      </c>
      <c r="DD21" t="s">
        <v>532</v>
      </c>
    </row>
    <row r="22" spans="1:108" ht="14.25" customHeight="1" x14ac:dyDescent="0.25">
      <c r="A22">
        <v>1120077</v>
      </c>
      <c r="B22" t="s">
        <v>405</v>
      </c>
      <c r="C22">
        <v>54</v>
      </c>
      <c r="D22">
        <v>0.36499999999999999</v>
      </c>
      <c r="E22" t="s">
        <v>406</v>
      </c>
      <c r="F22" t="s">
        <v>500</v>
      </c>
      <c r="H22" t="s">
        <v>408</v>
      </c>
      <c r="I22" t="s">
        <v>409</v>
      </c>
      <c r="K22" t="s">
        <v>533</v>
      </c>
      <c r="L22">
        <v>231960006</v>
      </c>
      <c r="M22" s="288">
        <v>45480</v>
      </c>
      <c r="N22">
        <v>15</v>
      </c>
      <c r="O22">
        <v>2023</v>
      </c>
      <c r="P22" t="s">
        <v>458</v>
      </c>
      <c r="Q22">
        <v>6</v>
      </c>
      <c r="R22" t="s">
        <v>484</v>
      </c>
      <c r="S22" t="s">
        <v>411</v>
      </c>
      <c r="T22">
        <v>0</v>
      </c>
      <c r="U22">
        <v>1</v>
      </c>
      <c r="W22" t="s">
        <v>518</v>
      </c>
      <c r="X22" t="s">
        <v>414</v>
      </c>
      <c r="Y22" t="s">
        <v>515</v>
      </c>
      <c r="Z22" t="s">
        <v>416</v>
      </c>
      <c r="AA22" t="s">
        <v>449</v>
      </c>
      <c r="AC22" t="s">
        <v>450</v>
      </c>
      <c r="AD22" t="s">
        <v>419</v>
      </c>
      <c r="AE22" t="s">
        <v>420</v>
      </c>
      <c r="AG22" t="s">
        <v>421</v>
      </c>
      <c r="AH22" t="s">
        <v>480</v>
      </c>
      <c r="AI22" t="s">
        <v>430</v>
      </c>
      <c r="AJ22" t="s">
        <v>431</v>
      </c>
      <c r="AK22" t="s">
        <v>424</v>
      </c>
      <c r="AL22" t="s">
        <v>453</v>
      </c>
      <c r="AM22">
        <v>26</v>
      </c>
      <c r="AN22" t="s">
        <v>454</v>
      </c>
      <c r="AO22" t="s">
        <v>435</v>
      </c>
      <c r="AP22" t="s">
        <v>436</v>
      </c>
      <c r="AT22" t="s">
        <v>426</v>
      </c>
      <c r="AU22" t="s">
        <v>427</v>
      </c>
      <c r="AV22">
        <v>55</v>
      </c>
      <c r="AW22" t="s">
        <v>428</v>
      </c>
      <c r="AX22" t="s">
        <v>429</v>
      </c>
      <c r="CU22">
        <v>514054.1557</v>
      </c>
      <c r="CV22">
        <v>4952887.2849000003</v>
      </c>
      <c r="CW22">
        <v>44.729237670000003</v>
      </c>
      <c r="CX22" s="287">
        <v>-92.822523919999995</v>
      </c>
      <c r="CY22">
        <v>45122.268055555556</v>
      </c>
      <c r="CZ22" t="s">
        <v>438</v>
      </c>
      <c r="DA22" t="s">
        <v>439</v>
      </c>
      <c r="DB22" t="s">
        <v>511</v>
      </c>
      <c r="DC22" t="s">
        <v>512</v>
      </c>
      <c r="DD22" t="s">
        <v>534</v>
      </c>
    </row>
    <row r="24" spans="1:108" x14ac:dyDescent="0.25">
      <c r="A24" s="1" t="s">
        <v>939</v>
      </c>
    </row>
    <row r="25" spans="1:108" ht="14.25" customHeight="1" x14ac:dyDescent="0.25">
      <c r="A25" t="s">
        <v>297</v>
      </c>
      <c r="B25" t="s">
        <v>298</v>
      </c>
      <c r="C25" t="s">
        <v>299</v>
      </c>
      <c r="D25" t="s">
        <v>300</v>
      </c>
      <c r="E25" t="s">
        <v>301</v>
      </c>
      <c r="F25" t="s">
        <v>302</v>
      </c>
      <c r="G25" t="s">
        <v>303</v>
      </c>
      <c r="H25" t="s">
        <v>304</v>
      </c>
      <c r="I25" t="s">
        <v>305</v>
      </c>
      <c r="J25" t="s">
        <v>306</v>
      </c>
      <c r="K25" t="s">
        <v>307</v>
      </c>
      <c r="L25" t="s">
        <v>308</v>
      </c>
      <c r="M25" t="s">
        <v>309</v>
      </c>
      <c r="N25" t="s">
        <v>310</v>
      </c>
      <c r="O25" t="s">
        <v>311</v>
      </c>
      <c r="P25" t="s">
        <v>312</v>
      </c>
      <c r="Q25" t="s">
        <v>313</v>
      </c>
      <c r="R25" t="s">
        <v>314</v>
      </c>
      <c r="S25" t="s">
        <v>315</v>
      </c>
      <c r="T25" t="s">
        <v>316</v>
      </c>
      <c r="U25" t="s">
        <v>317</v>
      </c>
      <c r="V25" t="s">
        <v>318</v>
      </c>
      <c r="W25" t="s">
        <v>319</v>
      </c>
      <c r="X25" t="s">
        <v>320</v>
      </c>
      <c r="Y25" t="s">
        <v>321</v>
      </c>
      <c r="Z25" t="s">
        <v>322</v>
      </c>
      <c r="AA25" t="s">
        <v>323</v>
      </c>
      <c r="AB25" t="s">
        <v>324</v>
      </c>
      <c r="AC25" t="s">
        <v>325</v>
      </c>
      <c r="AD25" t="s">
        <v>326</v>
      </c>
      <c r="AE25" t="s">
        <v>327</v>
      </c>
      <c r="AF25" t="s">
        <v>328</v>
      </c>
      <c r="AG25" t="s">
        <v>329</v>
      </c>
      <c r="AH25" t="s">
        <v>330</v>
      </c>
      <c r="AI25" t="s">
        <v>331</v>
      </c>
      <c r="AJ25" t="s">
        <v>332</v>
      </c>
      <c r="AK25" t="s">
        <v>333</v>
      </c>
      <c r="AL25" t="s">
        <v>334</v>
      </c>
      <c r="AM25" t="s">
        <v>335</v>
      </c>
      <c r="AN25" t="s">
        <v>336</v>
      </c>
      <c r="AO25" t="s">
        <v>337</v>
      </c>
      <c r="AP25" t="s">
        <v>338</v>
      </c>
      <c r="AQ25" t="s">
        <v>339</v>
      </c>
      <c r="AR25" t="s">
        <v>340</v>
      </c>
      <c r="AS25" t="s">
        <v>341</v>
      </c>
      <c r="AT25" t="s">
        <v>342</v>
      </c>
      <c r="AU25" t="s">
        <v>343</v>
      </c>
      <c r="AV25" t="s">
        <v>344</v>
      </c>
      <c r="AW25" t="s">
        <v>345</v>
      </c>
      <c r="AX25" t="s">
        <v>346</v>
      </c>
      <c r="AY25" t="s">
        <v>347</v>
      </c>
      <c r="AZ25" t="s">
        <v>348</v>
      </c>
      <c r="BA25" t="s">
        <v>349</v>
      </c>
      <c r="BB25" t="s">
        <v>350</v>
      </c>
      <c r="BC25" t="s">
        <v>351</v>
      </c>
      <c r="BD25" t="s">
        <v>352</v>
      </c>
      <c r="BE25" t="s">
        <v>353</v>
      </c>
      <c r="BF25" t="s">
        <v>354</v>
      </c>
      <c r="BG25" t="s">
        <v>355</v>
      </c>
      <c r="BH25" t="s">
        <v>356</v>
      </c>
      <c r="BI25" t="s">
        <v>357</v>
      </c>
      <c r="BJ25" t="s">
        <v>358</v>
      </c>
      <c r="BK25" t="s">
        <v>359</v>
      </c>
      <c r="BL25" t="s">
        <v>360</v>
      </c>
      <c r="BM25" t="s">
        <v>361</v>
      </c>
      <c r="BN25" t="s">
        <v>362</v>
      </c>
      <c r="BO25" t="s">
        <v>363</v>
      </c>
      <c r="BP25" t="s">
        <v>364</v>
      </c>
      <c r="BQ25" t="s">
        <v>365</v>
      </c>
      <c r="BR25" t="s">
        <v>366</v>
      </c>
      <c r="BS25" t="s">
        <v>367</v>
      </c>
      <c r="BT25" t="s">
        <v>368</v>
      </c>
      <c r="BU25" t="s">
        <v>369</v>
      </c>
      <c r="BV25" t="s">
        <v>370</v>
      </c>
      <c r="BW25" t="s">
        <v>371</v>
      </c>
      <c r="BX25" t="s">
        <v>372</v>
      </c>
      <c r="BY25" t="s">
        <v>373</v>
      </c>
      <c r="BZ25" t="s">
        <v>374</v>
      </c>
      <c r="CA25" t="s">
        <v>375</v>
      </c>
      <c r="CB25" t="s">
        <v>376</v>
      </c>
      <c r="CC25" t="s">
        <v>377</v>
      </c>
      <c r="CD25" t="s">
        <v>378</v>
      </c>
      <c r="CE25" t="s">
        <v>379</v>
      </c>
      <c r="CF25" t="s">
        <v>380</v>
      </c>
      <c r="CG25" t="s">
        <v>381</v>
      </c>
      <c r="CH25" t="s">
        <v>382</v>
      </c>
      <c r="CI25" t="s">
        <v>383</v>
      </c>
      <c r="CJ25" t="s">
        <v>384</v>
      </c>
      <c r="CK25" t="s">
        <v>385</v>
      </c>
      <c r="CL25" t="s">
        <v>386</v>
      </c>
      <c r="CM25" t="s">
        <v>387</v>
      </c>
      <c r="CN25" t="s">
        <v>388</v>
      </c>
      <c r="CO25" t="s">
        <v>389</v>
      </c>
      <c r="CP25" t="s">
        <v>390</v>
      </c>
      <c r="CQ25" t="s">
        <v>391</v>
      </c>
      <c r="CR25" t="s">
        <v>392</v>
      </c>
      <c r="CS25" t="s">
        <v>393</v>
      </c>
      <c r="CT25" t="s">
        <v>394</v>
      </c>
      <c r="CU25" t="s">
        <v>395</v>
      </c>
      <c r="CV25" t="s">
        <v>396</v>
      </c>
      <c r="CW25" t="s">
        <v>397</v>
      </c>
      <c r="CX25" t="s">
        <v>398</v>
      </c>
      <c r="CY25" t="s">
        <v>399</v>
      </c>
      <c r="CZ25" t="s">
        <v>400</v>
      </c>
      <c r="DA25" t="s">
        <v>401</v>
      </c>
      <c r="DB25" t="s">
        <v>402</v>
      </c>
      <c r="DC25" t="s">
        <v>403</v>
      </c>
      <c r="DD25" t="s">
        <v>404</v>
      </c>
    </row>
    <row r="26" spans="1:108" x14ac:dyDescent="0.25">
      <c r="A26">
        <v>721202</v>
      </c>
      <c r="B26" t="s">
        <v>405</v>
      </c>
      <c r="C26">
        <v>54</v>
      </c>
      <c r="D26">
        <v>0.72899999999999998</v>
      </c>
      <c r="E26" t="s">
        <v>406</v>
      </c>
      <c r="F26" t="s">
        <v>500</v>
      </c>
      <c r="H26" t="s">
        <v>408</v>
      </c>
      <c r="I26" t="s">
        <v>409</v>
      </c>
      <c r="K26">
        <v>19000723</v>
      </c>
      <c r="L26">
        <v>191400106</v>
      </c>
      <c r="M26" s="288">
        <v>45417</v>
      </c>
      <c r="N26">
        <v>20</v>
      </c>
      <c r="O26">
        <v>2019</v>
      </c>
      <c r="P26" t="s">
        <v>517</v>
      </c>
      <c r="Q26">
        <v>17</v>
      </c>
      <c r="R26" t="s">
        <v>541</v>
      </c>
      <c r="S26" t="s">
        <v>445</v>
      </c>
      <c r="T26">
        <v>0</v>
      </c>
      <c r="U26">
        <v>1</v>
      </c>
      <c r="W26" t="s">
        <v>542</v>
      </c>
      <c r="X26" t="s">
        <v>524</v>
      </c>
      <c r="Y26" t="s">
        <v>503</v>
      </c>
      <c r="Z26" t="s">
        <v>416</v>
      </c>
      <c r="AA26" t="s">
        <v>449</v>
      </c>
      <c r="AC26" t="s">
        <v>450</v>
      </c>
      <c r="AD26" t="s">
        <v>419</v>
      </c>
      <c r="AE26" t="s">
        <v>420</v>
      </c>
      <c r="AG26" t="s">
        <v>421</v>
      </c>
      <c r="AH26" t="s">
        <v>543</v>
      </c>
      <c r="AI26" t="s">
        <v>430</v>
      </c>
      <c r="AJ26" t="s">
        <v>462</v>
      </c>
      <c r="AK26" t="s">
        <v>508</v>
      </c>
      <c r="AL26" t="s">
        <v>453</v>
      </c>
      <c r="AM26">
        <v>60</v>
      </c>
      <c r="AN26" t="s">
        <v>434</v>
      </c>
      <c r="AO26" t="s">
        <v>435</v>
      </c>
      <c r="AP26" t="s">
        <v>436</v>
      </c>
      <c r="AT26" t="s">
        <v>426</v>
      </c>
      <c r="AU26" t="s">
        <v>484</v>
      </c>
      <c r="AV26">
        <v>55</v>
      </c>
      <c r="AW26" t="s">
        <v>428</v>
      </c>
      <c r="AX26" t="s">
        <v>429</v>
      </c>
      <c r="AY26" t="s">
        <v>544</v>
      </c>
      <c r="BC26">
        <v>62</v>
      </c>
      <c r="BE26" t="s">
        <v>435</v>
      </c>
      <c r="BF26" t="s">
        <v>545</v>
      </c>
      <c r="BH26" t="s">
        <v>529</v>
      </c>
      <c r="BI26" t="s">
        <v>546</v>
      </c>
      <c r="CU26">
        <v>514630.57510000002</v>
      </c>
      <c r="CV26">
        <v>4952781.5604999997</v>
      </c>
      <c r="CW26">
        <v>44.72827436</v>
      </c>
      <c r="CX26">
        <v>-92.815247639999995</v>
      </c>
      <c r="CY26" s="287">
        <v>43605.725694444445</v>
      </c>
      <c r="CZ26" t="s">
        <v>438</v>
      </c>
      <c r="DA26" t="s">
        <v>439</v>
      </c>
      <c r="DB26" t="s">
        <v>440</v>
      </c>
      <c r="DC26" t="s">
        <v>441</v>
      </c>
      <c r="DD26" t="s">
        <v>547</v>
      </c>
    </row>
    <row r="27" spans="1:108" x14ac:dyDescent="0.25">
      <c r="A27">
        <v>703919</v>
      </c>
      <c r="B27" t="s">
        <v>405</v>
      </c>
      <c r="C27">
        <v>54</v>
      </c>
      <c r="D27">
        <v>0.91200000000000003</v>
      </c>
      <c r="E27" t="s">
        <v>406</v>
      </c>
      <c r="G27" t="s">
        <v>407</v>
      </c>
      <c r="H27" t="s">
        <v>408</v>
      </c>
      <c r="I27" t="s">
        <v>409</v>
      </c>
      <c r="K27">
        <v>19000558</v>
      </c>
      <c r="L27">
        <v>191040030</v>
      </c>
      <c r="M27" s="288">
        <v>45386</v>
      </c>
      <c r="N27">
        <v>14</v>
      </c>
      <c r="O27">
        <v>2019</v>
      </c>
      <c r="P27" t="s">
        <v>410</v>
      </c>
      <c r="Q27">
        <v>10</v>
      </c>
      <c r="R27" t="s">
        <v>444</v>
      </c>
      <c r="S27" t="s">
        <v>411</v>
      </c>
      <c r="T27">
        <v>0</v>
      </c>
      <c r="U27">
        <v>1</v>
      </c>
      <c r="W27" t="s">
        <v>518</v>
      </c>
      <c r="X27" t="s">
        <v>414</v>
      </c>
      <c r="Y27" t="s">
        <v>503</v>
      </c>
      <c r="Z27" t="s">
        <v>416</v>
      </c>
      <c r="AA27" t="s">
        <v>449</v>
      </c>
      <c r="AC27" t="s">
        <v>450</v>
      </c>
      <c r="AD27" t="s">
        <v>419</v>
      </c>
      <c r="AE27" t="s">
        <v>420</v>
      </c>
      <c r="AG27" t="s">
        <v>421</v>
      </c>
      <c r="AH27" t="s">
        <v>480</v>
      </c>
      <c r="AI27" t="s">
        <v>430</v>
      </c>
      <c r="AJ27" t="s">
        <v>462</v>
      </c>
      <c r="AK27" t="s">
        <v>432</v>
      </c>
      <c r="AL27" t="s">
        <v>453</v>
      </c>
      <c r="AM27">
        <v>57</v>
      </c>
      <c r="AN27" t="s">
        <v>454</v>
      </c>
      <c r="AO27" t="s">
        <v>435</v>
      </c>
      <c r="AP27" t="s">
        <v>436</v>
      </c>
      <c r="AT27" t="s">
        <v>426</v>
      </c>
      <c r="AU27" t="s">
        <v>427</v>
      </c>
      <c r="AV27">
        <v>55</v>
      </c>
      <c r="AW27" t="s">
        <v>428</v>
      </c>
      <c r="AX27" t="s">
        <v>429</v>
      </c>
      <c r="CU27">
        <v>514921.321</v>
      </c>
      <c r="CV27">
        <v>4952739.3607000001</v>
      </c>
      <c r="CW27">
        <v>44.727888470000003</v>
      </c>
      <c r="CX27">
        <v>-92.811577260000007</v>
      </c>
      <c r="CY27" s="287">
        <v>43569.438194444447</v>
      </c>
      <c r="CZ27" t="s">
        <v>438</v>
      </c>
      <c r="DA27" t="s">
        <v>439</v>
      </c>
      <c r="DB27" t="s">
        <v>440</v>
      </c>
      <c r="DC27" t="s">
        <v>441</v>
      </c>
      <c r="DD27" t="s">
        <v>548</v>
      </c>
    </row>
    <row r="28" spans="1:108" x14ac:dyDescent="0.25">
      <c r="A28">
        <v>976742</v>
      </c>
      <c r="B28" t="s">
        <v>405</v>
      </c>
      <c r="C28">
        <v>54</v>
      </c>
      <c r="D28">
        <v>1.0009999999999999</v>
      </c>
      <c r="E28" t="s">
        <v>406</v>
      </c>
      <c r="G28" t="s">
        <v>407</v>
      </c>
      <c r="H28" t="s">
        <v>408</v>
      </c>
      <c r="I28" t="s">
        <v>409</v>
      </c>
      <c r="K28">
        <v>21001542</v>
      </c>
      <c r="L28">
        <v>213350090</v>
      </c>
      <c r="M28" s="288">
        <v>45638</v>
      </c>
      <c r="N28">
        <v>1</v>
      </c>
      <c r="O28">
        <v>2021</v>
      </c>
      <c r="P28" t="s">
        <v>549</v>
      </c>
      <c r="Q28">
        <v>8</v>
      </c>
      <c r="R28" t="s">
        <v>484</v>
      </c>
      <c r="S28" t="s">
        <v>411</v>
      </c>
      <c r="T28">
        <v>0</v>
      </c>
      <c r="U28">
        <v>1</v>
      </c>
      <c r="W28" t="s">
        <v>550</v>
      </c>
      <c r="X28" t="s">
        <v>447</v>
      </c>
      <c r="Y28" t="s">
        <v>503</v>
      </c>
      <c r="Z28" t="s">
        <v>416</v>
      </c>
      <c r="AA28" t="s">
        <v>504</v>
      </c>
      <c r="AC28" t="s">
        <v>460</v>
      </c>
      <c r="AD28" t="s">
        <v>419</v>
      </c>
      <c r="AE28" t="s">
        <v>420</v>
      </c>
      <c r="AF28" t="s">
        <v>538</v>
      </c>
      <c r="AG28" t="s">
        <v>421</v>
      </c>
      <c r="AH28" t="s">
        <v>451</v>
      </c>
      <c r="AI28" t="s">
        <v>430</v>
      </c>
      <c r="AJ28" t="s">
        <v>462</v>
      </c>
      <c r="AK28" t="s">
        <v>508</v>
      </c>
      <c r="AL28" t="s">
        <v>453</v>
      </c>
      <c r="AM28">
        <v>25</v>
      </c>
      <c r="AN28" t="s">
        <v>454</v>
      </c>
      <c r="AO28" t="s">
        <v>435</v>
      </c>
      <c r="AP28" t="s">
        <v>473</v>
      </c>
      <c r="AT28" t="s">
        <v>426</v>
      </c>
      <c r="AU28" t="s">
        <v>484</v>
      </c>
      <c r="AV28">
        <v>55</v>
      </c>
      <c r="AW28" t="s">
        <v>551</v>
      </c>
      <c r="AX28" t="s">
        <v>429</v>
      </c>
      <c r="CU28">
        <v>515063.05119999999</v>
      </c>
      <c r="CV28">
        <v>4952721.7769999998</v>
      </c>
      <c r="CW28">
        <v>44.727727209999998</v>
      </c>
      <c r="CX28">
        <v>-92.809787979999996</v>
      </c>
      <c r="CY28" s="287">
        <v>44531.364583333336</v>
      </c>
      <c r="CZ28" t="s">
        <v>438</v>
      </c>
      <c r="DA28" t="s">
        <v>439</v>
      </c>
      <c r="DB28" t="s">
        <v>440</v>
      </c>
      <c r="DC28" t="s">
        <v>441</v>
      </c>
      <c r="DD28" t="s">
        <v>552</v>
      </c>
    </row>
    <row r="29" spans="1:108" x14ac:dyDescent="0.25">
      <c r="A29">
        <v>1146398</v>
      </c>
      <c r="B29" t="s">
        <v>405</v>
      </c>
      <c r="C29">
        <v>54</v>
      </c>
      <c r="D29">
        <v>1.1319999999999999</v>
      </c>
      <c r="E29" t="s">
        <v>406</v>
      </c>
      <c r="G29" t="s">
        <v>407</v>
      </c>
      <c r="H29" t="s">
        <v>408</v>
      </c>
      <c r="I29" t="s">
        <v>409</v>
      </c>
      <c r="K29">
        <v>23001535</v>
      </c>
      <c r="L29">
        <v>233320068</v>
      </c>
      <c r="M29" s="288">
        <v>45607</v>
      </c>
      <c r="N29">
        <v>28</v>
      </c>
      <c r="O29">
        <v>2023</v>
      </c>
      <c r="P29" t="s">
        <v>468</v>
      </c>
      <c r="Q29">
        <v>15</v>
      </c>
      <c r="R29" t="s">
        <v>484</v>
      </c>
      <c r="S29" t="s">
        <v>445</v>
      </c>
      <c r="T29">
        <v>0</v>
      </c>
      <c r="U29">
        <v>1</v>
      </c>
      <c r="W29" t="s">
        <v>523</v>
      </c>
      <c r="X29" t="s">
        <v>414</v>
      </c>
      <c r="Y29" t="s">
        <v>503</v>
      </c>
      <c r="Z29" t="s">
        <v>416</v>
      </c>
      <c r="AA29" t="s">
        <v>449</v>
      </c>
      <c r="AC29" t="s">
        <v>450</v>
      </c>
      <c r="AD29" t="s">
        <v>419</v>
      </c>
      <c r="AE29" t="s">
        <v>420</v>
      </c>
      <c r="AG29" t="s">
        <v>421</v>
      </c>
      <c r="AH29" t="s">
        <v>451</v>
      </c>
      <c r="AI29" t="s">
        <v>430</v>
      </c>
      <c r="AJ29" t="s">
        <v>462</v>
      </c>
      <c r="AK29" t="s">
        <v>466</v>
      </c>
      <c r="AL29" t="s">
        <v>453</v>
      </c>
      <c r="AM29">
        <v>34</v>
      </c>
      <c r="AN29" t="s">
        <v>434</v>
      </c>
      <c r="AO29" t="s">
        <v>435</v>
      </c>
      <c r="AP29" t="s">
        <v>464</v>
      </c>
      <c r="AQ29" t="s">
        <v>553</v>
      </c>
      <c r="AT29" t="s">
        <v>426</v>
      </c>
      <c r="AU29" t="s">
        <v>427</v>
      </c>
      <c r="AV29">
        <v>55</v>
      </c>
      <c r="AW29" t="s">
        <v>551</v>
      </c>
      <c r="AX29" t="s">
        <v>482</v>
      </c>
      <c r="CU29">
        <v>515273.87079999998</v>
      </c>
      <c r="CV29">
        <v>4952713.7189999996</v>
      </c>
      <c r="CW29">
        <v>44.727650199999999</v>
      </c>
      <c r="CX29">
        <v>-92.80712595</v>
      </c>
      <c r="CY29" s="287">
        <v>45258.625</v>
      </c>
      <c r="CZ29" t="s">
        <v>438</v>
      </c>
      <c r="DA29" t="s">
        <v>439</v>
      </c>
      <c r="DB29" t="s">
        <v>440</v>
      </c>
      <c r="DC29" t="s">
        <v>441</v>
      </c>
      <c r="DD29" t="s">
        <v>554</v>
      </c>
    </row>
    <row r="30" spans="1:108" x14ac:dyDescent="0.25">
      <c r="A30">
        <v>702155</v>
      </c>
      <c r="B30" t="s">
        <v>405</v>
      </c>
      <c r="C30">
        <v>54</v>
      </c>
      <c r="D30">
        <v>1.1339999999999999</v>
      </c>
      <c r="E30" t="s">
        <v>406</v>
      </c>
      <c r="G30" t="s">
        <v>407</v>
      </c>
      <c r="H30" t="s">
        <v>408</v>
      </c>
      <c r="I30" t="s">
        <v>409</v>
      </c>
      <c r="K30">
        <v>19000522</v>
      </c>
      <c r="L30">
        <v>190970049</v>
      </c>
      <c r="M30" s="288">
        <v>45386</v>
      </c>
      <c r="N30">
        <v>7</v>
      </c>
      <c r="O30">
        <v>2019</v>
      </c>
      <c r="P30" t="s">
        <v>410</v>
      </c>
      <c r="Q30">
        <v>14</v>
      </c>
      <c r="S30" t="s">
        <v>411</v>
      </c>
      <c r="T30">
        <v>0</v>
      </c>
      <c r="U30">
        <v>1</v>
      </c>
      <c r="W30" t="s">
        <v>446</v>
      </c>
      <c r="X30" t="s">
        <v>414</v>
      </c>
      <c r="Y30" t="s">
        <v>503</v>
      </c>
      <c r="Z30" t="s">
        <v>416</v>
      </c>
      <c r="AA30" t="s">
        <v>504</v>
      </c>
      <c r="AC30" t="s">
        <v>450</v>
      </c>
      <c r="AD30" t="s">
        <v>419</v>
      </c>
      <c r="AE30" t="s">
        <v>420</v>
      </c>
      <c r="AG30" t="s">
        <v>421</v>
      </c>
      <c r="AH30" t="s">
        <v>451</v>
      </c>
      <c r="AI30" t="s">
        <v>430</v>
      </c>
      <c r="AJ30" t="s">
        <v>431</v>
      </c>
      <c r="AK30" t="s">
        <v>424</v>
      </c>
      <c r="AL30" t="s">
        <v>453</v>
      </c>
      <c r="AM30">
        <v>31</v>
      </c>
      <c r="AN30" t="s">
        <v>454</v>
      </c>
      <c r="AO30" t="s">
        <v>435</v>
      </c>
      <c r="AP30" t="s">
        <v>436</v>
      </c>
      <c r="AT30" t="s">
        <v>426</v>
      </c>
      <c r="AU30" t="s">
        <v>427</v>
      </c>
      <c r="AV30">
        <v>55</v>
      </c>
      <c r="AW30" t="s">
        <v>551</v>
      </c>
      <c r="AX30" t="s">
        <v>429</v>
      </c>
      <c r="CU30">
        <v>515277.77830000001</v>
      </c>
      <c r="CV30">
        <v>4952713.7089</v>
      </c>
      <c r="CW30">
        <v>44.72765003</v>
      </c>
      <c r="CX30">
        <v>-92.807076609999996</v>
      </c>
      <c r="CY30" s="287">
        <v>43562.604166666664</v>
      </c>
      <c r="CZ30" t="s">
        <v>438</v>
      </c>
      <c r="DA30" t="s">
        <v>439</v>
      </c>
      <c r="DB30" t="s">
        <v>440</v>
      </c>
      <c r="DC30" t="s">
        <v>441</v>
      </c>
      <c r="DD30" t="s">
        <v>555</v>
      </c>
    </row>
    <row r="31" spans="1:108" x14ac:dyDescent="0.25">
      <c r="A31">
        <v>973633</v>
      </c>
      <c r="B31" t="s">
        <v>405</v>
      </c>
      <c r="C31">
        <v>54</v>
      </c>
      <c r="D31">
        <v>1.1359999999999999</v>
      </c>
      <c r="E31" t="s">
        <v>406</v>
      </c>
      <c r="G31" t="s">
        <v>407</v>
      </c>
      <c r="H31" t="s">
        <v>408</v>
      </c>
      <c r="I31" t="s">
        <v>409</v>
      </c>
      <c r="K31">
        <v>21001458</v>
      </c>
      <c r="L31">
        <v>213180112</v>
      </c>
      <c r="M31" s="288">
        <v>45607</v>
      </c>
      <c r="N31">
        <v>14</v>
      </c>
      <c r="O31">
        <v>2021</v>
      </c>
      <c r="P31" t="s">
        <v>410</v>
      </c>
      <c r="Q31">
        <v>23</v>
      </c>
      <c r="S31" t="s">
        <v>411</v>
      </c>
      <c r="T31">
        <v>0</v>
      </c>
      <c r="U31">
        <v>1</v>
      </c>
      <c r="W31" t="s">
        <v>518</v>
      </c>
      <c r="X31" t="s">
        <v>414</v>
      </c>
      <c r="Y31" t="s">
        <v>503</v>
      </c>
      <c r="Z31" t="s">
        <v>519</v>
      </c>
      <c r="AA31" t="s">
        <v>449</v>
      </c>
      <c r="AC31" t="s">
        <v>450</v>
      </c>
      <c r="AD31" t="s">
        <v>419</v>
      </c>
      <c r="AE31" t="s">
        <v>420</v>
      </c>
      <c r="AF31" t="s">
        <v>556</v>
      </c>
      <c r="AG31" t="s">
        <v>421</v>
      </c>
      <c r="AH31" t="s">
        <v>480</v>
      </c>
      <c r="AI31" t="s">
        <v>430</v>
      </c>
      <c r="AJ31" t="s">
        <v>431</v>
      </c>
      <c r="AK31" t="s">
        <v>466</v>
      </c>
      <c r="AL31" t="s">
        <v>453</v>
      </c>
      <c r="AM31">
        <v>41</v>
      </c>
      <c r="AN31" t="s">
        <v>434</v>
      </c>
      <c r="AO31" t="s">
        <v>435</v>
      </c>
      <c r="AP31" t="s">
        <v>436</v>
      </c>
      <c r="AT31" t="s">
        <v>426</v>
      </c>
      <c r="AU31" t="s">
        <v>427</v>
      </c>
      <c r="AV31">
        <v>55</v>
      </c>
      <c r="AW31" t="s">
        <v>428</v>
      </c>
      <c r="AX31" t="s">
        <v>482</v>
      </c>
      <c r="CU31">
        <v>515280.97659999999</v>
      </c>
      <c r="CV31">
        <v>4952713.7006999999</v>
      </c>
      <c r="CW31">
        <v>44.727649880000001</v>
      </c>
      <c r="CX31">
        <v>-92.807036220000001</v>
      </c>
      <c r="CY31" s="287">
        <v>44514.977083333331</v>
      </c>
      <c r="CZ31" t="s">
        <v>438</v>
      </c>
      <c r="DA31" t="s">
        <v>439</v>
      </c>
      <c r="DB31" t="s">
        <v>440</v>
      </c>
      <c r="DC31" t="s">
        <v>441</v>
      </c>
      <c r="DD31" t="s">
        <v>557</v>
      </c>
    </row>
    <row r="32" spans="1:108" x14ac:dyDescent="0.25">
      <c r="A32">
        <v>753792</v>
      </c>
      <c r="B32" t="s">
        <v>405</v>
      </c>
      <c r="C32">
        <v>54</v>
      </c>
      <c r="D32">
        <v>1.1419999999999999</v>
      </c>
      <c r="E32" t="s">
        <v>406</v>
      </c>
      <c r="G32" t="s">
        <v>407</v>
      </c>
      <c r="H32" t="s">
        <v>408</v>
      </c>
      <c r="I32" t="s">
        <v>409</v>
      </c>
      <c r="K32">
        <v>19001481</v>
      </c>
      <c r="L32">
        <v>192830250</v>
      </c>
      <c r="M32" s="288">
        <v>45575</v>
      </c>
      <c r="N32">
        <v>10</v>
      </c>
      <c r="O32">
        <v>2019</v>
      </c>
      <c r="P32" t="s">
        <v>443</v>
      </c>
      <c r="Q32">
        <v>14</v>
      </c>
      <c r="R32" t="s">
        <v>444</v>
      </c>
      <c r="S32" t="s">
        <v>497</v>
      </c>
      <c r="T32">
        <v>0</v>
      </c>
      <c r="U32">
        <v>1</v>
      </c>
      <c r="W32" t="s">
        <v>446</v>
      </c>
      <c r="X32" t="s">
        <v>447</v>
      </c>
      <c r="Y32" t="s">
        <v>503</v>
      </c>
      <c r="Z32" t="s">
        <v>416</v>
      </c>
      <c r="AA32" t="s">
        <v>504</v>
      </c>
      <c r="AC32" t="s">
        <v>418</v>
      </c>
      <c r="AD32" t="s">
        <v>419</v>
      </c>
      <c r="AE32" t="s">
        <v>420</v>
      </c>
      <c r="AG32" t="s">
        <v>421</v>
      </c>
      <c r="AH32" t="s">
        <v>451</v>
      </c>
      <c r="AI32" t="s">
        <v>430</v>
      </c>
      <c r="AJ32" t="s">
        <v>488</v>
      </c>
      <c r="AK32" t="s">
        <v>432</v>
      </c>
      <c r="AL32" t="s">
        <v>453</v>
      </c>
      <c r="AM32">
        <v>61</v>
      </c>
      <c r="AN32" t="s">
        <v>434</v>
      </c>
      <c r="AO32" t="s">
        <v>435</v>
      </c>
      <c r="AP32" t="s">
        <v>464</v>
      </c>
      <c r="AT32" t="s">
        <v>426</v>
      </c>
      <c r="AU32" t="s">
        <v>427</v>
      </c>
      <c r="AV32">
        <v>55</v>
      </c>
      <c r="AW32" t="s">
        <v>428</v>
      </c>
      <c r="AX32" t="s">
        <v>429</v>
      </c>
      <c r="CU32">
        <v>515289.71480000002</v>
      </c>
      <c r="CV32">
        <v>4952713.6782999998</v>
      </c>
      <c r="CW32">
        <v>44.727649499999998</v>
      </c>
      <c r="CX32">
        <v>-92.806925879999994</v>
      </c>
      <c r="CY32" s="287">
        <v>43748.611111111109</v>
      </c>
      <c r="CZ32" t="s">
        <v>438</v>
      </c>
      <c r="DA32" t="s">
        <v>439</v>
      </c>
      <c r="DB32" t="s">
        <v>440</v>
      </c>
      <c r="DC32" t="s">
        <v>441</v>
      </c>
      <c r="DD32" t="s">
        <v>558</v>
      </c>
    </row>
    <row r="33" spans="1:108" x14ac:dyDescent="0.25">
      <c r="A33">
        <v>1090345</v>
      </c>
      <c r="B33" t="s">
        <v>405</v>
      </c>
      <c r="C33">
        <v>54</v>
      </c>
      <c r="D33">
        <v>1.1659999999999999</v>
      </c>
      <c r="E33" t="s">
        <v>406</v>
      </c>
      <c r="G33" t="s">
        <v>407</v>
      </c>
      <c r="H33" t="s">
        <v>408</v>
      </c>
      <c r="I33" t="s">
        <v>409</v>
      </c>
      <c r="K33">
        <v>23000377</v>
      </c>
      <c r="L33">
        <v>230870036</v>
      </c>
      <c r="M33" s="288">
        <v>45354</v>
      </c>
      <c r="N33">
        <v>28</v>
      </c>
      <c r="O33">
        <v>2023</v>
      </c>
      <c r="P33" t="s">
        <v>468</v>
      </c>
      <c r="Q33">
        <v>9</v>
      </c>
      <c r="S33" t="s">
        <v>497</v>
      </c>
      <c r="T33">
        <v>0</v>
      </c>
      <c r="U33">
        <v>1</v>
      </c>
      <c r="W33" t="s">
        <v>523</v>
      </c>
      <c r="X33" t="s">
        <v>414</v>
      </c>
      <c r="Y33" t="s">
        <v>503</v>
      </c>
      <c r="Z33" t="s">
        <v>416</v>
      </c>
      <c r="AA33" t="s">
        <v>449</v>
      </c>
      <c r="AC33" t="s">
        <v>450</v>
      </c>
      <c r="AD33" t="s">
        <v>419</v>
      </c>
      <c r="AE33" t="s">
        <v>420</v>
      </c>
      <c r="AG33" t="s">
        <v>421</v>
      </c>
      <c r="AH33" t="s">
        <v>451</v>
      </c>
      <c r="AI33" t="s">
        <v>430</v>
      </c>
      <c r="AJ33" t="s">
        <v>431</v>
      </c>
      <c r="AK33" t="s">
        <v>424</v>
      </c>
      <c r="AL33" t="s">
        <v>453</v>
      </c>
      <c r="AM33">
        <v>30</v>
      </c>
      <c r="AN33" t="s">
        <v>434</v>
      </c>
      <c r="AO33" t="s">
        <v>435</v>
      </c>
      <c r="AP33" t="s">
        <v>559</v>
      </c>
      <c r="AT33" t="s">
        <v>426</v>
      </c>
      <c r="AU33" t="s">
        <v>427</v>
      </c>
      <c r="AV33">
        <v>55</v>
      </c>
      <c r="AW33" t="s">
        <v>551</v>
      </c>
      <c r="AX33" t="s">
        <v>482</v>
      </c>
      <c r="CU33">
        <v>515328.34019999998</v>
      </c>
      <c r="CV33">
        <v>4952713.5793000003</v>
      </c>
      <c r="CW33">
        <v>44.727647779999998</v>
      </c>
      <c r="CX33">
        <v>-92.806438110000002</v>
      </c>
      <c r="CY33" s="287">
        <v>45013.378472222219</v>
      </c>
      <c r="CZ33" t="s">
        <v>438</v>
      </c>
      <c r="DA33" t="s">
        <v>439</v>
      </c>
      <c r="DB33" t="s">
        <v>440</v>
      </c>
      <c r="DC33" t="s">
        <v>441</v>
      </c>
      <c r="DD33" t="s">
        <v>560</v>
      </c>
    </row>
    <row r="34" spans="1:108" x14ac:dyDescent="0.25">
      <c r="A34">
        <v>1093990</v>
      </c>
      <c r="B34" t="s">
        <v>405</v>
      </c>
      <c r="C34">
        <v>54</v>
      </c>
      <c r="D34">
        <v>1.169</v>
      </c>
      <c r="E34" t="s">
        <v>406</v>
      </c>
      <c r="G34" t="s">
        <v>407</v>
      </c>
      <c r="H34" t="s">
        <v>408</v>
      </c>
      <c r="I34" t="s">
        <v>409</v>
      </c>
      <c r="K34">
        <v>23000471</v>
      </c>
      <c r="L34">
        <v>231060193</v>
      </c>
      <c r="M34" s="288">
        <v>45386</v>
      </c>
      <c r="N34">
        <v>16</v>
      </c>
      <c r="O34">
        <v>2023</v>
      </c>
      <c r="P34" t="s">
        <v>410</v>
      </c>
      <c r="Q34">
        <v>21</v>
      </c>
      <c r="S34" t="s">
        <v>411</v>
      </c>
      <c r="T34">
        <v>0</v>
      </c>
      <c r="U34">
        <v>1</v>
      </c>
      <c r="W34" t="s">
        <v>550</v>
      </c>
      <c r="X34" t="s">
        <v>470</v>
      </c>
      <c r="Y34" t="s">
        <v>529</v>
      </c>
      <c r="Z34" t="s">
        <v>519</v>
      </c>
      <c r="AA34" t="s">
        <v>561</v>
      </c>
      <c r="AB34" t="s">
        <v>562</v>
      </c>
      <c r="AC34" t="s">
        <v>418</v>
      </c>
      <c r="AD34" t="s">
        <v>419</v>
      </c>
      <c r="AE34" t="s">
        <v>420</v>
      </c>
      <c r="AG34" t="s">
        <v>421</v>
      </c>
      <c r="AH34" t="s">
        <v>451</v>
      </c>
      <c r="AI34" t="s">
        <v>430</v>
      </c>
      <c r="AJ34" t="s">
        <v>462</v>
      </c>
      <c r="AK34" t="s">
        <v>424</v>
      </c>
      <c r="AL34" t="s">
        <v>453</v>
      </c>
      <c r="AM34">
        <v>50</v>
      </c>
      <c r="AN34" t="s">
        <v>454</v>
      </c>
      <c r="AO34" t="s">
        <v>515</v>
      </c>
      <c r="AP34" t="s">
        <v>473</v>
      </c>
      <c r="AT34" t="s">
        <v>426</v>
      </c>
      <c r="AU34" t="s">
        <v>427</v>
      </c>
      <c r="AW34" t="s">
        <v>551</v>
      </c>
      <c r="AX34" t="s">
        <v>482</v>
      </c>
      <c r="CU34">
        <v>515333.0955</v>
      </c>
      <c r="CV34">
        <v>4952713.5672000004</v>
      </c>
      <c r="CW34">
        <v>44.727647570000002</v>
      </c>
      <c r="CX34">
        <v>-92.80637806</v>
      </c>
      <c r="CY34" s="287">
        <v>45032.877083333333</v>
      </c>
      <c r="CZ34" t="s">
        <v>438</v>
      </c>
      <c r="DA34" t="s">
        <v>439</v>
      </c>
      <c r="DB34" t="s">
        <v>440</v>
      </c>
      <c r="DC34" t="s">
        <v>441</v>
      </c>
      <c r="DD34" t="s">
        <v>563</v>
      </c>
    </row>
    <row r="35" spans="1:108" x14ac:dyDescent="0.25">
      <c r="A35">
        <v>1148465</v>
      </c>
      <c r="B35" t="s">
        <v>405</v>
      </c>
      <c r="C35">
        <v>54</v>
      </c>
      <c r="D35">
        <v>1.206</v>
      </c>
      <c r="E35" t="s">
        <v>406</v>
      </c>
      <c r="G35" t="s">
        <v>407</v>
      </c>
      <c r="H35" t="s">
        <v>408</v>
      </c>
      <c r="I35" t="s">
        <v>409</v>
      </c>
      <c r="K35">
        <v>23002038</v>
      </c>
      <c r="L35">
        <v>233420029</v>
      </c>
      <c r="M35" s="288">
        <v>45638</v>
      </c>
      <c r="N35">
        <v>8</v>
      </c>
      <c r="O35">
        <v>2023</v>
      </c>
      <c r="P35" t="s">
        <v>501</v>
      </c>
      <c r="Q35">
        <v>7</v>
      </c>
      <c r="S35" t="s">
        <v>411</v>
      </c>
      <c r="T35">
        <v>0</v>
      </c>
      <c r="U35">
        <v>1</v>
      </c>
      <c r="W35" t="s">
        <v>550</v>
      </c>
      <c r="X35" t="s">
        <v>476</v>
      </c>
      <c r="Y35" t="s">
        <v>503</v>
      </c>
      <c r="Z35" t="s">
        <v>448</v>
      </c>
      <c r="AA35" t="s">
        <v>504</v>
      </c>
      <c r="AC35" t="s">
        <v>460</v>
      </c>
      <c r="AD35" t="s">
        <v>419</v>
      </c>
      <c r="AE35" t="s">
        <v>420</v>
      </c>
      <c r="AG35" t="s">
        <v>421</v>
      </c>
      <c r="AH35" t="s">
        <v>451</v>
      </c>
      <c r="AI35" t="s">
        <v>430</v>
      </c>
      <c r="AJ35" t="s">
        <v>431</v>
      </c>
      <c r="AK35" t="s">
        <v>424</v>
      </c>
      <c r="AL35" t="s">
        <v>453</v>
      </c>
      <c r="AM35">
        <v>16</v>
      </c>
      <c r="AN35" t="s">
        <v>454</v>
      </c>
      <c r="AO35" t="s">
        <v>435</v>
      </c>
      <c r="AP35" t="s">
        <v>436</v>
      </c>
      <c r="AT35" t="s">
        <v>426</v>
      </c>
      <c r="AU35" t="s">
        <v>484</v>
      </c>
      <c r="AV35">
        <v>55</v>
      </c>
      <c r="AW35" t="s">
        <v>551</v>
      </c>
      <c r="AX35" t="s">
        <v>429</v>
      </c>
      <c r="CU35">
        <v>515392.33659999998</v>
      </c>
      <c r="CV35">
        <v>4952709.9949000003</v>
      </c>
      <c r="CW35">
        <v>44.72761414</v>
      </c>
      <c r="CX35">
        <v>-92.805630059999999</v>
      </c>
      <c r="CY35" s="287">
        <v>45268.313194444447</v>
      </c>
      <c r="CZ35" t="s">
        <v>438</v>
      </c>
      <c r="DA35" t="s">
        <v>439</v>
      </c>
      <c r="DB35" t="s">
        <v>511</v>
      </c>
      <c r="DC35" t="s">
        <v>512</v>
      </c>
      <c r="DD35" t="s">
        <v>564</v>
      </c>
    </row>
    <row r="36" spans="1:108" x14ac:dyDescent="0.25">
      <c r="A36">
        <v>1059761</v>
      </c>
      <c r="B36" t="s">
        <v>405</v>
      </c>
      <c r="C36">
        <v>54</v>
      </c>
      <c r="D36">
        <v>1.262</v>
      </c>
      <c r="E36" t="s">
        <v>406</v>
      </c>
      <c r="G36" t="s">
        <v>407</v>
      </c>
      <c r="H36" t="s">
        <v>408</v>
      </c>
      <c r="I36" t="s">
        <v>409</v>
      </c>
      <c r="K36">
        <v>22001507</v>
      </c>
      <c r="L36">
        <v>223220129</v>
      </c>
      <c r="M36" s="288">
        <v>45607</v>
      </c>
      <c r="N36">
        <v>18</v>
      </c>
      <c r="O36">
        <v>2022</v>
      </c>
      <c r="P36" t="s">
        <v>501</v>
      </c>
      <c r="Q36">
        <v>6</v>
      </c>
      <c r="S36" t="s">
        <v>411</v>
      </c>
      <c r="T36">
        <v>0</v>
      </c>
      <c r="U36">
        <v>2</v>
      </c>
      <c r="W36" t="s">
        <v>565</v>
      </c>
      <c r="X36" t="s">
        <v>414</v>
      </c>
      <c r="Y36" t="s">
        <v>503</v>
      </c>
      <c r="Z36" t="s">
        <v>519</v>
      </c>
      <c r="AA36" t="s">
        <v>472</v>
      </c>
      <c r="AC36" t="s">
        <v>460</v>
      </c>
      <c r="AD36" t="s">
        <v>419</v>
      </c>
      <c r="AE36" t="s">
        <v>420</v>
      </c>
      <c r="AG36" t="s">
        <v>421</v>
      </c>
      <c r="AH36" t="s">
        <v>529</v>
      </c>
      <c r="AI36" t="s">
        <v>430</v>
      </c>
      <c r="AJ36" t="s">
        <v>462</v>
      </c>
      <c r="AK36" t="s">
        <v>466</v>
      </c>
      <c r="AL36" t="s">
        <v>566</v>
      </c>
      <c r="AM36">
        <v>42</v>
      </c>
      <c r="AN36" t="s">
        <v>434</v>
      </c>
      <c r="AO36" t="s">
        <v>435</v>
      </c>
      <c r="AP36" t="s">
        <v>559</v>
      </c>
      <c r="AT36" t="s">
        <v>426</v>
      </c>
      <c r="AU36" t="s">
        <v>427</v>
      </c>
      <c r="AV36">
        <v>55</v>
      </c>
      <c r="AW36" t="s">
        <v>551</v>
      </c>
      <c r="AX36" t="s">
        <v>482</v>
      </c>
      <c r="AY36" t="s">
        <v>430</v>
      </c>
      <c r="AZ36" t="s">
        <v>462</v>
      </c>
      <c r="BA36" t="s">
        <v>432</v>
      </c>
      <c r="BB36" t="s">
        <v>453</v>
      </c>
      <c r="BC36">
        <v>28</v>
      </c>
      <c r="BD36" t="s">
        <v>434</v>
      </c>
      <c r="BE36" t="s">
        <v>435</v>
      </c>
      <c r="BF36" t="s">
        <v>436</v>
      </c>
      <c r="BJ36" t="s">
        <v>426</v>
      </c>
      <c r="BK36" t="s">
        <v>427</v>
      </c>
      <c r="BL36">
        <v>55</v>
      </c>
      <c r="BM36" t="s">
        <v>520</v>
      </c>
      <c r="BN36" t="s">
        <v>567</v>
      </c>
      <c r="CU36">
        <v>515481.58260000002</v>
      </c>
      <c r="CV36">
        <v>4952695.3669999996</v>
      </c>
      <c r="CW36">
        <v>44.727480530000001</v>
      </c>
      <c r="CX36">
        <v>-92.804503499999996</v>
      </c>
      <c r="CY36" s="287">
        <v>44883.25</v>
      </c>
      <c r="CZ36" t="s">
        <v>438</v>
      </c>
      <c r="DA36" t="s">
        <v>439</v>
      </c>
      <c r="DB36" t="s">
        <v>440</v>
      </c>
      <c r="DC36" t="s">
        <v>441</v>
      </c>
      <c r="DD36" t="s">
        <v>568</v>
      </c>
    </row>
    <row r="37" spans="1:108" x14ac:dyDescent="0.25">
      <c r="A37">
        <v>707634</v>
      </c>
      <c r="B37" t="s">
        <v>405</v>
      </c>
      <c r="C37">
        <v>54</v>
      </c>
      <c r="D37">
        <v>1.319</v>
      </c>
      <c r="E37" t="s">
        <v>406</v>
      </c>
      <c r="G37" t="s">
        <v>407</v>
      </c>
      <c r="H37" t="s">
        <v>408</v>
      </c>
      <c r="I37" t="s">
        <v>409</v>
      </c>
      <c r="K37">
        <v>19000638</v>
      </c>
      <c r="L37">
        <v>191230142</v>
      </c>
      <c r="M37" s="288">
        <v>45417</v>
      </c>
      <c r="N37">
        <v>3</v>
      </c>
      <c r="O37">
        <v>2019</v>
      </c>
      <c r="P37" t="s">
        <v>501</v>
      </c>
      <c r="Q37">
        <v>2</v>
      </c>
      <c r="S37" t="s">
        <v>411</v>
      </c>
      <c r="T37">
        <v>0</v>
      </c>
      <c r="U37">
        <v>2</v>
      </c>
      <c r="V37" t="s">
        <v>459</v>
      </c>
      <c r="W37" t="s">
        <v>413</v>
      </c>
      <c r="X37" t="s">
        <v>414</v>
      </c>
      <c r="Y37" t="s">
        <v>503</v>
      </c>
      <c r="Z37" t="s">
        <v>519</v>
      </c>
      <c r="AA37" t="s">
        <v>449</v>
      </c>
      <c r="AC37" t="s">
        <v>450</v>
      </c>
      <c r="AD37" t="s">
        <v>419</v>
      </c>
      <c r="AE37" t="s">
        <v>420</v>
      </c>
      <c r="AG37" t="s">
        <v>421</v>
      </c>
      <c r="AH37" t="s">
        <v>507</v>
      </c>
      <c r="AI37" t="s">
        <v>430</v>
      </c>
      <c r="AJ37" t="s">
        <v>462</v>
      </c>
      <c r="AK37" t="s">
        <v>432</v>
      </c>
      <c r="AL37" t="s">
        <v>453</v>
      </c>
      <c r="AM37">
        <v>39</v>
      </c>
      <c r="AN37" t="s">
        <v>434</v>
      </c>
      <c r="AO37" t="s">
        <v>435</v>
      </c>
      <c r="AP37" t="s">
        <v>436</v>
      </c>
      <c r="AT37" t="s">
        <v>426</v>
      </c>
      <c r="AU37" t="s">
        <v>427</v>
      </c>
      <c r="AV37">
        <v>55</v>
      </c>
      <c r="AW37" t="s">
        <v>551</v>
      </c>
      <c r="AX37" t="s">
        <v>429</v>
      </c>
      <c r="AY37" t="s">
        <v>430</v>
      </c>
      <c r="AZ37" t="s">
        <v>452</v>
      </c>
      <c r="BA37" t="s">
        <v>432</v>
      </c>
      <c r="BB37" t="s">
        <v>453</v>
      </c>
      <c r="BC37">
        <v>34</v>
      </c>
      <c r="BD37" t="s">
        <v>454</v>
      </c>
      <c r="BE37" t="s">
        <v>491</v>
      </c>
      <c r="BF37" t="s">
        <v>492</v>
      </c>
      <c r="BG37" t="s">
        <v>569</v>
      </c>
      <c r="BJ37" t="s">
        <v>426</v>
      </c>
      <c r="BK37" t="s">
        <v>427</v>
      </c>
      <c r="BL37">
        <v>55</v>
      </c>
      <c r="BM37" t="s">
        <v>551</v>
      </c>
      <c r="BN37" t="s">
        <v>429</v>
      </c>
      <c r="CU37">
        <v>515569.28210000001</v>
      </c>
      <c r="CV37">
        <v>4952670.5598999998</v>
      </c>
      <c r="CW37">
        <v>44.727255309999997</v>
      </c>
      <c r="CX37">
        <v>-92.80339678</v>
      </c>
      <c r="CY37" s="287">
        <v>43588.12222222222</v>
      </c>
      <c r="CZ37" t="s">
        <v>438</v>
      </c>
      <c r="DA37" t="s">
        <v>439</v>
      </c>
      <c r="DB37" t="s">
        <v>440</v>
      </c>
      <c r="DC37" t="s">
        <v>441</v>
      </c>
      <c r="DD37" t="s">
        <v>570</v>
      </c>
    </row>
    <row r="38" spans="1:108" x14ac:dyDescent="0.25">
      <c r="A38">
        <v>702778</v>
      </c>
      <c r="B38" t="s">
        <v>405</v>
      </c>
      <c r="C38">
        <v>54</v>
      </c>
      <c r="D38">
        <v>1.4079999999999999</v>
      </c>
      <c r="E38" t="s">
        <v>406</v>
      </c>
      <c r="G38" t="s">
        <v>407</v>
      </c>
      <c r="H38" t="s">
        <v>408</v>
      </c>
      <c r="I38" t="s">
        <v>409</v>
      </c>
      <c r="K38">
        <v>19000534</v>
      </c>
      <c r="L38">
        <v>191000120</v>
      </c>
      <c r="M38" s="288">
        <v>45386</v>
      </c>
      <c r="N38">
        <v>10</v>
      </c>
      <c r="O38">
        <v>2019</v>
      </c>
      <c r="P38" t="s">
        <v>549</v>
      </c>
      <c r="Q38">
        <v>14</v>
      </c>
      <c r="R38" t="s">
        <v>541</v>
      </c>
      <c r="S38" t="s">
        <v>411</v>
      </c>
      <c r="T38">
        <v>0</v>
      </c>
      <c r="U38">
        <v>1</v>
      </c>
      <c r="W38" t="s">
        <v>571</v>
      </c>
      <c r="X38" t="s">
        <v>476</v>
      </c>
      <c r="Y38" t="s">
        <v>503</v>
      </c>
      <c r="Z38" t="s">
        <v>416</v>
      </c>
      <c r="AA38" t="s">
        <v>472</v>
      </c>
      <c r="AB38" t="s">
        <v>562</v>
      </c>
      <c r="AC38" t="s">
        <v>572</v>
      </c>
      <c r="AD38" t="s">
        <v>419</v>
      </c>
      <c r="AE38" t="s">
        <v>420</v>
      </c>
      <c r="AG38" t="s">
        <v>421</v>
      </c>
      <c r="AH38" t="s">
        <v>451</v>
      </c>
      <c r="AI38" t="s">
        <v>430</v>
      </c>
      <c r="AJ38" t="s">
        <v>462</v>
      </c>
      <c r="AK38" t="s">
        <v>508</v>
      </c>
      <c r="AL38" t="s">
        <v>453</v>
      </c>
      <c r="AM38">
        <v>18</v>
      </c>
      <c r="AN38" t="s">
        <v>434</v>
      </c>
      <c r="AO38" t="s">
        <v>435</v>
      </c>
      <c r="AP38" t="s">
        <v>436</v>
      </c>
      <c r="AT38" t="s">
        <v>426</v>
      </c>
      <c r="AU38" t="s">
        <v>427</v>
      </c>
      <c r="AV38">
        <v>55</v>
      </c>
      <c r="AW38" t="s">
        <v>428</v>
      </c>
      <c r="AX38" t="s">
        <v>429</v>
      </c>
      <c r="CU38">
        <v>515707.18930000003</v>
      </c>
      <c r="CV38">
        <v>4952628.0376000004</v>
      </c>
      <c r="CW38">
        <v>44.726869499999999</v>
      </c>
      <c r="CX38">
        <v>-92.801656589999993</v>
      </c>
      <c r="CY38" s="287">
        <v>43565.614583333336</v>
      </c>
      <c r="CZ38" t="s">
        <v>438</v>
      </c>
      <c r="DA38" t="s">
        <v>439</v>
      </c>
      <c r="DB38" t="s">
        <v>440</v>
      </c>
      <c r="DC38" t="s">
        <v>441</v>
      </c>
      <c r="DD38" t="s">
        <v>573</v>
      </c>
    </row>
    <row r="39" spans="1:108" x14ac:dyDescent="0.25">
      <c r="A39">
        <v>900047</v>
      </c>
      <c r="B39" t="s">
        <v>405</v>
      </c>
      <c r="C39">
        <v>54</v>
      </c>
      <c r="D39">
        <v>1.514</v>
      </c>
      <c r="E39" t="s">
        <v>406</v>
      </c>
      <c r="G39" t="s">
        <v>407</v>
      </c>
      <c r="H39" t="s">
        <v>408</v>
      </c>
      <c r="I39" t="s">
        <v>409</v>
      </c>
      <c r="K39">
        <v>21000450</v>
      </c>
      <c r="L39">
        <v>211000014</v>
      </c>
      <c r="M39" s="288">
        <v>45386</v>
      </c>
      <c r="N39">
        <v>10</v>
      </c>
      <c r="O39">
        <v>2021</v>
      </c>
      <c r="P39" t="s">
        <v>458</v>
      </c>
      <c r="Q39">
        <v>8</v>
      </c>
      <c r="R39" t="s">
        <v>496</v>
      </c>
      <c r="S39" t="s">
        <v>411</v>
      </c>
      <c r="T39">
        <v>0</v>
      </c>
      <c r="U39">
        <v>1</v>
      </c>
      <c r="W39" t="s">
        <v>550</v>
      </c>
      <c r="X39" t="s">
        <v>470</v>
      </c>
      <c r="Y39" t="s">
        <v>503</v>
      </c>
      <c r="Z39" t="s">
        <v>515</v>
      </c>
      <c r="AA39" t="s">
        <v>515</v>
      </c>
      <c r="AC39" t="s">
        <v>515</v>
      </c>
      <c r="AD39" t="s">
        <v>419</v>
      </c>
      <c r="AE39" t="s">
        <v>420</v>
      </c>
      <c r="AG39" t="s">
        <v>421</v>
      </c>
      <c r="AH39" t="s">
        <v>451</v>
      </c>
      <c r="AI39" t="s">
        <v>423</v>
      </c>
      <c r="AJ39" t="s">
        <v>462</v>
      </c>
      <c r="AK39" t="s">
        <v>424</v>
      </c>
      <c r="AL39" t="s">
        <v>453</v>
      </c>
      <c r="AT39" t="s">
        <v>426</v>
      </c>
      <c r="AU39" t="s">
        <v>427</v>
      </c>
      <c r="AV39">
        <v>55</v>
      </c>
      <c r="AW39" t="s">
        <v>551</v>
      </c>
      <c r="AX39" t="s">
        <v>429</v>
      </c>
      <c r="CU39">
        <v>515863.73200000002</v>
      </c>
      <c r="CV39">
        <v>4952563.3244000003</v>
      </c>
      <c r="CW39">
        <v>44.726283479999999</v>
      </c>
      <c r="CX39">
        <v>-92.79968178</v>
      </c>
      <c r="CY39" s="287">
        <v>44296.34375</v>
      </c>
      <c r="CZ39" t="s">
        <v>438</v>
      </c>
      <c r="DA39" t="s">
        <v>439</v>
      </c>
      <c r="DB39" t="s">
        <v>440</v>
      </c>
      <c r="DC39" t="s">
        <v>441</v>
      </c>
      <c r="DD39" t="s">
        <v>574</v>
      </c>
    </row>
    <row r="40" spans="1:108" x14ac:dyDescent="0.25">
      <c r="A40">
        <v>848530</v>
      </c>
      <c r="B40" t="s">
        <v>405</v>
      </c>
      <c r="C40">
        <v>54</v>
      </c>
      <c r="D40">
        <v>1.544</v>
      </c>
      <c r="E40" t="s">
        <v>406</v>
      </c>
      <c r="G40" t="s">
        <v>407</v>
      </c>
      <c r="H40" t="s">
        <v>408</v>
      </c>
      <c r="I40" t="s">
        <v>409</v>
      </c>
      <c r="K40">
        <v>20001347</v>
      </c>
      <c r="L40">
        <v>202960083</v>
      </c>
      <c r="M40" s="288">
        <v>45575</v>
      </c>
      <c r="N40">
        <v>22</v>
      </c>
      <c r="O40">
        <v>2020</v>
      </c>
      <c r="P40" t="s">
        <v>443</v>
      </c>
      <c r="Q40">
        <v>8</v>
      </c>
      <c r="R40" t="s">
        <v>541</v>
      </c>
      <c r="S40" t="s">
        <v>411</v>
      </c>
      <c r="T40">
        <v>0</v>
      </c>
      <c r="U40">
        <v>1</v>
      </c>
      <c r="W40" t="s">
        <v>518</v>
      </c>
      <c r="X40" t="s">
        <v>414</v>
      </c>
      <c r="Y40" t="s">
        <v>503</v>
      </c>
      <c r="Z40" t="s">
        <v>416</v>
      </c>
      <c r="AA40" t="s">
        <v>561</v>
      </c>
      <c r="AC40" t="s">
        <v>418</v>
      </c>
      <c r="AD40" t="s">
        <v>419</v>
      </c>
      <c r="AE40" t="s">
        <v>420</v>
      </c>
      <c r="AG40" t="s">
        <v>421</v>
      </c>
      <c r="AH40" t="s">
        <v>480</v>
      </c>
      <c r="AI40" t="s">
        <v>430</v>
      </c>
      <c r="AJ40" t="s">
        <v>431</v>
      </c>
      <c r="AK40" t="s">
        <v>508</v>
      </c>
      <c r="AL40" t="s">
        <v>453</v>
      </c>
      <c r="AM40">
        <v>64</v>
      </c>
      <c r="AN40" t="s">
        <v>434</v>
      </c>
      <c r="AO40" t="s">
        <v>435</v>
      </c>
      <c r="AP40" t="s">
        <v>436</v>
      </c>
      <c r="AT40" t="s">
        <v>426</v>
      </c>
      <c r="AU40" t="s">
        <v>427</v>
      </c>
      <c r="AV40">
        <v>55</v>
      </c>
      <c r="AW40" t="s">
        <v>428</v>
      </c>
      <c r="AX40" t="s">
        <v>429</v>
      </c>
      <c r="CU40">
        <v>515907.83909999998</v>
      </c>
      <c r="CV40">
        <v>4952542.1171000004</v>
      </c>
      <c r="CW40">
        <v>44.726091590000003</v>
      </c>
      <c r="CX40">
        <v>-92.799125459999999</v>
      </c>
      <c r="CY40" s="287">
        <v>44126.350694444445</v>
      </c>
      <c r="CZ40" t="s">
        <v>438</v>
      </c>
      <c r="DA40" t="s">
        <v>439</v>
      </c>
      <c r="DB40" t="s">
        <v>440</v>
      </c>
      <c r="DC40" t="s">
        <v>441</v>
      </c>
      <c r="DD40" t="s">
        <v>575</v>
      </c>
    </row>
    <row r="41" spans="1:108" x14ac:dyDescent="0.25">
      <c r="A41">
        <v>819825</v>
      </c>
      <c r="B41" t="s">
        <v>405</v>
      </c>
      <c r="C41">
        <v>54</v>
      </c>
      <c r="D41">
        <v>1.5529999999999999</v>
      </c>
      <c r="E41" t="s">
        <v>406</v>
      </c>
      <c r="G41" t="s">
        <v>407</v>
      </c>
      <c r="H41" t="s">
        <v>408</v>
      </c>
      <c r="I41" t="s">
        <v>409</v>
      </c>
      <c r="K41">
        <v>20000906</v>
      </c>
      <c r="L41">
        <v>201970097</v>
      </c>
      <c r="M41" s="288">
        <v>45480</v>
      </c>
      <c r="N41">
        <v>15</v>
      </c>
      <c r="O41">
        <v>2020</v>
      </c>
      <c r="P41" t="s">
        <v>549</v>
      </c>
      <c r="Q41">
        <v>16</v>
      </c>
      <c r="R41" t="s">
        <v>576</v>
      </c>
      <c r="S41" t="s">
        <v>497</v>
      </c>
      <c r="T41">
        <v>0</v>
      </c>
      <c r="U41">
        <v>1</v>
      </c>
      <c r="W41" t="s">
        <v>550</v>
      </c>
      <c r="X41" t="s">
        <v>414</v>
      </c>
      <c r="Y41" t="s">
        <v>503</v>
      </c>
      <c r="Z41" t="s">
        <v>416</v>
      </c>
      <c r="AA41" t="s">
        <v>449</v>
      </c>
      <c r="AC41" t="s">
        <v>450</v>
      </c>
      <c r="AD41" t="s">
        <v>419</v>
      </c>
      <c r="AE41" t="s">
        <v>420</v>
      </c>
      <c r="AG41" t="s">
        <v>421</v>
      </c>
      <c r="AH41" t="s">
        <v>451</v>
      </c>
      <c r="AI41" t="s">
        <v>430</v>
      </c>
      <c r="AJ41" t="s">
        <v>462</v>
      </c>
      <c r="AK41" t="s">
        <v>466</v>
      </c>
      <c r="AL41" t="s">
        <v>453</v>
      </c>
      <c r="AM41">
        <v>43</v>
      </c>
      <c r="AN41" t="s">
        <v>454</v>
      </c>
      <c r="AO41" t="s">
        <v>577</v>
      </c>
      <c r="AP41" t="s">
        <v>473</v>
      </c>
      <c r="AT41" t="s">
        <v>426</v>
      </c>
      <c r="AU41" t="s">
        <v>427</v>
      </c>
      <c r="AV41">
        <v>55</v>
      </c>
      <c r="AW41" t="s">
        <v>428</v>
      </c>
      <c r="AX41" t="s">
        <v>429</v>
      </c>
      <c r="CU41">
        <v>515920.3958</v>
      </c>
      <c r="CV41">
        <v>4952535.9881999996</v>
      </c>
      <c r="CW41">
        <v>44.726036129999997</v>
      </c>
      <c r="CX41">
        <v>-92.798967090000005</v>
      </c>
      <c r="CY41" s="287">
        <v>44027.669444444444</v>
      </c>
      <c r="CZ41" t="s">
        <v>438</v>
      </c>
      <c r="DA41" t="s">
        <v>439</v>
      </c>
      <c r="DB41" t="s">
        <v>440</v>
      </c>
      <c r="DC41" t="s">
        <v>441</v>
      </c>
      <c r="DD41" t="s">
        <v>578</v>
      </c>
    </row>
    <row r="42" spans="1:108" x14ac:dyDescent="0.25">
      <c r="A42">
        <v>754036</v>
      </c>
      <c r="B42" t="s">
        <v>405</v>
      </c>
      <c r="C42">
        <v>54</v>
      </c>
      <c r="D42">
        <v>1.554</v>
      </c>
      <c r="E42" t="s">
        <v>406</v>
      </c>
      <c r="G42" t="s">
        <v>407</v>
      </c>
      <c r="H42" t="s">
        <v>408</v>
      </c>
      <c r="I42" t="s">
        <v>409</v>
      </c>
      <c r="K42">
        <v>19001491</v>
      </c>
      <c r="L42">
        <v>192850034</v>
      </c>
      <c r="M42" s="288">
        <v>45575</v>
      </c>
      <c r="N42">
        <v>12</v>
      </c>
      <c r="O42">
        <v>2019</v>
      </c>
      <c r="P42" t="s">
        <v>458</v>
      </c>
      <c r="Q42">
        <v>10</v>
      </c>
      <c r="R42" t="s">
        <v>444</v>
      </c>
      <c r="S42" t="s">
        <v>411</v>
      </c>
      <c r="T42">
        <v>0</v>
      </c>
      <c r="U42">
        <v>1</v>
      </c>
      <c r="W42" t="s">
        <v>579</v>
      </c>
      <c r="X42" t="s">
        <v>414</v>
      </c>
      <c r="Y42" t="s">
        <v>503</v>
      </c>
      <c r="Z42" t="s">
        <v>416</v>
      </c>
      <c r="AA42" t="s">
        <v>504</v>
      </c>
      <c r="AC42" t="s">
        <v>450</v>
      </c>
      <c r="AD42" t="s">
        <v>419</v>
      </c>
      <c r="AE42" t="s">
        <v>420</v>
      </c>
      <c r="AG42" t="s">
        <v>421</v>
      </c>
      <c r="AH42" t="s">
        <v>451</v>
      </c>
      <c r="AI42" t="s">
        <v>430</v>
      </c>
      <c r="AJ42" t="s">
        <v>462</v>
      </c>
      <c r="AK42" t="s">
        <v>432</v>
      </c>
      <c r="AL42" t="s">
        <v>453</v>
      </c>
      <c r="AM42">
        <v>33</v>
      </c>
      <c r="AN42" t="s">
        <v>434</v>
      </c>
      <c r="AO42" t="s">
        <v>515</v>
      </c>
      <c r="AP42" t="s">
        <v>436</v>
      </c>
      <c r="AT42" t="s">
        <v>426</v>
      </c>
      <c r="AU42" t="s">
        <v>427</v>
      </c>
      <c r="AV42">
        <v>55</v>
      </c>
      <c r="AW42" t="s">
        <v>520</v>
      </c>
      <c r="AX42" t="s">
        <v>429</v>
      </c>
      <c r="CU42">
        <v>515921.5601</v>
      </c>
      <c r="CV42">
        <v>4952535.4199000001</v>
      </c>
      <c r="CW42">
        <v>44.726030989999998</v>
      </c>
      <c r="CX42">
        <v>-92.798952409999998</v>
      </c>
      <c r="CY42" s="287">
        <v>43750.4375</v>
      </c>
      <c r="CZ42" t="s">
        <v>438</v>
      </c>
      <c r="DA42" t="s">
        <v>439</v>
      </c>
      <c r="DB42" t="s">
        <v>440</v>
      </c>
      <c r="DC42" t="s">
        <v>441</v>
      </c>
      <c r="DD42" t="s">
        <v>580</v>
      </c>
    </row>
    <row r="43" spans="1:108" x14ac:dyDescent="0.25">
      <c r="A43">
        <v>779598</v>
      </c>
      <c r="B43" t="s">
        <v>405</v>
      </c>
      <c r="C43">
        <v>54</v>
      </c>
      <c r="D43">
        <v>1.829</v>
      </c>
      <c r="E43" t="s">
        <v>406</v>
      </c>
      <c r="G43" t="s">
        <v>407</v>
      </c>
      <c r="H43" t="s">
        <v>408</v>
      </c>
      <c r="I43" t="s">
        <v>409</v>
      </c>
      <c r="K43">
        <v>20000083</v>
      </c>
      <c r="L43">
        <v>200150006</v>
      </c>
      <c r="M43" s="288">
        <v>45292</v>
      </c>
      <c r="N43">
        <v>15</v>
      </c>
      <c r="O43">
        <v>2020</v>
      </c>
      <c r="P43" t="s">
        <v>549</v>
      </c>
      <c r="Q43">
        <v>3</v>
      </c>
      <c r="R43" t="s">
        <v>576</v>
      </c>
      <c r="S43" t="s">
        <v>411</v>
      </c>
      <c r="T43">
        <v>0</v>
      </c>
      <c r="U43">
        <v>1</v>
      </c>
      <c r="W43" t="s">
        <v>518</v>
      </c>
      <c r="X43" t="s">
        <v>414</v>
      </c>
      <c r="Y43" t="s">
        <v>503</v>
      </c>
      <c r="Z43" t="s">
        <v>519</v>
      </c>
      <c r="AA43" t="s">
        <v>449</v>
      </c>
      <c r="AC43" t="s">
        <v>450</v>
      </c>
      <c r="AD43" t="s">
        <v>419</v>
      </c>
      <c r="AE43" t="s">
        <v>420</v>
      </c>
      <c r="AG43" t="s">
        <v>421</v>
      </c>
      <c r="AH43" t="s">
        <v>480</v>
      </c>
      <c r="AI43" t="s">
        <v>430</v>
      </c>
      <c r="AJ43" t="s">
        <v>462</v>
      </c>
      <c r="AK43" t="s">
        <v>466</v>
      </c>
      <c r="AL43" t="s">
        <v>453</v>
      </c>
      <c r="AM43">
        <v>23</v>
      </c>
      <c r="AN43" t="s">
        <v>454</v>
      </c>
      <c r="AO43" t="s">
        <v>435</v>
      </c>
      <c r="AP43" t="s">
        <v>436</v>
      </c>
      <c r="AT43" t="s">
        <v>426</v>
      </c>
      <c r="AU43" t="s">
        <v>427</v>
      </c>
      <c r="AV43">
        <v>55</v>
      </c>
      <c r="AW43" t="s">
        <v>428</v>
      </c>
      <c r="AX43" t="s">
        <v>429</v>
      </c>
      <c r="CU43">
        <v>516306.96789999999</v>
      </c>
      <c r="CV43">
        <v>4952318.7077000001</v>
      </c>
      <c r="CW43">
        <v>44.724071410000001</v>
      </c>
      <c r="CX43">
        <v>-92.794092480000003</v>
      </c>
      <c r="CY43" s="287">
        <v>43845.131944444445</v>
      </c>
      <c r="CZ43" t="s">
        <v>438</v>
      </c>
      <c r="DA43" t="s">
        <v>439</v>
      </c>
      <c r="DB43" t="s">
        <v>440</v>
      </c>
      <c r="DC43" t="s">
        <v>441</v>
      </c>
      <c r="DD43" t="s">
        <v>581</v>
      </c>
    </row>
    <row r="44" spans="1:108" x14ac:dyDescent="0.25">
      <c r="A44">
        <v>754871</v>
      </c>
      <c r="B44" t="s">
        <v>405</v>
      </c>
      <c r="C44">
        <v>54</v>
      </c>
      <c r="D44">
        <v>1.867</v>
      </c>
      <c r="E44" t="s">
        <v>406</v>
      </c>
      <c r="G44" t="s">
        <v>407</v>
      </c>
      <c r="H44" t="s">
        <v>408</v>
      </c>
      <c r="I44" t="s">
        <v>409</v>
      </c>
      <c r="K44">
        <v>19001514</v>
      </c>
      <c r="L44">
        <v>192880209</v>
      </c>
      <c r="M44" s="288">
        <v>45575</v>
      </c>
      <c r="N44">
        <v>15</v>
      </c>
      <c r="O44">
        <v>2019</v>
      </c>
      <c r="P44" t="s">
        <v>468</v>
      </c>
      <c r="Q44">
        <v>20</v>
      </c>
      <c r="R44" t="s">
        <v>576</v>
      </c>
      <c r="S44" t="s">
        <v>411</v>
      </c>
      <c r="T44">
        <v>0</v>
      </c>
      <c r="U44">
        <v>1</v>
      </c>
      <c r="W44" t="s">
        <v>518</v>
      </c>
      <c r="X44" t="s">
        <v>414</v>
      </c>
      <c r="Y44" t="s">
        <v>503</v>
      </c>
      <c r="Z44" t="s">
        <v>519</v>
      </c>
      <c r="AA44" t="s">
        <v>449</v>
      </c>
      <c r="AC44" t="s">
        <v>450</v>
      </c>
      <c r="AD44" t="s">
        <v>419</v>
      </c>
      <c r="AE44" t="s">
        <v>420</v>
      </c>
      <c r="AG44" t="s">
        <v>421</v>
      </c>
      <c r="AH44" t="s">
        <v>480</v>
      </c>
      <c r="AI44" t="s">
        <v>430</v>
      </c>
      <c r="AJ44" t="s">
        <v>431</v>
      </c>
      <c r="AK44" t="s">
        <v>466</v>
      </c>
      <c r="AL44" t="s">
        <v>453</v>
      </c>
      <c r="AM44">
        <v>44</v>
      </c>
      <c r="AN44" t="s">
        <v>434</v>
      </c>
      <c r="AO44" t="s">
        <v>435</v>
      </c>
      <c r="AP44" t="s">
        <v>436</v>
      </c>
      <c r="AT44" t="s">
        <v>426</v>
      </c>
      <c r="AU44" t="s">
        <v>427</v>
      </c>
      <c r="AV44">
        <v>55</v>
      </c>
      <c r="AW44" t="s">
        <v>428</v>
      </c>
      <c r="AX44" t="s">
        <v>429</v>
      </c>
      <c r="CU44">
        <v>516355.34029999998</v>
      </c>
      <c r="CV44">
        <v>4952281.3941000002</v>
      </c>
      <c r="CW44">
        <v>44.723734399999998</v>
      </c>
      <c r="CX44">
        <v>-92.793482859999997</v>
      </c>
      <c r="CY44" s="287">
        <v>43753.833333333336</v>
      </c>
      <c r="CZ44" t="s">
        <v>438</v>
      </c>
      <c r="DA44" t="s">
        <v>439</v>
      </c>
      <c r="DB44" t="s">
        <v>440</v>
      </c>
      <c r="DC44" t="s">
        <v>441</v>
      </c>
      <c r="DD44" t="s">
        <v>582</v>
      </c>
    </row>
    <row r="45" spans="1:108" x14ac:dyDescent="0.25">
      <c r="A45">
        <v>696821</v>
      </c>
      <c r="B45" t="s">
        <v>405</v>
      </c>
      <c r="C45">
        <v>54</v>
      </c>
      <c r="D45">
        <v>1.8919999999999999</v>
      </c>
      <c r="E45" t="s">
        <v>406</v>
      </c>
      <c r="G45" t="s">
        <v>407</v>
      </c>
      <c r="H45" t="s">
        <v>408</v>
      </c>
      <c r="I45" t="s">
        <v>409</v>
      </c>
      <c r="K45">
        <v>19000364</v>
      </c>
      <c r="L45">
        <v>190700012</v>
      </c>
      <c r="M45" s="288">
        <v>45354</v>
      </c>
      <c r="N45">
        <v>11</v>
      </c>
      <c r="O45">
        <v>2019</v>
      </c>
      <c r="P45" t="s">
        <v>517</v>
      </c>
      <c r="Q45">
        <v>6</v>
      </c>
      <c r="R45" t="s">
        <v>444</v>
      </c>
      <c r="S45" t="s">
        <v>411</v>
      </c>
      <c r="T45">
        <v>0</v>
      </c>
      <c r="U45">
        <v>1</v>
      </c>
      <c r="W45" t="s">
        <v>518</v>
      </c>
      <c r="X45" t="s">
        <v>414</v>
      </c>
      <c r="Y45" t="s">
        <v>503</v>
      </c>
      <c r="Z45" t="s">
        <v>519</v>
      </c>
      <c r="AA45" t="s">
        <v>449</v>
      </c>
      <c r="AC45" t="s">
        <v>450</v>
      </c>
      <c r="AD45" t="s">
        <v>419</v>
      </c>
      <c r="AE45" t="s">
        <v>420</v>
      </c>
      <c r="AG45" t="s">
        <v>421</v>
      </c>
      <c r="AH45" t="s">
        <v>480</v>
      </c>
      <c r="AI45" t="s">
        <v>430</v>
      </c>
      <c r="AJ45" t="s">
        <v>462</v>
      </c>
      <c r="AK45" t="s">
        <v>432</v>
      </c>
      <c r="AL45" t="s">
        <v>453</v>
      </c>
      <c r="AM45">
        <v>37</v>
      </c>
      <c r="AN45" t="s">
        <v>434</v>
      </c>
      <c r="AO45" t="s">
        <v>435</v>
      </c>
      <c r="AP45" t="s">
        <v>436</v>
      </c>
      <c r="AT45" t="s">
        <v>426</v>
      </c>
      <c r="AU45" t="s">
        <v>427</v>
      </c>
      <c r="AV45">
        <v>55</v>
      </c>
      <c r="AW45" t="s">
        <v>428</v>
      </c>
      <c r="AX45" t="s">
        <v>429</v>
      </c>
      <c r="CU45">
        <v>516386.28049999999</v>
      </c>
      <c r="CV45">
        <v>4952257.5274</v>
      </c>
      <c r="CW45">
        <v>44.723518839999997</v>
      </c>
      <c r="CX45">
        <v>-92.793092939999994</v>
      </c>
      <c r="CY45" s="287">
        <v>43535.25</v>
      </c>
      <c r="CZ45" t="s">
        <v>438</v>
      </c>
      <c r="DA45" t="s">
        <v>439</v>
      </c>
      <c r="DB45" t="s">
        <v>440</v>
      </c>
      <c r="DC45" t="s">
        <v>441</v>
      </c>
      <c r="DD45" t="s">
        <v>583</v>
      </c>
    </row>
    <row r="46" spans="1:108" x14ac:dyDescent="0.25">
      <c r="A46">
        <v>747754</v>
      </c>
      <c r="B46" t="s">
        <v>405</v>
      </c>
      <c r="C46">
        <v>54</v>
      </c>
      <c r="D46">
        <v>1.927</v>
      </c>
      <c r="E46" t="s">
        <v>406</v>
      </c>
      <c r="G46" t="s">
        <v>407</v>
      </c>
      <c r="H46" t="s">
        <v>408</v>
      </c>
      <c r="I46" t="s">
        <v>409</v>
      </c>
      <c r="K46">
        <v>19001350</v>
      </c>
      <c r="L46">
        <v>192590081</v>
      </c>
      <c r="M46" s="288">
        <v>45544</v>
      </c>
      <c r="N46">
        <v>16</v>
      </c>
      <c r="O46">
        <v>2019</v>
      </c>
      <c r="P46" t="s">
        <v>517</v>
      </c>
      <c r="Q46">
        <v>6</v>
      </c>
      <c r="R46" t="s">
        <v>444</v>
      </c>
      <c r="S46" t="s">
        <v>497</v>
      </c>
      <c r="T46">
        <v>0</v>
      </c>
      <c r="U46">
        <v>1</v>
      </c>
      <c r="W46" t="s">
        <v>584</v>
      </c>
      <c r="X46" t="s">
        <v>414</v>
      </c>
      <c r="Y46" t="s">
        <v>503</v>
      </c>
      <c r="Z46" t="s">
        <v>519</v>
      </c>
      <c r="AA46" t="s">
        <v>449</v>
      </c>
      <c r="AC46" t="s">
        <v>450</v>
      </c>
      <c r="AD46" t="s">
        <v>419</v>
      </c>
      <c r="AE46" t="s">
        <v>420</v>
      </c>
      <c r="AG46" t="s">
        <v>421</v>
      </c>
      <c r="AH46" t="s">
        <v>480</v>
      </c>
      <c r="AI46" t="s">
        <v>430</v>
      </c>
      <c r="AJ46" t="s">
        <v>27</v>
      </c>
      <c r="AK46" t="s">
        <v>432</v>
      </c>
      <c r="AL46" t="s">
        <v>453</v>
      </c>
      <c r="AM46">
        <v>40</v>
      </c>
      <c r="AN46" t="s">
        <v>434</v>
      </c>
      <c r="AO46" t="s">
        <v>435</v>
      </c>
      <c r="AP46" t="s">
        <v>436</v>
      </c>
      <c r="AT46" t="s">
        <v>426</v>
      </c>
      <c r="AU46" t="s">
        <v>427</v>
      </c>
      <c r="AV46">
        <v>55</v>
      </c>
      <c r="AW46" t="s">
        <v>428</v>
      </c>
      <c r="AX46" t="s">
        <v>429</v>
      </c>
      <c r="CU46">
        <v>516431.71870000003</v>
      </c>
      <c r="CV46">
        <v>4952222.4771999996</v>
      </c>
      <c r="CW46">
        <v>44.723202260000001</v>
      </c>
      <c r="CX46">
        <v>-92.79252031</v>
      </c>
      <c r="CY46" s="287">
        <v>43724.25</v>
      </c>
      <c r="CZ46" t="s">
        <v>438</v>
      </c>
      <c r="DA46" t="s">
        <v>439</v>
      </c>
      <c r="DB46" t="s">
        <v>440</v>
      </c>
      <c r="DC46" t="s">
        <v>441</v>
      </c>
      <c r="DD46" t="s">
        <v>585</v>
      </c>
    </row>
    <row r="47" spans="1:108" x14ac:dyDescent="0.25">
      <c r="A47">
        <v>707671</v>
      </c>
      <c r="B47" t="s">
        <v>405</v>
      </c>
      <c r="C47">
        <v>54</v>
      </c>
      <c r="D47">
        <v>2.0739999999999998</v>
      </c>
      <c r="E47" t="s">
        <v>406</v>
      </c>
      <c r="G47" t="s">
        <v>407</v>
      </c>
      <c r="H47" t="s">
        <v>408</v>
      </c>
      <c r="I47" t="s">
        <v>409</v>
      </c>
      <c r="K47">
        <v>19000642</v>
      </c>
      <c r="L47">
        <v>191240002</v>
      </c>
      <c r="M47" s="288">
        <v>45417</v>
      </c>
      <c r="N47">
        <v>3</v>
      </c>
      <c r="O47">
        <v>2019</v>
      </c>
      <c r="P47" t="s">
        <v>501</v>
      </c>
      <c r="Q47">
        <v>22</v>
      </c>
      <c r="R47" t="s">
        <v>576</v>
      </c>
      <c r="S47" t="s">
        <v>411</v>
      </c>
      <c r="T47">
        <v>0</v>
      </c>
      <c r="U47">
        <v>2</v>
      </c>
      <c r="V47" t="s">
        <v>412</v>
      </c>
      <c r="W47" t="s">
        <v>413</v>
      </c>
      <c r="X47" t="s">
        <v>414</v>
      </c>
      <c r="Y47" t="s">
        <v>503</v>
      </c>
      <c r="Z47" t="s">
        <v>540</v>
      </c>
      <c r="AA47" t="s">
        <v>417</v>
      </c>
      <c r="AC47" t="s">
        <v>418</v>
      </c>
      <c r="AD47" t="s">
        <v>419</v>
      </c>
      <c r="AE47" t="s">
        <v>420</v>
      </c>
      <c r="AG47" t="s">
        <v>421</v>
      </c>
      <c r="AH47" t="s">
        <v>422</v>
      </c>
      <c r="AI47" t="s">
        <v>430</v>
      </c>
      <c r="AJ47" t="s">
        <v>462</v>
      </c>
      <c r="AK47" t="s">
        <v>432</v>
      </c>
      <c r="AL47" t="s">
        <v>453</v>
      </c>
      <c r="AM47">
        <v>34</v>
      </c>
      <c r="AN47" t="s">
        <v>454</v>
      </c>
      <c r="AO47" t="s">
        <v>491</v>
      </c>
      <c r="AP47" t="s">
        <v>569</v>
      </c>
      <c r="AT47" t="s">
        <v>426</v>
      </c>
      <c r="AU47" t="s">
        <v>427</v>
      </c>
      <c r="AV47">
        <v>55</v>
      </c>
      <c r="AW47" t="s">
        <v>428</v>
      </c>
      <c r="AX47" t="s">
        <v>429</v>
      </c>
      <c r="AY47" t="s">
        <v>430</v>
      </c>
      <c r="AZ47" t="s">
        <v>431</v>
      </c>
      <c r="BA47" t="s">
        <v>466</v>
      </c>
      <c r="BB47" t="s">
        <v>453</v>
      </c>
      <c r="BC47">
        <v>53</v>
      </c>
      <c r="BD47" t="s">
        <v>434</v>
      </c>
      <c r="BE47" t="s">
        <v>435</v>
      </c>
      <c r="BF47" t="s">
        <v>436</v>
      </c>
      <c r="BJ47" t="s">
        <v>426</v>
      </c>
      <c r="BK47" t="s">
        <v>427</v>
      </c>
      <c r="BL47">
        <v>55</v>
      </c>
      <c r="BM47" t="s">
        <v>428</v>
      </c>
      <c r="BN47" t="s">
        <v>429</v>
      </c>
      <c r="CU47">
        <v>516619.23200000002</v>
      </c>
      <c r="CV47">
        <v>4952077.8328999998</v>
      </c>
      <c r="CW47">
        <v>44.721895799999999</v>
      </c>
      <c r="CX47">
        <v>-92.790157249999993</v>
      </c>
      <c r="CY47" s="287">
        <v>43588.951388888891</v>
      </c>
      <c r="CZ47" t="s">
        <v>438</v>
      </c>
      <c r="DA47" t="s">
        <v>439</v>
      </c>
      <c r="DB47" t="s">
        <v>440</v>
      </c>
      <c r="DC47" t="s">
        <v>441</v>
      </c>
      <c r="DD47" t="s">
        <v>586</v>
      </c>
    </row>
    <row r="48" spans="1:108" x14ac:dyDescent="0.25">
      <c r="A48">
        <v>1132119</v>
      </c>
      <c r="B48" t="s">
        <v>405</v>
      </c>
      <c r="C48">
        <v>54</v>
      </c>
      <c r="D48">
        <v>2.133</v>
      </c>
      <c r="E48" t="s">
        <v>406</v>
      </c>
      <c r="G48" t="s">
        <v>407</v>
      </c>
      <c r="H48" t="s">
        <v>408</v>
      </c>
      <c r="I48" t="s">
        <v>409</v>
      </c>
      <c r="K48">
        <v>23001202</v>
      </c>
      <c r="L48">
        <v>232530157</v>
      </c>
      <c r="M48" s="288">
        <v>45544</v>
      </c>
      <c r="N48">
        <v>10</v>
      </c>
      <c r="O48">
        <v>2023</v>
      </c>
      <c r="P48" t="s">
        <v>410</v>
      </c>
      <c r="Q48">
        <v>19</v>
      </c>
      <c r="S48" t="s">
        <v>411</v>
      </c>
      <c r="T48">
        <v>0</v>
      </c>
      <c r="U48">
        <v>1</v>
      </c>
      <c r="W48" t="s">
        <v>518</v>
      </c>
      <c r="X48" t="s">
        <v>414</v>
      </c>
      <c r="Y48" t="s">
        <v>503</v>
      </c>
      <c r="Z48" t="s">
        <v>587</v>
      </c>
      <c r="AA48" t="s">
        <v>417</v>
      </c>
      <c r="AC48" t="s">
        <v>418</v>
      </c>
      <c r="AD48" t="s">
        <v>419</v>
      </c>
      <c r="AE48" t="s">
        <v>420</v>
      </c>
      <c r="AG48" t="s">
        <v>421</v>
      </c>
      <c r="AH48" t="s">
        <v>480</v>
      </c>
      <c r="AI48" t="s">
        <v>430</v>
      </c>
      <c r="AJ48" t="s">
        <v>431</v>
      </c>
      <c r="AK48" t="s">
        <v>432</v>
      </c>
      <c r="AL48" t="s">
        <v>453</v>
      </c>
      <c r="AM48">
        <v>27</v>
      </c>
      <c r="AN48" t="s">
        <v>434</v>
      </c>
      <c r="AO48" t="s">
        <v>435</v>
      </c>
      <c r="AP48" t="s">
        <v>436</v>
      </c>
      <c r="AT48" t="s">
        <v>426</v>
      </c>
      <c r="AU48" t="s">
        <v>427</v>
      </c>
      <c r="AV48">
        <v>55</v>
      </c>
      <c r="AW48" t="s">
        <v>428</v>
      </c>
      <c r="AX48" t="s">
        <v>429</v>
      </c>
      <c r="CU48">
        <v>516697.78570000001</v>
      </c>
      <c r="CV48">
        <v>4952025.7890999997</v>
      </c>
      <c r="CW48">
        <v>44.721425459999999</v>
      </c>
      <c r="CX48">
        <v>-92.789167070000005</v>
      </c>
      <c r="CY48" s="287">
        <v>45179.819444444445</v>
      </c>
      <c r="CZ48" t="s">
        <v>438</v>
      </c>
      <c r="DA48" t="s">
        <v>439</v>
      </c>
      <c r="DB48" t="s">
        <v>440</v>
      </c>
      <c r="DC48" t="s">
        <v>441</v>
      </c>
      <c r="DD48" t="s">
        <v>588</v>
      </c>
    </row>
    <row r="49" spans="1:108" x14ac:dyDescent="0.25">
      <c r="A49">
        <v>777157</v>
      </c>
      <c r="B49" t="s">
        <v>405</v>
      </c>
      <c r="C49">
        <v>54</v>
      </c>
      <c r="D49">
        <v>2.1619999999999999</v>
      </c>
      <c r="E49" t="s">
        <v>406</v>
      </c>
      <c r="G49" t="s">
        <v>407</v>
      </c>
      <c r="H49" t="s">
        <v>408</v>
      </c>
      <c r="I49" t="s">
        <v>409</v>
      </c>
      <c r="K49">
        <v>20000028</v>
      </c>
      <c r="L49">
        <v>200050014</v>
      </c>
      <c r="M49" s="288">
        <v>45292</v>
      </c>
      <c r="N49">
        <v>5</v>
      </c>
      <c r="O49">
        <v>2020</v>
      </c>
      <c r="P49" t="s">
        <v>410</v>
      </c>
      <c r="Q49">
        <v>6</v>
      </c>
      <c r="R49" t="s">
        <v>444</v>
      </c>
      <c r="S49" t="s">
        <v>411</v>
      </c>
      <c r="T49">
        <v>0</v>
      </c>
      <c r="U49">
        <v>1</v>
      </c>
      <c r="W49" t="s">
        <v>518</v>
      </c>
      <c r="X49" t="s">
        <v>414</v>
      </c>
      <c r="Y49" t="s">
        <v>503</v>
      </c>
      <c r="Z49" t="s">
        <v>519</v>
      </c>
      <c r="AA49" t="s">
        <v>449</v>
      </c>
      <c r="AC49" t="s">
        <v>450</v>
      </c>
      <c r="AD49" t="s">
        <v>419</v>
      </c>
      <c r="AE49" t="s">
        <v>420</v>
      </c>
      <c r="AG49" t="s">
        <v>421</v>
      </c>
      <c r="AH49" t="s">
        <v>480</v>
      </c>
      <c r="AI49" t="s">
        <v>430</v>
      </c>
      <c r="AJ49" t="s">
        <v>462</v>
      </c>
      <c r="AK49" t="s">
        <v>432</v>
      </c>
      <c r="AL49" t="s">
        <v>453</v>
      </c>
      <c r="AM49">
        <v>58</v>
      </c>
      <c r="AN49" t="s">
        <v>434</v>
      </c>
      <c r="AO49" t="s">
        <v>435</v>
      </c>
      <c r="AP49" t="s">
        <v>436</v>
      </c>
      <c r="AT49" t="s">
        <v>426</v>
      </c>
      <c r="AU49" t="s">
        <v>427</v>
      </c>
      <c r="AV49">
        <v>55</v>
      </c>
      <c r="AW49" t="s">
        <v>428</v>
      </c>
      <c r="AX49" t="s">
        <v>429</v>
      </c>
      <c r="CU49">
        <v>516736.62170000002</v>
      </c>
      <c r="CV49">
        <v>4952000.1183000002</v>
      </c>
      <c r="CW49">
        <v>44.721193460000002</v>
      </c>
      <c r="CX49">
        <v>-92.788677530000001</v>
      </c>
      <c r="CY49" s="287">
        <v>43835.263888888891</v>
      </c>
      <c r="CZ49" t="s">
        <v>438</v>
      </c>
      <c r="DA49" t="s">
        <v>439</v>
      </c>
      <c r="DB49" t="s">
        <v>440</v>
      </c>
      <c r="DC49" t="s">
        <v>441</v>
      </c>
      <c r="DD49" t="s">
        <v>589</v>
      </c>
    </row>
    <row r="50" spans="1:108" x14ac:dyDescent="0.25">
      <c r="A50">
        <v>906482</v>
      </c>
      <c r="B50" t="s">
        <v>405</v>
      </c>
      <c r="C50">
        <v>54</v>
      </c>
      <c r="D50">
        <v>2.2989999999999999</v>
      </c>
      <c r="E50" t="s">
        <v>406</v>
      </c>
      <c r="G50" t="s">
        <v>407</v>
      </c>
      <c r="H50" t="s">
        <v>408</v>
      </c>
      <c r="I50" t="s">
        <v>409</v>
      </c>
      <c r="K50">
        <v>21000595</v>
      </c>
      <c r="L50">
        <v>211340210</v>
      </c>
      <c r="M50" s="288">
        <v>45417</v>
      </c>
      <c r="N50">
        <v>14</v>
      </c>
      <c r="O50">
        <v>2021</v>
      </c>
      <c r="P50" t="s">
        <v>501</v>
      </c>
      <c r="Q50">
        <v>18</v>
      </c>
      <c r="R50" t="s">
        <v>484</v>
      </c>
      <c r="S50" t="s">
        <v>411</v>
      </c>
      <c r="T50">
        <v>0</v>
      </c>
      <c r="U50">
        <v>1</v>
      </c>
      <c r="W50" t="s">
        <v>518</v>
      </c>
      <c r="X50" t="s">
        <v>414</v>
      </c>
      <c r="Y50" t="s">
        <v>503</v>
      </c>
      <c r="Z50" t="s">
        <v>416</v>
      </c>
      <c r="AA50" t="s">
        <v>449</v>
      </c>
      <c r="AC50" t="s">
        <v>450</v>
      </c>
      <c r="AD50" t="s">
        <v>419</v>
      </c>
      <c r="AE50" t="s">
        <v>420</v>
      </c>
      <c r="AG50" t="s">
        <v>421</v>
      </c>
      <c r="AH50" t="s">
        <v>480</v>
      </c>
      <c r="AI50" t="s">
        <v>430</v>
      </c>
      <c r="AJ50" t="s">
        <v>431</v>
      </c>
      <c r="AK50" t="s">
        <v>508</v>
      </c>
      <c r="AL50" t="s">
        <v>453</v>
      </c>
      <c r="AM50">
        <v>46</v>
      </c>
      <c r="AN50" t="s">
        <v>434</v>
      </c>
      <c r="AO50" t="s">
        <v>435</v>
      </c>
      <c r="AP50" t="s">
        <v>436</v>
      </c>
      <c r="AT50" t="s">
        <v>426</v>
      </c>
      <c r="AU50" t="s">
        <v>484</v>
      </c>
      <c r="AV50">
        <v>55</v>
      </c>
      <c r="AW50" t="s">
        <v>428</v>
      </c>
      <c r="AX50" t="s">
        <v>429</v>
      </c>
      <c r="CU50">
        <v>516921.21039999998</v>
      </c>
      <c r="CV50">
        <v>4951878.1041000001</v>
      </c>
      <c r="CW50">
        <v>44.720090720000002</v>
      </c>
      <c r="CX50">
        <v>-92.786350830000003</v>
      </c>
      <c r="CY50" s="287">
        <v>44330.770833333336</v>
      </c>
      <c r="CZ50" t="s">
        <v>438</v>
      </c>
      <c r="DA50" t="s">
        <v>439</v>
      </c>
      <c r="DB50" t="s">
        <v>440</v>
      </c>
      <c r="DC50" t="s">
        <v>441</v>
      </c>
      <c r="DD50" t="s">
        <v>590</v>
      </c>
    </row>
    <row r="51" spans="1:108" x14ac:dyDescent="0.25">
      <c r="A51">
        <v>970768</v>
      </c>
      <c r="B51" t="s">
        <v>405</v>
      </c>
      <c r="C51">
        <v>54</v>
      </c>
      <c r="D51">
        <v>2.3170000000000002</v>
      </c>
      <c r="E51" t="s">
        <v>406</v>
      </c>
      <c r="G51" t="s">
        <v>407</v>
      </c>
      <c r="H51" t="s">
        <v>408</v>
      </c>
      <c r="I51" t="s">
        <v>409</v>
      </c>
      <c r="K51">
        <v>21001384</v>
      </c>
      <c r="L51">
        <v>213050128</v>
      </c>
      <c r="M51" s="288">
        <v>45607</v>
      </c>
      <c r="N51">
        <v>1</v>
      </c>
      <c r="O51">
        <v>2021</v>
      </c>
      <c r="P51" t="s">
        <v>517</v>
      </c>
      <c r="Q51">
        <v>22</v>
      </c>
      <c r="R51" t="s">
        <v>484</v>
      </c>
      <c r="S51" t="s">
        <v>411</v>
      </c>
      <c r="T51">
        <v>0</v>
      </c>
      <c r="U51">
        <v>1</v>
      </c>
      <c r="W51" t="s">
        <v>518</v>
      </c>
      <c r="X51" t="s">
        <v>414</v>
      </c>
      <c r="Y51" t="s">
        <v>503</v>
      </c>
      <c r="Z51" t="s">
        <v>519</v>
      </c>
      <c r="AA51" t="s">
        <v>449</v>
      </c>
      <c r="AC51" t="s">
        <v>450</v>
      </c>
      <c r="AD51" t="s">
        <v>419</v>
      </c>
      <c r="AE51" t="s">
        <v>420</v>
      </c>
      <c r="AF51" t="s">
        <v>591</v>
      </c>
      <c r="AG51" t="s">
        <v>421</v>
      </c>
      <c r="AH51" t="s">
        <v>480</v>
      </c>
      <c r="AI51" t="s">
        <v>430</v>
      </c>
      <c r="AJ51" t="s">
        <v>431</v>
      </c>
      <c r="AK51" t="s">
        <v>466</v>
      </c>
      <c r="AL51" t="s">
        <v>453</v>
      </c>
      <c r="AM51">
        <v>64</v>
      </c>
      <c r="AN51" t="s">
        <v>434</v>
      </c>
      <c r="AO51" t="s">
        <v>435</v>
      </c>
      <c r="AP51" t="s">
        <v>436</v>
      </c>
      <c r="AT51" t="s">
        <v>426</v>
      </c>
      <c r="AU51" t="s">
        <v>427</v>
      </c>
      <c r="AV51">
        <v>55</v>
      </c>
      <c r="AW51" t="s">
        <v>551</v>
      </c>
      <c r="AX51" t="s">
        <v>567</v>
      </c>
      <c r="CU51">
        <v>516945.4276</v>
      </c>
      <c r="CV51">
        <v>4951862.0964000002</v>
      </c>
      <c r="CW51">
        <v>44.719946040000004</v>
      </c>
      <c r="CX51">
        <v>-92.786045580000007</v>
      </c>
      <c r="CY51" s="287">
        <v>44501.92083333333</v>
      </c>
      <c r="CZ51" t="s">
        <v>438</v>
      </c>
      <c r="DA51" t="s">
        <v>439</v>
      </c>
      <c r="DB51" t="s">
        <v>440</v>
      </c>
      <c r="DC51" t="s">
        <v>441</v>
      </c>
      <c r="DD51" t="s">
        <v>592</v>
      </c>
    </row>
    <row r="52" spans="1:108" x14ac:dyDescent="0.25">
      <c r="A52">
        <v>837363</v>
      </c>
      <c r="B52" t="s">
        <v>405</v>
      </c>
      <c r="C52">
        <v>54</v>
      </c>
      <c r="D52">
        <v>2.3260000000000001</v>
      </c>
      <c r="E52" t="s">
        <v>406</v>
      </c>
      <c r="G52" t="s">
        <v>407</v>
      </c>
      <c r="H52" t="s">
        <v>408</v>
      </c>
      <c r="I52" t="s">
        <v>409</v>
      </c>
      <c r="K52">
        <v>20001054</v>
      </c>
      <c r="L52">
        <v>202390097</v>
      </c>
      <c r="M52" s="288">
        <v>45512</v>
      </c>
      <c r="N52">
        <v>26</v>
      </c>
      <c r="O52">
        <v>2020</v>
      </c>
      <c r="P52" t="s">
        <v>549</v>
      </c>
      <c r="Q52">
        <v>19</v>
      </c>
      <c r="S52" t="s">
        <v>497</v>
      </c>
      <c r="T52">
        <v>0</v>
      </c>
      <c r="U52">
        <v>1</v>
      </c>
      <c r="W52" t="s">
        <v>518</v>
      </c>
      <c r="X52" t="s">
        <v>414</v>
      </c>
      <c r="Y52" t="s">
        <v>503</v>
      </c>
      <c r="Z52" t="s">
        <v>587</v>
      </c>
      <c r="AA52" t="s">
        <v>449</v>
      </c>
      <c r="AC52" t="s">
        <v>450</v>
      </c>
      <c r="AD52" t="s">
        <v>419</v>
      </c>
      <c r="AE52" t="s">
        <v>420</v>
      </c>
      <c r="AG52" t="s">
        <v>421</v>
      </c>
      <c r="AH52" t="s">
        <v>480</v>
      </c>
      <c r="AI52" t="s">
        <v>430</v>
      </c>
      <c r="AJ52" t="s">
        <v>462</v>
      </c>
      <c r="AK52" t="s">
        <v>432</v>
      </c>
      <c r="AL52" t="s">
        <v>453</v>
      </c>
      <c r="AM52">
        <v>67</v>
      </c>
      <c r="AN52" t="s">
        <v>454</v>
      </c>
      <c r="AO52" t="s">
        <v>435</v>
      </c>
      <c r="AP52" t="s">
        <v>436</v>
      </c>
      <c r="AT52" t="s">
        <v>426</v>
      </c>
      <c r="AU52" t="s">
        <v>427</v>
      </c>
      <c r="AV52">
        <v>55</v>
      </c>
      <c r="AW52" t="s">
        <v>428</v>
      </c>
      <c r="AX52" t="s">
        <v>429</v>
      </c>
      <c r="CU52">
        <v>516957.26490000001</v>
      </c>
      <c r="CV52">
        <v>4951854.2719000001</v>
      </c>
      <c r="CW52">
        <v>44.71987532</v>
      </c>
      <c r="CX52">
        <v>-92.785896379999997</v>
      </c>
      <c r="CY52" s="287">
        <v>44069.806944444441</v>
      </c>
      <c r="CZ52" t="s">
        <v>438</v>
      </c>
      <c r="DA52" t="s">
        <v>439</v>
      </c>
      <c r="DB52" t="s">
        <v>440</v>
      </c>
      <c r="DC52" t="s">
        <v>441</v>
      </c>
      <c r="DD52" t="s">
        <v>593</v>
      </c>
    </row>
    <row r="53" spans="1:108" x14ac:dyDescent="0.25">
      <c r="A53">
        <v>744345</v>
      </c>
      <c r="B53" t="s">
        <v>405</v>
      </c>
      <c r="C53">
        <v>54</v>
      </c>
      <c r="D53">
        <v>2.3479999999999999</v>
      </c>
      <c r="E53" t="s">
        <v>406</v>
      </c>
      <c r="G53" t="s">
        <v>407</v>
      </c>
      <c r="H53" t="s">
        <v>408</v>
      </c>
      <c r="I53" t="s">
        <v>409</v>
      </c>
      <c r="K53">
        <v>19001265</v>
      </c>
      <c r="L53">
        <v>192430115</v>
      </c>
      <c r="M53" s="288">
        <v>45512</v>
      </c>
      <c r="N53">
        <v>31</v>
      </c>
      <c r="O53">
        <v>2019</v>
      </c>
      <c r="P53" t="s">
        <v>458</v>
      </c>
      <c r="Q53">
        <v>23</v>
      </c>
      <c r="R53" t="s">
        <v>444</v>
      </c>
      <c r="S53" t="s">
        <v>411</v>
      </c>
      <c r="T53">
        <v>0</v>
      </c>
      <c r="U53">
        <v>2</v>
      </c>
      <c r="W53" t="s">
        <v>594</v>
      </c>
      <c r="X53" t="s">
        <v>414</v>
      </c>
      <c r="Y53" t="s">
        <v>503</v>
      </c>
      <c r="Z53" t="s">
        <v>519</v>
      </c>
      <c r="AA53" t="s">
        <v>449</v>
      </c>
      <c r="AC53" t="s">
        <v>450</v>
      </c>
      <c r="AD53" t="s">
        <v>419</v>
      </c>
      <c r="AE53" t="s">
        <v>420</v>
      </c>
      <c r="AG53" t="s">
        <v>421</v>
      </c>
      <c r="AH53" t="s">
        <v>529</v>
      </c>
      <c r="AI53" t="s">
        <v>430</v>
      </c>
      <c r="AJ53" t="s">
        <v>462</v>
      </c>
      <c r="AK53" t="s">
        <v>466</v>
      </c>
      <c r="AL53" t="s">
        <v>453</v>
      </c>
      <c r="AM53">
        <v>22</v>
      </c>
      <c r="AN53" t="s">
        <v>434</v>
      </c>
      <c r="AO53" t="s">
        <v>435</v>
      </c>
      <c r="AP53" t="s">
        <v>436</v>
      </c>
      <c r="AT53" t="s">
        <v>426</v>
      </c>
      <c r="AU53" t="s">
        <v>427</v>
      </c>
      <c r="AV53">
        <v>55</v>
      </c>
      <c r="AW53" t="s">
        <v>551</v>
      </c>
      <c r="AX53" t="s">
        <v>567</v>
      </c>
      <c r="AY53" t="s">
        <v>430</v>
      </c>
      <c r="AZ53" t="s">
        <v>462</v>
      </c>
      <c r="BA53" t="s">
        <v>432</v>
      </c>
      <c r="BB53" t="s">
        <v>453</v>
      </c>
      <c r="BC53">
        <v>24</v>
      </c>
      <c r="BD53" t="s">
        <v>434</v>
      </c>
      <c r="BE53" t="s">
        <v>435</v>
      </c>
      <c r="BF53" t="s">
        <v>436</v>
      </c>
      <c r="BJ53" t="s">
        <v>426</v>
      </c>
      <c r="BK53" t="s">
        <v>427</v>
      </c>
      <c r="BL53">
        <v>55</v>
      </c>
      <c r="BM53" t="s">
        <v>520</v>
      </c>
      <c r="BN53" t="s">
        <v>482</v>
      </c>
      <c r="CU53">
        <v>516987.16259999998</v>
      </c>
      <c r="CV53">
        <v>4951834.5093</v>
      </c>
      <c r="CW53">
        <v>44.7196967</v>
      </c>
      <c r="CX53">
        <v>-92.785519530000002</v>
      </c>
      <c r="CY53" s="287">
        <v>43708.989583333336</v>
      </c>
      <c r="CZ53" t="s">
        <v>438</v>
      </c>
      <c r="DA53" t="s">
        <v>439</v>
      </c>
      <c r="DB53" t="s">
        <v>440</v>
      </c>
      <c r="DC53" t="s">
        <v>441</v>
      </c>
      <c r="DD53" t="s">
        <v>595</v>
      </c>
    </row>
    <row r="54" spans="1:108" x14ac:dyDescent="0.25">
      <c r="A54">
        <v>939970</v>
      </c>
      <c r="B54" t="s">
        <v>405</v>
      </c>
      <c r="C54">
        <v>54</v>
      </c>
      <c r="D54">
        <v>2.36</v>
      </c>
      <c r="E54" t="s">
        <v>406</v>
      </c>
      <c r="G54" t="s">
        <v>407</v>
      </c>
      <c r="H54" t="s">
        <v>408</v>
      </c>
      <c r="I54" t="s">
        <v>409</v>
      </c>
      <c r="K54">
        <v>21001144</v>
      </c>
      <c r="L54">
        <v>212540086</v>
      </c>
      <c r="M54" s="288">
        <v>45544</v>
      </c>
      <c r="N54">
        <v>11</v>
      </c>
      <c r="O54">
        <v>2021</v>
      </c>
      <c r="P54" t="s">
        <v>458</v>
      </c>
      <c r="Q54">
        <v>19</v>
      </c>
      <c r="S54" t="s">
        <v>411</v>
      </c>
      <c r="T54">
        <v>0</v>
      </c>
      <c r="U54">
        <v>1</v>
      </c>
      <c r="W54" t="s">
        <v>518</v>
      </c>
      <c r="X54" t="s">
        <v>414</v>
      </c>
      <c r="Y54" t="s">
        <v>503</v>
      </c>
      <c r="Z54" t="s">
        <v>587</v>
      </c>
      <c r="AA54" t="s">
        <v>449</v>
      </c>
      <c r="AC54" t="s">
        <v>450</v>
      </c>
      <c r="AD54" t="s">
        <v>419</v>
      </c>
      <c r="AE54" t="s">
        <v>420</v>
      </c>
      <c r="AG54" t="s">
        <v>421</v>
      </c>
      <c r="AH54" t="s">
        <v>480</v>
      </c>
      <c r="AI54" t="s">
        <v>430</v>
      </c>
      <c r="AJ54" t="s">
        <v>431</v>
      </c>
      <c r="AK54" t="s">
        <v>466</v>
      </c>
      <c r="AL54" t="s">
        <v>453</v>
      </c>
      <c r="AM54">
        <v>55</v>
      </c>
      <c r="AN54" t="s">
        <v>434</v>
      </c>
      <c r="AO54" t="s">
        <v>435</v>
      </c>
      <c r="AP54" t="s">
        <v>436</v>
      </c>
      <c r="AT54" t="s">
        <v>426</v>
      </c>
      <c r="AU54" t="s">
        <v>427</v>
      </c>
      <c r="AV54">
        <v>55</v>
      </c>
      <c r="AW54" t="s">
        <v>428</v>
      </c>
      <c r="AX54" t="s">
        <v>429</v>
      </c>
      <c r="CU54">
        <v>517001.95179999998</v>
      </c>
      <c r="CV54">
        <v>4951824.7335000001</v>
      </c>
      <c r="CW54">
        <v>44.719608340000001</v>
      </c>
      <c r="CX54">
        <v>-92.785333120000004</v>
      </c>
      <c r="CY54" s="287">
        <v>44450.819444444445</v>
      </c>
      <c r="CZ54" t="s">
        <v>438</v>
      </c>
      <c r="DA54" t="s">
        <v>439</v>
      </c>
      <c r="DB54" t="s">
        <v>440</v>
      </c>
      <c r="DC54" t="s">
        <v>441</v>
      </c>
      <c r="DD54" t="s">
        <v>596</v>
      </c>
    </row>
    <row r="55" spans="1:108" x14ac:dyDescent="0.25">
      <c r="A55">
        <v>972025</v>
      </c>
      <c r="B55" t="s">
        <v>405</v>
      </c>
      <c r="C55">
        <v>54</v>
      </c>
      <c r="D55">
        <v>2.7240000000000002</v>
      </c>
      <c r="E55" t="s">
        <v>406</v>
      </c>
      <c r="G55" t="s">
        <v>407</v>
      </c>
      <c r="H55" t="s">
        <v>408</v>
      </c>
      <c r="I55" t="s">
        <v>409</v>
      </c>
      <c r="K55">
        <v>21001415</v>
      </c>
      <c r="L55">
        <v>213110095</v>
      </c>
      <c r="M55" s="288">
        <v>45607</v>
      </c>
      <c r="N55">
        <v>7</v>
      </c>
      <c r="O55">
        <v>2021</v>
      </c>
      <c r="P55" t="s">
        <v>410</v>
      </c>
      <c r="Q55">
        <v>4</v>
      </c>
      <c r="R55" t="s">
        <v>484</v>
      </c>
      <c r="S55" t="s">
        <v>411</v>
      </c>
      <c r="T55">
        <v>0</v>
      </c>
      <c r="U55">
        <v>1</v>
      </c>
      <c r="W55" t="s">
        <v>597</v>
      </c>
      <c r="X55" t="s">
        <v>470</v>
      </c>
      <c r="Y55" t="s">
        <v>503</v>
      </c>
      <c r="Z55" t="s">
        <v>540</v>
      </c>
      <c r="AA55" t="s">
        <v>449</v>
      </c>
      <c r="AC55" t="s">
        <v>450</v>
      </c>
      <c r="AD55" t="s">
        <v>419</v>
      </c>
      <c r="AE55" t="s">
        <v>420</v>
      </c>
      <c r="AG55" t="s">
        <v>421</v>
      </c>
      <c r="AH55" t="s">
        <v>451</v>
      </c>
      <c r="AI55" t="s">
        <v>430</v>
      </c>
      <c r="AJ55" t="s">
        <v>465</v>
      </c>
      <c r="AK55" t="s">
        <v>432</v>
      </c>
      <c r="AL55" t="s">
        <v>463</v>
      </c>
      <c r="AM55">
        <v>31</v>
      </c>
      <c r="AN55" t="s">
        <v>434</v>
      </c>
      <c r="AO55" t="s">
        <v>435</v>
      </c>
      <c r="AP55" t="s">
        <v>436</v>
      </c>
      <c r="AT55" t="s">
        <v>426</v>
      </c>
      <c r="AU55" t="s">
        <v>484</v>
      </c>
      <c r="AV55">
        <v>55</v>
      </c>
      <c r="AW55" t="s">
        <v>428</v>
      </c>
      <c r="AX55" t="s">
        <v>429</v>
      </c>
      <c r="CU55">
        <v>517442.33020000003</v>
      </c>
      <c r="CV55">
        <v>4951440.8350999998</v>
      </c>
      <c r="CW55">
        <v>44.716141790000002</v>
      </c>
      <c r="CX55">
        <v>-92.779785849999996</v>
      </c>
      <c r="CY55" s="287">
        <v>44507.190972222219</v>
      </c>
      <c r="CZ55" t="s">
        <v>438</v>
      </c>
      <c r="DA55" t="s">
        <v>439</v>
      </c>
      <c r="DB55" t="s">
        <v>440</v>
      </c>
      <c r="DC55" t="s">
        <v>441</v>
      </c>
      <c r="DD55" t="s">
        <v>598</v>
      </c>
    </row>
    <row r="56" spans="1:108" x14ac:dyDescent="0.25">
      <c r="A56">
        <v>686567</v>
      </c>
      <c r="B56" t="s">
        <v>405</v>
      </c>
      <c r="C56">
        <v>54</v>
      </c>
      <c r="D56">
        <v>2.7589999999999999</v>
      </c>
      <c r="E56" t="s">
        <v>406</v>
      </c>
      <c r="G56" t="s">
        <v>407</v>
      </c>
      <c r="H56" t="s">
        <v>408</v>
      </c>
      <c r="I56" t="s">
        <v>409</v>
      </c>
      <c r="K56">
        <v>19000221</v>
      </c>
      <c r="L56">
        <v>190410319</v>
      </c>
      <c r="M56" s="288">
        <v>45324</v>
      </c>
      <c r="N56">
        <v>10</v>
      </c>
      <c r="O56">
        <v>2019</v>
      </c>
      <c r="P56" t="s">
        <v>410</v>
      </c>
      <c r="Q56">
        <v>3</v>
      </c>
      <c r="R56" t="s">
        <v>484</v>
      </c>
      <c r="S56" t="s">
        <v>411</v>
      </c>
      <c r="T56">
        <v>0</v>
      </c>
      <c r="U56">
        <v>1</v>
      </c>
      <c r="W56" t="s">
        <v>597</v>
      </c>
      <c r="X56" t="s">
        <v>447</v>
      </c>
      <c r="Y56" t="s">
        <v>503</v>
      </c>
      <c r="Z56" t="s">
        <v>519</v>
      </c>
      <c r="AA56" t="s">
        <v>472</v>
      </c>
      <c r="AC56" t="s">
        <v>472</v>
      </c>
      <c r="AD56" t="s">
        <v>419</v>
      </c>
      <c r="AE56" t="s">
        <v>420</v>
      </c>
      <c r="AG56" t="s">
        <v>421</v>
      </c>
      <c r="AH56" t="s">
        <v>451</v>
      </c>
      <c r="AI56" t="s">
        <v>430</v>
      </c>
      <c r="AJ56" t="s">
        <v>462</v>
      </c>
      <c r="AK56" t="s">
        <v>424</v>
      </c>
      <c r="AL56" t="s">
        <v>453</v>
      </c>
      <c r="AM56">
        <v>29</v>
      </c>
      <c r="AN56" t="s">
        <v>434</v>
      </c>
      <c r="AO56" t="s">
        <v>435</v>
      </c>
      <c r="AP56" t="s">
        <v>473</v>
      </c>
      <c r="AT56" t="s">
        <v>426</v>
      </c>
      <c r="AU56" t="s">
        <v>427</v>
      </c>
      <c r="AV56">
        <v>55</v>
      </c>
      <c r="AW56" t="s">
        <v>428</v>
      </c>
      <c r="AX56" t="s">
        <v>429</v>
      </c>
      <c r="CU56">
        <v>517483.23149999999</v>
      </c>
      <c r="CV56">
        <v>4951401.2829</v>
      </c>
      <c r="CW56">
        <v>44.715784730000003</v>
      </c>
      <c r="CX56">
        <v>-92.779270800000006</v>
      </c>
      <c r="CY56" s="287">
        <v>43506.165277777778</v>
      </c>
      <c r="CZ56" t="s">
        <v>438</v>
      </c>
      <c r="DA56" t="s">
        <v>439</v>
      </c>
      <c r="DB56" t="s">
        <v>440</v>
      </c>
      <c r="DC56" t="s">
        <v>441</v>
      </c>
      <c r="DD56" t="s">
        <v>599</v>
      </c>
    </row>
    <row r="57" spans="1:108" x14ac:dyDescent="0.25">
      <c r="A57">
        <v>1028310</v>
      </c>
      <c r="B57" t="s">
        <v>405</v>
      </c>
      <c r="C57">
        <v>54</v>
      </c>
      <c r="D57">
        <v>2.7879999999999998</v>
      </c>
      <c r="E57" t="s">
        <v>406</v>
      </c>
      <c r="G57" t="s">
        <v>407</v>
      </c>
      <c r="H57" t="s">
        <v>408</v>
      </c>
      <c r="I57" t="s">
        <v>409</v>
      </c>
      <c r="K57">
        <v>22000715</v>
      </c>
      <c r="L57">
        <v>221640090</v>
      </c>
      <c r="M57" s="288">
        <v>45449</v>
      </c>
      <c r="N57">
        <v>13</v>
      </c>
      <c r="O57">
        <v>2022</v>
      </c>
      <c r="P57" t="s">
        <v>517</v>
      </c>
      <c r="Q57">
        <v>17</v>
      </c>
      <c r="S57" t="s">
        <v>497</v>
      </c>
      <c r="T57">
        <v>0</v>
      </c>
      <c r="U57">
        <v>3</v>
      </c>
      <c r="V57" t="s">
        <v>459</v>
      </c>
      <c r="W57" t="s">
        <v>413</v>
      </c>
      <c r="X57" t="s">
        <v>414</v>
      </c>
      <c r="Y57" t="s">
        <v>503</v>
      </c>
      <c r="Z57" t="s">
        <v>416</v>
      </c>
      <c r="AA57" t="s">
        <v>449</v>
      </c>
      <c r="AC57" t="s">
        <v>450</v>
      </c>
      <c r="AD57" t="s">
        <v>419</v>
      </c>
      <c r="AE57" t="s">
        <v>420</v>
      </c>
      <c r="AG57" t="s">
        <v>421</v>
      </c>
      <c r="AH57" t="s">
        <v>507</v>
      </c>
      <c r="AI57" t="s">
        <v>430</v>
      </c>
      <c r="AJ57" t="s">
        <v>462</v>
      </c>
      <c r="AK57" t="s">
        <v>432</v>
      </c>
      <c r="AL57" t="s">
        <v>453</v>
      </c>
      <c r="AM57">
        <v>20</v>
      </c>
      <c r="AN57" t="s">
        <v>434</v>
      </c>
      <c r="AO57" t="s">
        <v>435</v>
      </c>
      <c r="AP57" t="s">
        <v>569</v>
      </c>
      <c r="AQ57" t="s">
        <v>436</v>
      </c>
      <c r="AT57" t="s">
        <v>426</v>
      </c>
      <c r="AU57" t="s">
        <v>427</v>
      </c>
      <c r="AV57">
        <v>55</v>
      </c>
      <c r="AW57" t="s">
        <v>428</v>
      </c>
      <c r="AX57" t="s">
        <v>429</v>
      </c>
      <c r="AY57" t="s">
        <v>430</v>
      </c>
      <c r="AZ57" t="s">
        <v>462</v>
      </c>
      <c r="BA57" t="s">
        <v>432</v>
      </c>
      <c r="BB57" t="s">
        <v>453</v>
      </c>
      <c r="BC57">
        <v>65</v>
      </c>
      <c r="BD57" t="s">
        <v>454</v>
      </c>
      <c r="BE57" t="s">
        <v>435</v>
      </c>
      <c r="BF57" t="s">
        <v>464</v>
      </c>
      <c r="BJ57" t="s">
        <v>426</v>
      </c>
      <c r="BK57" t="s">
        <v>427</v>
      </c>
      <c r="BL57">
        <v>55</v>
      </c>
      <c r="BM57" t="s">
        <v>428</v>
      </c>
      <c r="BN57" t="s">
        <v>429</v>
      </c>
      <c r="BO57" t="s">
        <v>430</v>
      </c>
      <c r="BP57" t="s">
        <v>431</v>
      </c>
      <c r="BQ57" t="s">
        <v>466</v>
      </c>
      <c r="BR57" t="s">
        <v>453</v>
      </c>
      <c r="BS57">
        <v>57</v>
      </c>
      <c r="BT57" t="s">
        <v>454</v>
      </c>
      <c r="BU57" t="s">
        <v>435</v>
      </c>
      <c r="BV57" t="s">
        <v>515</v>
      </c>
      <c r="BZ57" t="s">
        <v>426</v>
      </c>
      <c r="CA57" t="s">
        <v>427</v>
      </c>
      <c r="CB57">
        <v>55</v>
      </c>
      <c r="CC57" t="s">
        <v>428</v>
      </c>
      <c r="CD57" t="s">
        <v>429</v>
      </c>
      <c r="CU57">
        <v>517517.44959999999</v>
      </c>
      <c r="CV57">
        <v>4951368.1933000004</v>
      </c>
      <c r="CW57">
        <v>44.715486009999999</v>
      </c>
      <c r="CX57">
        <v>-92.778839910000002</v>
      </c>
      <c r="CY57" s="287">
        <v>44725.725694444445</v>
      </c>
      <c r="CZ57" t="s">
        <v>438</v>
      </c>
      <c r="DA57" t="s">
        <v>439</v>
      </c>
      <c r="DB57" t="s">
        <v>440</v>
      </c>
      <c r="DC57" t="s">
        <v>441</v>
      </c>
      <c r="DD57" t="s">
        <v>600</v>
      </c>
    </row>
    <row r="58" spans="1:108" x14ac:dyDescent="0.25">
      <c r="A58">
        <v>1006726</v>
      </c>
      <c r="B58" t="s">
        <v>405</v>
      </c>
      <c r="C58">
        <v>54</v>
      </c>
      <c r="D58">
        <v>2.831</v>
      </c>
      <c r="E58" t="s">
        <v>406</v>
      </c>
      <c r="G58" t="s">
        <v>407</v>
      </c>
      <c r="H58" t="s">
        <v>408</v>
      </c>
      <c r="I58" t="s">
        <v>409</v>
      </c>
      <c r="K58">
        <v>22000205</v>
      </c>
      <c r="L58">
        <v>220460142</v>
      </c>
      <c r="M58" s="288">
        <v>45324</v>
      </c>
      <c r="N58">
        <v>15</v>
      </c>
      <c r="O58">
        <v>2022</v>
      </c>
      <c r="P58" t="s">
        <v>468</v>
      </c>
      <c r="Q58">
        <v>20</v>
      </c>
      <c r="R58" t="s">
        <v>444</v>
      </c>
      <c r="S58" t="s">
        <v>497</v>
      </c>
      <c r="T58">
        <v>0</v>
      </c>
      <c r="U58">
        <v>1</v>
      </c>
      <c r="W58" t="s">
        <v>601</v>
      </c>
      <c r="X58" t="s">
        <v>414</v>
      </c>
      <c r="Y58" t="s">
        <v>503</v>
      </c>
      <c r="Z58" t="s">
        <v>519</v>
      </c>
      <c r="AA58" t="s">
        <v>504</v>
      </c>
      <c r="AB58" t="s">
        <v>472</v>
      </c>
      <c r="AC58" t="s">
        <v>460</v>
      </c>
      <c r="AD58" t="s">
        <v>419</v>
      </c>
      <c r="AE58" t="s">
        <v>420</v>
      </c>
      <c r="AF58" t="s">
        <v>602</v>
      </c>
      <c r="AG58" t="s">
        <v>421</v>
      </c>
      <c r="AH58" t="s">
        <v>601</v>
      </c>
      <c r="AI58" t="s">
        <v>423</v>
      </c>
      <c r="AK58" t="s">
        <v>432</v>
      </c>
      <c r="AL58" t="s">
        <v>453</v>
      </c>
      <c r="AT58" t="s">
        <v>426</v>
      </c>
      <c r="AU58" t="s">
        <v>427</v>
      </c>
      <c r="AV58">
        <v>55</v>
      </c>
      <c r="AW58" t="s">
        <v>428</v>
      </c>
      <c r="AX58" t="s">
        <v>429</v>
      </c>
      <c r="AY58" t="s">
        <v>601</v>
      </c>
      <c r="BC58">
        <v>36</v>
      </c>
      <c r="BD58" t="s">
        <v>454</v>
      </c>
      <c r="BE58" t="s">
        <v>515</v>
      </c>
      <c r="BF58" t="s">
        <v>515</v>
      </c>
      <c r="BH58" t="s">
        <v>603</v>
      </c>
      <c r="BI58" t="s">
        <v>546</v>
      </c>
      <c r="CU58">
        <v>517566.2965</v>
      </c>
      <c r="CV58">
        <v>4951320.9574999996</v>
      </c>
      <c r="CW58">
        <v>44.715059580000002</v>
      </c>
      <c r="CX58">
        <v>-92.778224820000005</v>
      </c>
      <c r="CY58" s="287">
        <v>44607.862500000003</v>
      </c>
      <c r="CZ58" t="s">
        <v>438</v>
      </c>
      <c r="DA58" t="s">
        <v>439</v>
      </c>
      <c r="DB58" t="s">
        <v>440</v>
      </c>
      <c r="DC58" t="s">
        <v>441</v>
      </c>
      <c r="DD58" t="s">
        <v>604</v>
      </c>
    </row>
    <row r="59" spans="1:108" x14ac:dyDescent="0.25">
      <c r="A59">
        <v>1136114</v>
      </c>
      <c r="B59" t="s">
        <v>405</v>
      </c>
      <c r="C59">
        <v>54</v>
      </c>
      <c r="D59">
        <v>3.0139999999999998</v>
      </c>
      <c r="E59" t="s">
        <v>406</v>
      </c>
      <c r="G59" t="s">
        <v>407</v>
      </c>
      <c r="H59" t="s">
        <v>408</v>
      </c>
      <c r="I59" t="s">
        <v>409</v>
      </c>
      <c r="K59">
        <v>23001301</v>
      </c>
      <c r="L59">
        <v>232810060</v>
      </c>
      <c r="M59" s="288">
        <v>45575</v>
      </c>
      <c r="N59">
        <v>8</v>
      </c>
      <c r="O59">
        <v>2023</v>
      </c>
      <c r="P59" t="s">
        <v>410</v>
      </c>
      <c r="Q59">
        <v>19</v>
      </c>
      <c r="R59" t="s">
        <v>484</v>
      </c>
      <c r="S59" t="s">
        <v>411</v>
      </c>
      <c r="T59">
        <v>0</v>
      </c>
      <c r="U59">
        <v>2</v>
      </c>
      <c r="V59" t="s">
        <v>412</v>
      </c>
      <c r="W59" t="s">
        <v>413</v>
      </c>
      <c r="X59" t="s">
        <v>414</v>
      </c>
      <c r="Y59" t="s">
        <v>503</v>
      </c>
      <c r="Z59" t="s">
        <v>519</v>
      </c>
      <c r="AA59" t="s">
        <v>449</v>
      </c>
      <c r="AC59" t="s">
        <v>450</v>
      </c>
      <c r="AD59" t="s">
        <v>419</v>
      </c>
      <c r="AE59" t="s">
        <v>420</v>
      </c>
      <c r="AF59" t="s">
        <v>602</v>
      </c>
      <c r="AG59" t="s">
        <v>421</v>
      </c>
      <c r="AH59" t="s">
        <v>422</v>
      </c>
      <c r="AI59" t="s">
        <v>430</v>
      </c>
      <c r="AJ59" t="s">
        <v>462</v>
      </c>
      <c r="AK59" t="s">
        <v>424</v>
      </c>
      <c r="AL59" t="s">
        <v>453</v>
      </c>
      <c r="AM59">
        <v>52</v>
      </c>
      <c r="AN59" t="s">
        <v>454</v>
      </c>
      <c r="AO59" t="s">
        <v>435</v>
      </c>
      <c r="AP59" t="s">
        <v>559</v>
      </c>
      <c r="AT59" t="s">
        <v>426</v>
      </c>
      <c r="AU59" t="s">
        <v>427</v>
      </c>
      <c r="AV59">
        <v>55</v>
      </c>
      <c r="AW59" t="s">
        <v>428</v>
      </c>
      <c r="AX59" t="s">
        <v>429</v>
      </c>
      <c r="AY59" t="s">
        <v>430</v>
      </c>
      <c r="AZ59" t="s">
        <v>605</v>
      </c>
      <c r="BA59" t="s">
        <v>508</v>
      </c>
      <c r="BB59" t="s">
        <v>453</v>
      </c>
      <c r="BC59">
        <v>40</v>
      </c>
      <c r="BD59" t="s">
        <v>454</v>
      </c>
      <c r="BE59" t="s">
        <v>435</v>
      </c>
      <c r="BF59" t="s">
        <v>436</v>
      </c>
      <c r="BJ59" t="s">
        <v>426</v>
      </c>
      <c r="BK59" t="s">
        <v>427</v>
      </c>
      <c r="BL59">
        <v>55</v>
      </c>
      <c r="BM59" t="s">
        <v>428</v>
      </c>
      <c r="BN59" t="s">
        <v>429</v>
      </c>
      <c r="CU59">
        <v>517773.49209999997</v>
      </c>
      <c r="CV59">
        <v>4951110.6627000002</v>
      </c>
      <c r="CW59">
        <v>44.713161329999998</v>
      </c>
      <c r="CX59">
        <v>-92.775616220000003</v>
      </c>
      <c r="CY59" s="287">
        <v>45207.822916666664</v>
      </c>
      <c r="CZ59" t="s">
        <v>438</v>
      </c>
      <c r="DA59" t="s">
        <v>439</v>
      </c>
      <c r="DB59" t="s">
        <v>440</v>
      </c>
      <c r="DC59" t="s">
        <v>441</v>
      </c>
      <c r="DD59" t="s">
        <v>606</v>
      </c>
    </row>
    <row r="60" spans="1:108" x14ac:dyDescent="0.25">
      <c r="A60">
        <v>819264</v>
      </c>
      <c r="B60" t="s">
        <v>405</v>
      </c>
      <c r="C60">
        <v>54</v>
      </c>
      <c r="D60">
        <v>3.6869999999999998</v>
      </c>
      <c r="E60" t="s">
        <v>406</v>
      </c>
      <c r="G60" t="s">
        <v>407</v>
      </c>
      <c r="H60" t="s">
        <v>408</v>
      </c>
      <c r="I60" t="s">
        <v>409</v>
      </c>
      <c r="K60">
        <v>20000895</v>
      </c>
      <c r="L60">
        <v>201940053</v>
      </c>
      <c r="M60" s="288">
        <v>45480</v>
      </c>
      <c r="N60">
        <v>12</v>
      </c>
      <c r="O60">
        <v>2020</v>
      </c>
      <c r="P60" t="s">
        <v>410</v>
      </c>
      <c r="Q60">
        <v>15</v>
      </c>
      <c r="R60" t="s">
        <v>444</v>
      </c>
      <c r="S60" t="s">
        <v>411</v>
      </c>
      <c r="T60">
        <v>0</v>
      </c>
      <c r="U60">
        <v>1</v>
      </c>
      <c r="W60" t="s">
        <v>518</v>
      </c>
      <c r="X60" t="s">
        <v>414</v>
      </c>
      <c r="Y60" t="s">
        <v>503</v>
      </c>
      <c r="Z60" t="s">
        <v>416</v>
      </c>
      <c r="AA60" t="s">
        <v>449</v>
      </c>
      <c r="AC60" t="s">
        <v>450</v>
      </c>
      <c r="AD60" t="s">
        <v>419</v>
      </c>
      <c r="AE60" t="s">
        <v>420</v>
      </c>
      <c r="AG60" t="s">
        <v>421</v>
      </c>
      <c r="AH60" t="s">
        <v>480</v>
      </c>
      <c r="AI60" t="s">
        <v>430</v>
      </c>
      <c r="AJ60" t="s">
        <v>462</v>
      </c>
      <c r="AK60" t="s">
        <v>432</v>
      </c>
      <c r="AL60" t="s">
        <v>453</v>
      </c>
      <c r="AM60">
        <v>54</v>
      </c>
      <c r="AN60" t="s">
        <v>454</v>
      </c>
      <c r="AO60" t="s">
        <v>435</v>
      </c>
      <c r="AP60" t="s">
        <v>436</v>
      </c>
      <c r="AT60" t="s">
        <v>426</v>
      </c>
      <c r="AU60" t="s">
        <v>427</v>
      </c>
      <c r="AV60">
        <v>55</v>
      </c>
      <c r="AW60" t="s">
        <v>428</v>
      </c>
      <c r="AX60" t="s">
        <v>429</v>
      </c>
      <c r="CU60">
        <v>518538.0649</v>
      </c>
      <c r="CV60">
        <v>4950342.8991</v>
      </c>
      <c r="CW60">
        <v>44.706230310000002</v>
      </c>
      <c r="CX60">
        <v>-92.765991369999995</v>
      </c>
      <c r="CY60" s="287">
        <v>44024.65625</v>
      </c>
      <c r="CZ60" t="s">
        <v>438</v>
      </c>
      <c r="DA60" t="s">
        <v>439</v>
      </c>
      <c r="DB60" t="s">
        <v>440</v>
      </c>
      <c r="DC60" t="s">
        <v>441</v>
      </c>
      <c r="DD60" t="s">
        <v>611</v>
      </c>
    </row>
    <row r="61" spans="1:108" x14ac:dyDescent="0.25">
      <c r="A61">
        <v>1025663</v>
      </c>
      <c r="B61" t="s">
        <v>405</v>
      </c>
      <c r="C61">
        <v>54</v>
      </c>
      <c r="D61">
        <v>4.282</v>
      </c>
      <c r="E61" t="s">
        <v>406</v>
      </c>
      <c r="G61" t="s">
        <v>407</v>
      </c>
      <c r="H61" t="s">
        <v>408</v>
      </c>
      <c r="I61" t="s">
        <v>409</v>
      </c>
      <c r="K61">
        <v>22000643</v>
      </c>
      <c r="L61">
        <v>221490106</v>
      </c>
      <c r="M61" s="288">
        <v>45417</v>
      </c>
      <c r="N61">
        <v>29</v>
      </c>
      <c r="O61">
        <v>2022</v>
      </c>
      <c r="P61" t="s">
        <v>410</v>
      </c>
      <c r="Q61">
        <v>23</v>
      </c>
      <c r="S61" t="s">
        <v>411</v>
      </c>
      <c r="T61">
        <v>0</v>
      </c>
      <c r="U61">
        <v>1</v>
      </c>
      <c r="W61" t="s">
        <v>584</v>
      </c>
      <c r="X61" t="s">
        <v>414</v>
      </c>
      <c r="Y61" t="s">
        <v>503</v>
      </c>
      <c r="Z61" t="s">
        <v>540</v>
      </c>
      <c r="AA61" t="s">
        <v>449</v>
      </c>
      <c r="AC61" t="s">
        <v>450</v>
      </c>
      <c r="AD61" t="s">
        <v>419</v>
      </c>
      <c r="AE61" t="s">
        <v>420</v>
      </c>
      <c r="AG61" t="s">
        <v>421</v>
      </c>
      <c r="AH61" t="s">
        <v>480</v>
      </c>
      <c r="AI61" t="s">
        <v>430</v>
      </c>
      <c r="AJ61" t="s">
        <v>462</v>
      </c>
      <c r="AK61" t="s">
        <v>466</v>
      </c>
      <c r="AL61" t="s">
        <v>453</v>
      </c>
      <c r="AM61">
        <v>34</v>
      </c>
      <c r="AN61" t="s">
        <v>434</v>
      </c>
      <c r="AO61" t="s">
        <v>435</v>
      </c>
      <c r="AP61" t="s">
        <v>436</v>
      </c>
      <c r="AT61" t="s">
        <v>426</v>
      </c>
      <c r="AU61" t="s">
        <v>484</v>
      </c>
      <c r="AV61">
        <v>55</v>
      </c>
      <c r="AW61" t="s">
        <v>551</v>
      </c>
      <c r="AX61" t="s">
        <v>429</v>
      </c>
      <c r="CU61">
        <v>519143.68089999998</v>
      </c>
      <c r="CV61">
        <v>4949610.4084000001</v>
      </c>
      <c r="CW61">
        <v>44.699620279999998</v>
      </c>
      <c r="CX61">
        <v>-92.758373840000004</v>
      </c>
      <c r="CY61" s="287">
        <v>44710.979166666664</v>
      </c>
      <c r="CZ61" t="s">
        <v>438</v>
      </c>
      <c r="DA61" t="s">
        <v>439</v>
      </c>
      <c r="DB61" t="s">
        <v>440</v>
      </c>
      <c r="DC61" t="s">
        <v>441</v>
      </c>
      <c r="DD61" t="s">
        <v>612</v>
      </c>
    </row>
    <row r="62" spans="1:108" x14ac:dyDescent="0.25">
      <c r="A62">
        <v>839338</v>
      </c>
      <c r="B62" t="s">
        <v>405</v>
      </c>
      <c r="C62">
        <v>54</v>
      </c>
      <c r="D62">
        <v>4.8280000000000003</v>
      </c>
      <c r="E62" t="s">
        <v>406</v>
      </c>
      <c r="G62" t="s">
        <v>407</v>
      </c>
      <c r="H62" t="s">
        <v>408</v>
      </c>
      <c r="I62" t="s">
        <v>409</v>
      </c>
      <c r="K62">
        <v>20001100</v>
      </c>
      <c r="L62">
        <v>202500053</v>
      </c>
      <c r="M62" s="288">
        <v>45544</v>
      </c>
      <c r="N62">
        <v>6</v>
      </c>
      <c r="O62">
        <v>2020</v>
      </c>
      <c r="P62" t="s">
        <v>410</v>
      </c>
      <c r="Q62">
        <v>4</v>
      </c>
      <c r="R62" t="s">
        <v>444</v>
      </c>
      <c r="S62" t="s">
        <v>411</v>
      </c>
      <c r="T62">
        <v>0</v>
      </c>
      <c r="U62">
        <v>1</v>
      </c>
      <c r="W62" t="s">
        <v>475</v>
      </c>
      <c r="X62" t="s">
        <v>414</v>
      </c>
      <c r="Y62" t="s">
        <v>503</v>
      </c>
      <c r="Z62" t="s">
        <v>519</v>
      </c>
      <c r="AA62" t="s">
        <v>417</v>
      </c>
      <c r="AB62" t="s">
        <v>561</v>
      </c>
      <c r="AC62" t="s">
        <v>418</v>
      </c>
      <c r="AD62" t="s">
        <v>419</v>
      </c>
      <c r="AE62" t="s">
        <v>420</v>
      </c>
      <c r="AG62" t="s">
        <v>421</v>
      </c>
      <c r="AH62" t="s">
        <v>480</v>
      </c>
      <c r="AI62" t="s">
        <v>430</v>
      </c>
      <c r="AJ62" t="s">
        <v>462</v>
      </c>
      <c r="AK62" t="s">
        <v>432</v>
      </c>
      <c r="AL62" t="s">
        <v>453</v>
      </c>
      <c r="AM62">
        <v>27</v>
      </c>
      <c r="AN62" t="s">
        <v>434</v>
      </c>
      <c r="AO62" t="s">
        <v>515</v>
      </c>
      <c r="AP62" t="s">
        <v>559</v>
      </c>
      <c r="AT62" t="s">
        <v>426</v>
      </c>
      <c r="AU62" t="s">
        <v>427</v>
      </c>
      <c r="AV62">
        <v>55</v>
      </c>
      <c r="AW62" t="s">
        <v>551</v>
      </c>
      <c r="AX62" t="s">
        <v>482</v>
      </c>
      <c r="CU62">
        <v>519232.06819999998</v>
      </c>
      <c r="CV62">
        <v>4948751.2767000003</v>
      </c>
      <c r="CW62">
        <v>44.691883730000001</v>
      </c>
      <c r="CX62">
        <v>-92.757290519999998</v>
      </c>
      <c r="CY62" s="287">
        <v>44080.206944444442</v>
      </c>
      <c r="CZ62" t="s">
        <v>438</v>
      </c>
      <c r="DA62" t="s">
        <v>439</v>
      </c>
      <c r="DB62" t="s">
        <v>440</v>
      </c>
      <c r="DC62" t="s">
        <v>441</v>
      </c>
      <c r="DD62" t="s">
        <v>614</v>
      </c>
    </row>
    <row r="63" spans="1:108" x14ac:dyDescent="0.25">
      <c r="A63">
        <v>1134090</v>
      </c>
      <c r="B63" t="s">
        <v>405</v>
      </c>
      <c r="C63">
        <v>54</v>
      </c>
      <c r="D63">
        <v>4.843</v>
      </c>
      <c r="E63" t="s">
        <v>406</v>
      </c>
      <c r="G63" t="s">
        <v>407</v>
      </c>
      <c r="H63" t="s">
        <v>408</v>
      </c>
      <c r="I63" t="s">
        <v>409</v>
      </c>
      <c r="K63">
        <v>23001230</v>
      </c>
      <c r="L63">
        <v>232670154</v>
      </c>
      <c r="M63" s="288">
        <v>45544</v>
      </c>
      <c r="N63">
        <v>24</v>
      </c>
      <c r="O63">
        <v>2023</v>
      </c>
      <c r="P63" t="s">
        <v>410</v>
      </c>
      <c r="Q63">
        <v>1</v>
      </c>
      <c r="R63" t="s">
        <v>444</v>
      </c>
      <c r="S63" t="s">
        <v>485</v>
      </c>
      <c r="T63">
        <v>0</v>
      </c>
      <c r="U63">
        <v>2</v>
      </c>
      <c r="V63" t="s">
        <v>459</v>
      </c>
      <c r="W63" t="s">
        <v>413</v>
      </c>
      <c r="X63" t="s">
        <v>414</v>
      </c>
      <c r="Y63" t="s">
        <v>503</v>
      </c>
      <c r="Z63" t="s">
        <v>615</v>
      </c>
      <c r="AA63" t="s">
        <v>504</v>
      </c>
      <c r="AC63" t="s">
        <v>450</v>
      </c>
      <c r="AD63" t="s">
        <v>419</v>
      </c>
      <c r="AE63" t="s">
        <v>420</v>
      </c>
      <c r="AF63" t="s">
        <v>616</v>
      </c>
      <c r="AG63" t="s">
        <v>421</v>
      </c>
      <c r="AH63" t="s">
        <v>461</v>
      </c>
      <c r="AI63" t="s">
        <v>430</v>
      </c>
      <c r="AJ63" t="s">
        <v>617</v>
      </c>
      <c r="AK63" t="s">
        <v>466</v>
      </c>
      <c r="AL63" t="s">
        <v>453</v>
      </c>
      <c r="AM63">
        <v>53</v>
      </c>
      <c r="AN63" t="s">
        <v>515</v>
      </c>
      <c r="AO63" t="s">
        <v>529</v>
      </c>
      <c r="AP63" t="s">
        <v>436</v>
      </c>
      <c r="AT63" t="s">
        <v>426</v>
      </c>
      <c r="AU63" t="s">
        <v>427</v>
      </c>
      <c r="AW63" t="s">
        <v>428</v>
      </c>
      <c r="AX63" t="s">
        <v>482</v>
      </c>
      <c r="AY63" t="s">
        <v>430</v>
      </c>
      <c r="AZ63" t="s">
        <v>431</v>
      </c>
      <c r="BA63" t="s">
        <v>432</v>
      </c>
      <c r="BB63" t="s">
        <v>453</v>
      </c>
      <c r="BC63">
        <v>44</v>
      </c>
      <c r="BD63" t="s">
        <v>434</v>
      </c>
      <c r="BE63" t="s">
        <v>515</v>
      </c>
      <c r="BF63" t="s">
        <v>559</v>
      </c>
      <c r="BJ63" t="s">
        <v>426</v>
      </c>
      <c r="BK63" t="s">
        <v>484</v>
      </c>
      <c r="BM63" t="s">
        <v>428</v>
      </c>
      <c r="BN63" t="s">
        <v>482</v>
      </c>
      <c r="CU63">
        <v>519234.2403</v>
      </c>
      <c r="CV63">
        <v>4948727.1412000004</v>
      </c>
      <c r="CW63">
        <v>44.691666390000002</v>
      </c>
      <c r="CX63">
        <v>-92.757264019999994</v>
      </c>
      <c r="CY63" s="287">
        <v>45193.076388888891</v>
      </c>
      <c r="CZ63" t="s">
        <v>438</v>
      </c>
      <c r="DA63" t="s">
        <v>439</v>
      </c>
      <c r="DB63" t="s">
        <v>440</v>
      </c>
      <c r="DC63" t="s">
        <v>441</v>
      </c>
      <c r="DD63" t="s">
        <v>618</v>
      </c>
    </row>
    <row r="64" spans="1:108" x14ac:dyDescent="0.25">
      <c r="A64">
        <v>892015</v>
      </c>
      <c r="B64" t="s">
        <v>405</v>
      </c>
      <c r="C64">
        <v>54</v>
      </c>
      <c r="D64">
        <v>4.9000000000000004</v>
      </c>
      <c r="E64" t="s">
        <v>406</v>
      </c>
      <c r="G64" t="s">
        <v>407</v>
      </c>
      <c r="H64" t="s">
        <v>408</v>
      </c>
      <c r="I64" t="s">
        <v>409</v>
      </c>
      <c r="K64">
        <v>21000202</v>
      </c>
      <c r="L64">
        <v>210520015</v>
      </c>
      <c r="M64" s="288">
        <v>45324</v>
      </c>
      <c r="N64">
        <v>21</v>
      </c>
      <c r="O64">
        <v>2021</v>
      </c>
      <c r="P64" t="s">
        <v>410</v>
      </c>
      <c r="Q64">
        <v>2</v>
      </c>
      <c r="R64" t="s">
        <v>444</v>
      </c>
      <c r="S64" t="s">
        <v>411</v>
      </c>
      <c r="T64">
        <v>0</v>
      </c>
      <c r="U64">
        <v>1</v>
      </c>
      <c r="W64" t="s">
        <v>469</v>
      </c>
      <c r="X64" t="s">
        <v>476</v>
      </c>
      <c r="Y64" t="s">
        <v>503</v>
      </c>
      <c r="Z64" t="s">
        <v>615</v>
      </c>
      <c r="AA64" t="s">
        <v>449</v>
      </c>
      <c r="AC64" t="s">
        <v>450</v>
      </c>
      <c r="AD64" t="s">
        <v>419</v>
      </c>
      <c r="AE64" t="s">
        <v>420</v>
      </c>
      <c r="AG64" t="s">
        <v>421</v>
      </c>
      <c r="AH64" t="s">
        <v>451</v>
      </c>
      <c r="AI64" t="s">
        <v>430</v>
      </c>
      <c r="AJ64" t="s">
        <v>462</v>
      </c>
      <c r="AK64" t="s">
        <v>432</v>
      </c>
      <c r="AL64" t="s">
        <v>453</v>
      </c>
      <c r="AM64">
        <v>29</v>
      </c>
      <c r="AN64" t="s">
        <v>434</v>
      </c>
      <c r="AO64" t="s">
        <v>515</v>
      </c>
      <c r="AP64" t="s">
        <v>553</v>
      </c>
      <c r="AT64" t="s">
        <v>426</v>
      </c>
      <c r="AU64" t="s">
        <v>427</v>
      </c>
      <c r="AW64" t="s">
        <v>551</v>
      </c>
      <c r="AX64" t="s">
        <v>482</v>
      </c>
      <c r="CU64">
        <v>519264.77960000001</v>
      </c>
      <c r="CV64">
        <v>4948640.9619000005</v>
      </c>
      <c r="CW64">
        <v>44.690889759999997</v>
      </c>
      <c r="CX64">
        <v>-92.756881849999999</v>
      </c>
      <c r="CY64" s="287">
        <v>44248.083333333336</v>
      </c>
      <c r="CZ64" t="s">
        <v>438</v>
      </c>
      <c r="DA64" t="s">
        <v>439</v>
      </c>
      <c r="DB64" t="s">
        <v>440</v>
      </c>
      <c r="DC64" t="s">
        <v>441</v>
      </c>
      <c r="DD64" t="s">
        <v>619</v>
      </c>
    </row>
    <row r="65" spans="1:108" x14ac:dyDescent="0.25">
      <c r="A65">
        <v>939356</v>
      </c>
      <c r="B65" t="s">
        <v>405</v>
      </c>
      <c r="C65">
        <v>54</v>
      </c>
      <c r="D65">
        <v>5.3220000000000001</v>
      </c>
      <c r="E65" t="s">
        <v>406</v>
      </c>
      <c r="G65" t="s">
        <v>407</v>
      </c>
      <c r="H65" t="s">
        <v>408</v>
      </c>
      <c r="I65" t="s">
        <v>409</v>
      </c>
      <c r="K65">
        <v>21001129</v>
      </c>
      <c r="L65">
        <v>212520003</v>
      </c>
      <c r="M65" s="288">
        <v>45544</v>
      </c>
      <c r="N65">
        <v>9</v>
      </c>
      <c r="O65">
        <v>2021</v>
      </c>
      <c r="P65" t="s">
        <v>443</v>
      </c>
      <c r="Q65">
        <v>3</v>
      </c>
      <c r="S65" t="s">
        <v>411</v>
      </c>
      <c r="T65">
        <v>0</v>
      </c>
      <c r="U65">
        <v>1</v>
      </c>
      <c r="W65" t="s">
        <v>518</v>
      </c>
      <c r="X65" t="s">
        <v>414</v>
      </c>
      <c r="Y65" t="s">
        <v>503</v>
      </c>
      <c r="Z65" t="s">
        <v>519</v>
      </c>
      <c r="AA65" t="s">
        <v>449</v>
      </c>
      <c r="AC65" t="s">
        <v>450</v>
      </c>
      <c r="AD65" t="s">
        <v>419</v>
      </c>
      <c r="AE65" t="s">
        <v>420</v>
      </c>
      <c r="AG65" t="s">
        <v>421</v>
      </c>
      <c r="AH65" t="s">
        <v>480</v>
      </c>
      <c r="AI65" t="s">
        <v>430</v>
      </c>
      <c r="AJ65" t="s">
        <v>462</v>
      </c>
      <c r="AK65" t="s">
        <v>466</v>
      </c>
      <c r="AL65" t="s">
        <v>453</v>
      </c>
      <c r="AM65">
        <v>55</v>
      </c>
      <c r="AN65" t="s">
        <v>454</v>
      </c>
      <c r="AO65" t="s">
        <v>435</v>
      </c>
      <c r="AP65" t="s">
        <v>436</v>
      </c>
      <c r="AT65" t="s">
        <v>426</v>
      </c>
      <c r="AU65" t="s">
        <v>427</v>
      </c>
      <c r="AV65">
        <v>55</v>
      </c>
      <c r="AW65" t="s">
        <v>428</v>
      </c>
      <c r="AX65" t="s">
        <v>429</v>
      </c>
      <c r="CU65">
        <v>519652.54629999999</v>
      </c>
      <c r="CV65">
        <v>4948106.5669</v>
      </c>
      <c r="CW65">
        <v>44.686068429999999</v>
      </c>
      <c r="CX65">
        <v>-92.752008720000006</v>
      </c>
      <c r="CY65" s="287">
        <v>44448.161111111112</v>
      </c>
      <c r="CZ65" t="s">
        <v>438</v>
      </c>
      <c r="DA65" t="s">
        <v>439</v>
      </c>
      <c r="DB65" t="s">
        <v>440</v>
      </c>
      <c r="DC65" t="s">
        <v>441</v>
      </c>
      <c r="DD65" t="s">
        <v>623</v>
      </c>
    </row>
    <row r="66" spans="1:108" x14ac:dyDescent="0.25">
      <c r="A66">
        <v>747628</v>
      </c>
      <c r="B66" t="s">
        <v>405</v>
      </c>
      <c r="C66">
        <v>54</v>
      </c>
      <c r="D66">
        <v>5.4690000000000003</v>
      </c>
      <c r="E66" t="s">
        <v>406</v>
      </c>
      <c r="G66" t="s">
        <v>407</v>
      </c>
      <c r="H66" t="s">
        <v>408</v>
      </c>
      <c r="I66" t="s">
        <v>409</v>
      </c>
      <c r="K66">
        <v>19002407</v>
      </c>
      <c r="L66">
        <v>192580145</v>
      </c>
      <c r="M66" s="288">
        <v>45544</v>
      </c>
      <c r="N66">
        <v>15</v>
      </c>
      <c r="O66">
        <v>2019</v>
      </c>
      <c r="P66" t="s">
        <v>410</v>
      </c>
      <c r="Q66">
        <v>21</v>
      </c>
      <c r="R66" t="s">
        <v>484</v>
      </c>
      <c r="S66" t="s">
        <v>411</v>
      </c>
      <c r="T66">
        <v>0</v>
      </c>
      <c r="U66">
        <v>1</v>
      </c>
      <c r="W66" t="s">
        <v>550</v>
      </c>
      <c r="X66" t="s">
        <v>447</v>
      </c>
      <c r="Y66" t="s">
        <v>503</v>
      </c>
      <c r="Z66" t="s">
        <v>519</v>
      </c>
      <c r="AA66" t="s">
        <v>449</v>
      </c>
      <c r="AC66" t="s">
        <v>450</v>
      </c>
      <c r="AD66" t="s">
        <v>419</v>
      </c>
      <c r="AE66" t="s">
        <v>420</v>
      </c>
      <c r="AG66" t="s">
        <v>421</v>
      </c>
      <c r="AH66" t="s">
        <v>451</v>
      </c>
      <c r="AI66" t="s">
        <v>430</v>
      </c>
      <c r="AJ66" t="s">
        <v>462</v>
      </c>
      <c r="AK66" t="s">
        <v>432</v>
      </c>
      <c r="AL66" t="s">
        <v>624</v>
      </c>
      <c r="AM66">
        <v>31</v>
      </c>
      <c r="AN66" t="s">
        <v>434</v>
      </c>
      <c r="AO66" t="s">
        <v>435</v>
      </c>
      <c r="AP66" t="s">
        <v>492</v>
      </c>
      <c r="AT66" t="s">
        <v>426</v>
      </c>
      <c r="AU66" t="s">
        <v>427</v>
      </c>
      <c r="AV66">
        <v>55</v>
      </c>
      <c r="AW66" t="s">
        <v>520</v>
      </c>
      <c r="AX66" t="s">
        <v>567</v>
      </c>
      <c r="CU66">
        <v>519611.07699999999</v>
      </c>
      <c r="CV66">
        <v>4947874.9776999997</v>
      </c>
      <c r="CW66">
        <v>44.683984719999998</v>
      </c>
      <c r="CX66">
        <v>-92.7525409</v>
      </c>
      <c r="CY66" s="287">
        <v>43723.882638888892</v>
      </c>
      <c r="CZ66" t="s">
        <v>438</v>
      </c>
      <c r="DA66" t="s">
        <v>439</v>
      </c>
      <c r="DB66" t="s">
        <v>511</v>
      </c>
      <c r="DC66" t="s">
        <v>512</v>
      </c>
      <c r="DD66" t="s">
        <v>625</v>
      </c>
    </row>
    <row r="67" spans="1:108" x14ac:dyDescent="0.25">
      <c r="A67">
        <v>982741</v>
      </c>
      <c r="B67" t="s">
        <v>405</v>
      </c>
      <c r="C67">
        <v>54</v>
      </c>
      <c r="D67">
        <v>5.476</v>
      </c>
      <c r="E67" t="s">
        <v>406</v>
      </c>
      <c r="G67" t="s">
        <v>407</v>
      </c>
      <c r="H67" t="s">
        <v>408</v>
      </c>
      <c r="I67" t="s">
        <v>409</v>
      </c>
      <c r="K67">
        <v>21001646</v>
      </c>
      <c r="L67">
        <v>213560128</v>
      </c>
      <c r="M67" s="288">
        <v>45638</v>
      </c>
      <c r="N67">
        <v>22</v>
      </c>
      <c r="O67">
        <v>2021</v>
      </c>
      <c r="P67" t="s">
        <v>549</v>
      </c>
      <c r="Q67">
        <v>14</v>
      </c>
      <c r="S67" t="s">
        <v>411</v>
      </c>
      <c r="T67">
        <v>0</v>
      </c>
      <c r="U67">
        <v>2</v>
      </c>
      <c r="V67" t="s">
        <v>486</v>
      </c>
      <c r="W67" t="s">
        <v>413</v>
      </c>
      <c r="X67" t="s">
        <v>414</v>
      </c>
      <c r="Y67" t="s">
        <v>626</v>
      </c>
      <c r="Z67" t="s">
        <v>416</v>
      </c>
      <c r="AA67" t="s">
        <v>449</v>
      </c>
      <c r="AC67" t="s">
        <v>450</v>
      </c>
      <c r="AD67" t="s">
        <v>419</v>
      </c>
      <c r="AE67" t="s">
        <v>420</v>
      </c>
      <c r="AF67" t="s">
        <v>627</v>
      </c>
      <c r="AG67" t="s">
        <v>421</v>
      </c>
      <c r="AH67" t="s">
        <v>628</v>
      </c>
      <c r="AI67" t="s">
        <v>430</v>
      </c>
      <c r="AJ67" t="s">
        <v>431</v>
      </c>
      <c r="AK67" t="s">
        <v>432</v>
      </c>
      <c r="AL67" t="s">
        <v>433</v>
      </c>
      <c r="AM67">
        <v>39</v>
      </c>
      <c r="AN67" t="s">
        <v>434</v>
      </c>
      <c r="AO67" t="s">
        <v>435</v>
      </c>
      <c r="AP67" t="s">
        <v>487</v>
      </c>
      <c r="AT67" t="s">
        <v>426</v>
      </c>
      <c r="AU67" t="s">
        <v>427</v>
      </c>
      <c r="AV67">
        <v>55</v>
      </c>
      <c r="AW67" t="s">
        <v>428</v>
      </c>
      <c r="AX67" t="s">
        <v>567</v>
      </c>
      <c r="AY67" t="s">
        <v>430</v>
      </c>
      <c r="AZ67" t="s">
        <v>431</v>
      </c>
      <c r="BA67" t="s">
        <v>466</v>
      </c>
      <c r="BB67" t="s">
        <v>453</v>
      </c>
      <c r="BC67">
        <v>84</v>
      </c>
      <c r="BD67" t="s">
        <v>434</v>
      </c>
      <c r="BE67" t="s">
        <v>435</v>
      </c>
      <c r="BF67" t="s">
        <v>436</v>
      </c>
      <c r="BJ67" t="s">
        <v>426</v>
      </c>
      <c r="BK67" t="s">
        <v>427</v>
      </c>
      <c r="BL67">
        <v>55</v>
      </c>
      <c r="BM67" t="s">
        <v>428</v>
      </c>
      <c r="BN67" t="s">
        <v>482</v>
      </c>
      <c r="CU67">
        <v>519608.73790000001</v>
      </c>
      <c r="CV67">
        <v>4947863.1029000003</v>
      </c>
      <c r="CW67">
        <v>44.683877879999997</v>
      </c>
      <c r="CX67">
        <v>-92.75257087</v>
      </c>
      <c r="CY67" s="287">
        <v>44552.59375</v>
      </c>
      <c r="CZ67" t="s">
        <v>438</v>
      </c>
      <c r="DA67" t="s">
        <v>439</v>
      </c>
      <c r="DB67" t="s">
        <v>440</v>
      </c>
      <c r="DC67" t="s">
        <v>441</v>
      </c>
      <c r="DD67" t="s">
        <v>629</v>
      </c>
    </row>
    <row r="68" spans="1:108" x14ac:dyDescent="0.25">
      <c r="A68">
        <v>868959</v>
      </c>
      <c r="B68" t="s">
        <v>405</v>
      </c>
      <c r="C68">
        <v>54</v>
      </c>
      <c r="D68">
        <v>5.9420000000000002</v>
      </c>
      <c r="E68" t="s">
        <v>406</v>
      </c>
      <c r="G68" t="s">
        <v>407</v>
      </c>
      <c r="H68" t="s">
        <v>408</v>
      </c>
      <c r="I68" t="s">
        <v>409</v>
      </c>
      <c r="K68">
        <v>20001624</v>
      </c>
      <c r="L68">
        <v>203530175</v>
      </c>
      <c r="M68" s="288">
        <v>45638</v>
      </c>
      <c r="N68">
        <v>18</v>
      </c>
      <c r="O68">
        <v>2020</v>
      </c>
      <c r="P68" t="s">
        <v>501</v>
      </c>
      <c r="Q68">
        <v>22</v>
      </c>
      <c r="R68" t="s">
        <v>576</v>
      </c>
      <c r="S68" t="s">
        <v>411</v>
      </c>
      <c r="T68">
        <v>0</v>
      </c>
      <c r="U68">
        <v>2</v>
      </c>
      <c r="V68" t="s">
        <v>486</v>
      </c>
      <c r="W68" t="s">
        <v>413</v>
      </c>
      <c r="X68" t="s">
        <v>414</v>
      </c>
      <c r="Y68" t="s">
        <v>503</v>
      </c>
      <c r="Z68" t="s">
        <v>519</v>
      </c>
      <c r="AA68" t="s">
        <v>472</v>
      </c>
      <c r="AC68" t="s">
        <v>472</v>
      </c>
      <c r="AD68" t="s">
        <v>419</v>
      </c>
      <c r="AE68" t="s">
        <v>420</v>
      </c>
      <c r="AG68" t="s">
        <v>421</v>
      </c>
      <c r="AH68" t="s">
        <v>486</v>
      </c>
      <c r="AI68" t="s">
        <v>430</v>
      </c>
      <c r="AJ68" t="s">
        <v>465</v>
      </c>
      <c r="AK68" t="s">
        <v>466</v>
      </c>
      <c r="AL68" t="s">
        <v>453</v>
      </c>
      <c r="AM68">
        <v>42</v>
      </c>
      <c r="AN68" t="s">
        <v>454</v>
      </c>
      <c r="AO68" t="s">
        <v>435</v>
      </c>
      <c r="AP68" t="s">
        <v>436</v>
      </c>
      <c r="AT68" t="s">
        <v>426</v>
      </c>
      <c r="AU68" t="s">
        <v>427</v>
      </c>
      <c r="AV68">
        <v>55</v>
      </c>
      <c r="AW68" t="s">
        <v>520</v>
      </c>
      <c r="AX68" t="s">
        <v>567</v>
      </c>
      <c r="AY68" t="s">
        <v>430</v>
      </c>
      <c r="AZ68" t="s">
        <v>462</v>
      </c>
      <c r="BA68" t="s">
        <v>515</v>
      </c>
      <c r="BB68" t="s">
        <v>515</v>
      </c>
      <c r="BC68">
        <v>43</v>
      </c>
      <c r="BD68" t="s">
        <v>434</v>
      </c>
      <c r="BE68" t="s">
        <v>515</v>
      </c>
      <c r="BF68" t="s">
        <v>515</v>
      </c>
      <c r="BJ68" t="s">
        <v>426</v>
      </c>
      <c r="BK68" t="s">
        <v>427</v>
      </c>
      <c r="BL68">
        <v>55</v>
      </c>
      <c r="BM68" t="s">
        <v>520</v>
      </c>
      <c r="BN68" t="s">
        <v>567</v>
      </c>
      <c r="CU68">
        <v>519469.45270000002</v>
      </c>
      <c r="CV68">
        <v>4947164.1068000002</v>
      </c>
      <c r="CW68">
        <v>44.677589070000003</v>
      </c>
      <c r="CX68">
        <v>-92.754355039999993</v>
      </c>
      <c r="CY68" s="287">
        <v>44183.955555555556</v>
      </c>
      <c r="CZ68" t="s">
        <v>438</v>
      </c>
      <c r="DA68" t="s">
        <v>439</v>
      </c>
      <c r="DB68" t="s">
        <v>440</v>
      </c>
      <c r="DC68" t="s">
        <v>441</v>
      </c>
      <c r="DD68" t="s">
        <v>636</v>
      </c>
    </row>
    <row r="69" spans="1:108" x14ac:dyDescent="0.25">
      <c r="A69">
        <v>1003001</v>
      </c>
      <c r="B69" t="s">
        <v>405</v>
      </c>
      <c r="C69">
        <v>54</v>
      </c>
      <c r="D69">
        <v>5.9950000000000001</v>
      </c>
      <c r="E69" t="s">
        <v>406</v>
      </c>
      <c r="G69" t="s">
        <v>407</v>
      </c>
      <c r="H69" t="s">
        <v>408</v>
      </c>
      <c r="I69" t="s">
        <v>409</v>
      </c>
      <c r="K69">
        <v>22000120</v>
      </c>
      <c r="L69">
        <v>220290082</v>
      </c>
      <c r="M69" s="288">
        <v>45292</v>
      </c>
      <c r="N69">
        <v>29</v>
      </c>
      <c r="O69">
        <v>2022</v>
      </c>
      <c r="P69" t="s">
        <v>458</v>
      </c>
      <c r="Q69">
        <v>23</v>
      </c>
      <c r="S69" t="s">
        <v>411</v>
      </c>
      <c r="T69">
        <v>0</v>
      </c>
      <c r="U69">
        <v>1</v>
      </c>
      <c r="W69" t="s">
        <v>550</v>
      </c>
      <c r="X69" t="s">
        <v>447</v>
      </c>
      <c r="Y69" t="s">
        <v>503</v>
      </c>
      <c r="Z69" t="s">
        <v>519</v>
      </c>
      <c r="AA69" t="s">
        <v>449</v>
      </c>
      <c r="AC69" t="s">
        <v>450</v>
      </c>
      <c r="AD69" t="s">
        <v>419</v>
      </c>
      <c r="AE69" t="s">
        <v>420</v>
      </c>
      <c r="AG69" t="s">
        <v>421</v>
      </c>
      <c r="AH69" t="s">
        <v>451</v>
      </c>
      <c r="AI69" t="s">
        <v>430</v>
      </c>
      <c r="AJ69" t="s">
        <v>465</v>
      </c>
      <c r="AK69" t="s">
        <v>432</v>
      </c>
      <c r="AL69" t="s">
        <v>453</v>
      </c>
      <c r="AM69">
        <v>42</v>
      </c>
      <c r="AN69" t="s">
        <v>434</v>
      </c>
      <c r="AO69" t="s">
        <v>435</v>
      </c>
      <c r="AP69" t="s">
        <v>455</v>
      </c>
      <c r="AT69" t="s">
        <v>426</v>
      </c>
      <c r="AU69" t="s">
        <v>427</v>
      </c>
      <c r="AV69">
        <v>55</v>
      </c>
      <c r="AW69" t="s">
        <v>551</v>
      </c>
      <c r="AX69" t="s">
        <v>482</v>
      </c>
      <c r="CU69">
        <v>519533.82010000001</v>
      </c>
      <c r="CV69">
        <v>4947109.7280999999</v>
      </c>
      <c r="CW69">
        <v>44.677097779999997</v>
      </c>
      <c r="CX69">
        <v>-92.753544980000001</v>
      </c>
      <c r="CY69" s="287">
        <v>44590.976388888892</v>
      </c>
      <c r="CZ69" t="s">
        <v>438</v>
      </c>
      <c r="DA69" t="s">
        <v>439</v>
      </c>
      <c r="DB69" t="s">
        <v>440</v>
      </c>
      <c r="DC69" t="s">
        <v>441</v>
      </c>
      <c r="DD69" t="s">
        <v>637</v>
      </c>
    </row>
    <row r="70" spans="1:108" x14ac:dyDescent="0.25">
      <c r="A70">
        <v>1148431</v>
      </c>
      <c r="B70" t="s">
        <v>405</v>
      </c>
      <c r="C70">
        <v>54</v>
      </c>
      <c r="D70">
        <v>6.0670000000000002</v>
      </c>
      <c r="E70" t="s">
        <v>406</v>
      </c>
      <c r="G70" t="s">
        <v>407</v>
      </c>
      <c r="H70" t="s">
        <v>408</v>
      </c>
      <c r="I70" t="s">
        <v>409</v>
      </c>
      <c r="K70">
        <v>23001573</v>
      </c>
      <c r="L70">
        <v>233420011</v>
      </c>
      <c r="M70" s="288">
        <v>45638</v>
      </c>
      <c r="N70">
        <v>8</v>
      </c>
      <c r="O70">
        <v>2023</v>
      </c>
      <c r="P70" t="s">
        <v>501</v>
      </c>
      <c r="Q70">
        <v>7</v>
      </c>
      <c r="S70" t="s">
        <v>411</v>
      </c>
      <c r="T70">
        <v>0</v>
      </c>
      <c r="U70">
        <v>1</v>
      </c>
      <c r="W70" t="s">
        <v>550</v>
      </c>
      <c r="X70" t="s">
        <v>529</v>
      </c>
      <c r="Y70" t="s">
        <v>503</v>
      </c>
      <c r="Z70" t="s">
        <v>448</v>
      </c>
      <c r="AA70" t="s">
        <v>449</v>
      </c>
      <c r="AC70" t="s">
        <v>460</v>
      </c>
      <c r="AD70" t="s">
        <v>419</v>
      </c>
      <c r="AE70" t="s">
        <v>420</v>
      </c>
      <c r="AG70" t="s">
        <v>421</v>
      </c>
      <c r="AH70" t="s">
        <v>451</v>
      </c>
      <c r="AI70" t="s">
        <v>430</v>
      </c>
      <c r="AJ70" t="s">
        <v>462</v>
      </c>
      <c r="AK70" t="s">
        <v>466</v>
      </c>
      <c r="AL70" t="s">
        <v>463</v>
      </c>
      <c r="AM70">
        <v>22</v>
      </c>
      <c r="AN70" t="s">
        <v>454</v>
      </c>
      <c r="AO70" t="s">
        <v>435</v>
      </c>
      <c r="AP70" t="s">
        <v>436</v>
      </c>
      <c r="AT70" t="s">
        <v>426</v>
      </c>
      <c r="AU70" t="s">
        <v>427</v>
      </c>
      <c r="AV70">
        <v>55</v>
      </c>
      <c r="AW70" t="s">
        <v>551</v>
      </c>
      <c r="AX70" t="s">
        <v>567</v>
      </c>
      <c r="CU70">
        <v>519631.4584</v>
      </c>
      <c r="CV70">
        <v>4947046.7012999998</v>
      </c>
      <c r="CW70">
        <v>44.676527729999997</v>
      </c>
      <c r="CX70">
        <v>-92.752315479999993</v>
      </c>
      <c r="CY70" s="287">
        <v>45268.305555555555</v>
      </c>
      <c r="CZ70" t="s">
        <v>438</v>
      </c>
      <c r="DA70" t="s">
        <v>439</v>
      </c>
      <c r="DB70" t="s">
        <v>440</v>
      </c>
      <c r="DC70" t="s">
        <v>441</v>
      </c>
      <c r="DD70" t="s">
        <v>638</v>
      </c>
    </row>
    <row r="71" spans="1:108" x14ac:dyDescent="0.25">
      <c r="A71">
        <v>976730</v>
      </c>
      <c r="B71" t="s">
        <v>405</v>
      </c>
      <c r="C71">
        <v>54</v>
      </c>
      <c r="D71">
        <v>6.17</v>
      </c>
      <c r="E71" t="s">
        <v>406</v>
      </c>
      <c r="G71" t="s">
        <v>407</v>
      </c>
      <c r="H71" t="s">
        <v>408</v>
      </c>
      <c r="I71" t="s">
        <v>409</v>
      </c>
      <c r="K71">
        <v>21001541</v>
      </c>
      <c r="L71">
        <v>213350085</v>
      </c>
      <c r="M71" s="288">
        <v>45638</v>
      </c>
      <c r="N71">
        <v>1</v>
      </c>
      <c r="O71">
        <v>2021</v>
      </c>
      <c r="P71" t="s">
        <v>549</v>
      </c>
      <c r="Q71">
        <v>7</v>
      </c>
      <c r="S71" t="s">
        <v>411</v>
      </c>
      <c r="T71">
        <v>0</v>
      </c>
      <c r="U71">
        <v>1</v>
      </c>
      <c r="W71" t="s">
        <v>550</v>
      </c>
      <c r="X71" t="s">
        <v>414</v>
      </c>
      <c r="Y71" t="s">
        <v>503</v>
      </c>
      <c r="Z71" t="s">
        <v>448</v>
      </c>
      <c r="AA71" t="s">
        <v>449</v>
      </c>
      <c r="AC71" t="s">
        <v>460</v>
      </c>
      <c r="AD71" t="s">
        <v>419</v>
      </c>
      <c r="AE71" t="s">
        <v>420</v>
      </c>
      <c r="AG71" t="s">
        <v>421</v>
      </c>
      <c r="AH71" t="s">
        <v>451</v>
      </c>
      <c r="AI71" t="s">
        <v>430</v>
      </c>
      <c r="AJ71" t="s">
        <v>462</v>
      </c>
      <c r="AK71" t="s">
        <v>466</v>
      </c>
      <c r="AL71" t="s">
        <v>566</v>
      </c>
      <c r="AM71">
        <v>78</v>
      </c>
      <c r="AN71" t="s">
        <v>454</v>
      </c>
      <c r="AO71" t="s">
        <v>435</v>
      </c>
      <c r="AP71" t="s">
        <v>464</v>
      </c>
      <c r="AT71" t="s">
        <v>426</v>
      </c>
      <c r="AU71" t="s">
        <v>427</v>
      </c>
      <c r="AV71">
        <v>55</v>
      </c>
      <c r="AW71" t="s">
        <v>551</v>
      </c>
      <c r="AX71" t="s">
        <v>567</v>
      </c>
      <c r="CU71">
        <v>519753.71899999998</v>
      </c>
      <c r="CV71">
        <v>4946936.5</v>
      </c>
      <c r="CW71">
        <v>44.6755323</v>
      </c>
      <c r="CX71">
        <v>-92.750777170000006</v>
      </c>
      <c r="CY71" s="287">
        <v>44531.322916666664</v>
      </c>
      <c r="CZ71" t="s">
        <v>438</v>
      </c>
      <c r="DA71" t="s">
        <v>439</v>
      </c>
      <c r="DB71" t="s">
        <v>440</v>
      </c>
      <c r="DC71" t="s">
        <v>441</v>
      </c>
      <c r="DD71" t="s">
        <v>639</v>
      </c>
    </row>
    <row r="72" spans="1:108" x14ac:dyDescent="0.25">
      <c r="A72">
        <v>1058165</v>
      </c>
      <c r="B72" t="s">
        <v>405</v>
      </c>
      <c r="C72">
        <v>54</v>
      </c>
      <c r="D72">
        <v>6.3819999999999997</v>
      </c>
      <c r="E72" t="s">
        <v>406</v>
      </c>
      <c r="G72" t="s">
        <v>407</v>
      </c>
      <c r="H72" t="s">
        <v>408</v>
      </c>
      <c r="I72" t="s">
        <v>409</v>
      </c>
      <c r="K72">
        <v>22001483</v>
      </c>
      <c r="L72">
        <v>223180579</v>
      </c>
      <c r="M72" s="288">
        <v>45607</v>
      </c>
      <c r="N72">
        <v>14</v>
      </c>
      <c r="O72">
        <v>2022</v>
      </c>
      <c r="P72" t="s">
        <v>517</v>
      </c>
      <c r="Q72">
        <v>15</v>
      </c>
      <c r="S72" t="s">
        <v>411</v>
      </c>
      <c r="T72">
        <v>0</v>
      </c>
      <c r="U72">
        <v>1</v>
      </c>
      <c r="W72" t="s">
        <v>523</v>
      </c>
      <c r="X72" t="s">
        <v>414</v>
      </c>
      <c r="Y72" t="s">
        <v>503</v>
      </c>
      <c r="Z72" t="s">
        <v>416</v>
      </c>
      <c r="AA72" t="s">
        <v>561</v>
      </c>
      <c r="AB72" t="s">
        <v>472</v>
      </c>
      <c r="AC72" t="s">
        <v>460</v>
      </c>
      <c r="AD72" t="s">
        <v>419</v>
      </c>
      <c r="AE72" t="s">
        <v>420</v>
      </c>
      <c r="AF72" t="s">
        <v>640</v>
      </c>
      <c r="AG72" t="s">
        <v>421</v>
      </c>
      <c r="AH72" t="s">
        <v>451</v>
      </c>
      <c r="AI72" t="s">
        <v>430</v>
      </c>
      <c r="AJ72" t="s">
        <v>462</v>
      </c>
      <c r="AK72" t="s">
        <v>432</v>
      </c>
      <c r="AL72" t="s">
        <v>453</v>
      </c>
      <c r="AM72">
        <v>48</v>
      </c>
      <c r="AN72" t="s">
        <v>434</v>
      </c>
      <c r="AO72" t="s">
        <v>435</v>
      </c>
      <c r="AP72" t="s">
        <v>473</v>
      </c>
      <c r="AT72" t="s">
        <v>426</v>
      </c>
      <c r="AU72" t="s">
        <v>427</v>
      </c>
      <c r="AV72">
        <v>55</v>
      </c>
      <c r="AW72" t="s">
        <v>428</v>
      </c>
      <c r="AX72" t="s">
        <v>429</v>
      </c>
      <c r="CU72">
        <v>519899.44089999999</v>
      </c>
      <c r="CV72">
        <v>4946627.1796000004</v>
      </c>
      <c r="CW72">
        <v>44.672743660000002</v>
      </c>
      <c r="CX72">
        <v>-92.748950660000006</v>
      </c>
      <c r="CY72" s="287">
        <v>44879.625</v>
      </c>
      <c r="CZ72" t="s">
        <v>438</v>
      </c>
      <c r="DA72" t="s">
        <v>439</v>
      </c>
      <c r="DB72" t="s">
        <v>440</v>
      </c>
      <c r="DC72" t="s">
        <v>441</v>
      </c>
      <c r="DD72" t="s">
        <v>641</v>
      </c>
    </row>
    <row r="73" spans="1:108" x14ac:dyDescent="0.25">
      <c r="A73">
        <v>689999</v>
      </c>
      <c r="B73" t="s">
        <v>405</v>
      </c>
      <c r="C73">
        <v>54</v>
      </c>
      <c r="D73">
        <v>6.9020000000000001</v>
      </c>
      <c r="E73" t="s">
        <v>406</v>
      </c>
      <c r="G73" t="s">
        <v>407</v>
      </c>
      <c r="H73" t="s">
        <v>408</v>
      </c>
      <c r="I73" t="s">
        <v>409</v>
      </c>
      <c r="K73">
        <v>19000259</v>
      </c>
      <c r="L73">
        <v>190510107</v>
      </c>
      <c r="M73" s="288">
        <v>45324</v>
      </c>
      <c r="N73">
        <v>20</v>
      </c>
      <c r="O73">
        <v>2019</v>
      </c>
      <c r="P73" t="s">
        <v>549</v>
      </c>
      <c r="Q73">
        <v>11</v>
      </c>
      <c r="S73" t="s">
        <v>411</v>
      </c>
      <c r="T73">
        <v>0</v>
      </c>
      <c r="U73">
        <v>1</v>
      </c>
      <c r="W73" t="s">
        <v>550</v>
      </c>
      <c r="X73" t="s">
        <v>470</v>
      </c>
      <c r="Y73" t="s">
        <v>503</v>
      </c>
      <c r="Z73" t="s">
        <v>416</v>
      </c>
      <c r="AA73" t="s">
        <v>472</v>
      </c>
      <c r="AB73" t="s">
        <v>562</v>
      </c>
      <c r="AC73" t="s">
        <v>472</v>
      </c>
      <c r="AD73" t="s">
        <v>419</v>
      </c>
      <c r="AE73" t="s">
        <v>420</v>
      </c>
      <c r="AG73" t="s">
        <v>421</v>
      </c>
      <c r="AH73" t="s">
        <v>451</v>
      </c>
      <c r="AI73" t="s">
        <v>430</v>
      </c>
      <c r="AJ73" t="s">
        <v>431</v>
      </c>
      <c r="AK73" t="s">
        <v>466</v>
      </c>
      <c r="AL73" t="s">
        <v>453</v>
      </c>
      <c r="AM73">
        <v>47</v>
      </c>
      <c r="AN73" t="s">
        <v>434</v>
      </c>
      <c r="AO73" t="s">
        <v>435</v>
      </c>
      <c r="AP73" t="s">
        <v>473</v>
      </c>
      <c r="AT73" t="s">
        <v>426</v>
      </c>
      <c r="AU73" t="s">
        <v>427</v>
      </c>
      <c r="AV73">
        <v>55</v>
      </c>
      <c r="AW73" t="s">
        <v>428</v>
      </c>
      <c r="AX73" t="s">
        <v>429</v>
      </c>
      <c r="CU73">
        <v>520326.1925</v>
      </c>
      <c r="CV73">
        <v>4945914.8575999998</v>
      </c>
      <c r="CW73">
        <v>44.666319119999997</v>
      </c>
      <c r="CX73">
        <v>-92.743594970000004</v>
      </c>
      <c r="CY73" s="287">
        <v>43516.461805555555</v>
      </c>
      <c r="CZ73" t="s">
        <v>438</v>
      </c>
      <c r="DA73" t="s">
        <v>439</v>
      </c>
      <c r="DB73" t="s">
        <v>440</v>
      </c>
      <c r="DC73" t="s">
        <v>441</v>
      </c>
      <c r="DD73" t="s">
        <v>642</v>
      </c>
    </row>
    <row r="74" spans="1:108" x14ac:dyDescent="0.25">
      <c r="A74">
        <v>890003</v>
      </c>
      <c r="B74" t="s">
        <v>405</v>
      </c>
      <c r="C74">
        <v>54</v>
      </c>
      <c r="D74">
        <v>6.9080000000000004</v>
      </c>
      <c r="E74" t="s">
        <v>406</v>
      </c>
      <c r="G74" t="s">
        <v>407</v>
      </c>
      <c r="H74" t="s">
        <v>408</v>
      </c>
      <c r="I74" t="s">
        <v>409</v>
      </c>
      <c r="K74">
        <v>21000167</v>
      </c>
      <c r="L74">
        <v>210430165</v>
      </c>
      <c r="M74" s="288">
        <v>45324</v>
      </c>
      <c r="N74">
        <v>12</v>
      </c>
      <c r="O74">
        <v>2021</v>
      </c>
      <c r="P74" t="s">
        <v>501</v>
      </c>
      <c r="Q74">
        <v>13</v>
      </c>
      <c r="R74" t="s">
        <v>576</v>
      </c>
      <c r="S74" t="s">
        <v>411</v>
      </c>
      <c r="T74">
        <v>0</v>
      </c>
      <c r="U74">
        <v>1</v>
      </c>
      <c r="W74" t="s">
        <v>620</v>
      </c>
      <c r="X74" t="s">
        <v>447</v>
      </c>
      <c r="Y74" t="s">
        <v>503</v>
      </c>
      <c r="Z74" t="s">
        <v>416</v>
      </c>
      <c r="AA74" t="s">
        <v>449</v>
      </c>
      <c r="AC74" t="s">
        <v>460</v>
      </c>
      <c r="AD74" t="s">
        <v>419</v>
      </c>
      <c r="AE74" t="s">
        <v>420</v>
      </c>
      <c r="AG74" t="s">
        <v>421</v>
      </c>
      <c r="AH74" t="s">
        <v>451</v>
      </c>
      <c r="AI74" t="s">
        <v>430</v>
      </c>
      <c r="AJ74" t="s">
        <v>462</v>
      </c>
      <c r="AK74" t="s">
        <v>466</v>
      </c>
      <c r="AL74" t="s">
        <v>453</v>
      </c>
      <c r="AM74">
        <v>44</v>
      </c>
      <c r="AN74" t="s">
        <v>434</v>
      </c>
      <c r="AO74" t="s">
        <v>435</v>
      </c>
      <c r="AP74" t="s">
        <v>436</v>
      </c>
      <c r="AT74" t="s">
        <v>426</v>
      </c>
      <c r="AU74" t="s">
        <v>427</v>
      </c>
      <c r="AV74">
        <v>55</v>
      </c>
      <c r="AW74" t="s">
        <v>428</v>
      </c>
      <c r="AX74" t="s">
        <v>429</v>
      </c>
      <c r="CU74">
        <v>520333.50089999998</v>
      </c>
      <c r="CV74">
        <v>4945907.6001000004</v>
      </c>
      <c r="CW74">
        <v>44.666253580000003</v>
      </c>
      <c r="CX74">
        <v>-92.743503059999995</v>
      </c>
      <c r="CY74" s="287">
        <v>44239.552083333336</v>
      </c>
      <c r="CZ74" t="s">
        <v>438</v>
      </c>
      <c r="DA74" t="s">
        <v>439</v>
      </c>
      <c r="DB74" t="s">
        <v>440</v>
      </c>
      <c r="DC74" t="s">
        <v>441</v>
      </c>
      <c r="DD74" t="s">
        <v>643</v>
      </c>
    </row>
    <row r="75" spans="1:108" x14ac:dyDescent="0.25">
      <c r="A75">
        <v>749815</v>
      </c>
      <c r="B75" t="s">
        <v>405</v>
      </c>
      <c r="C75">
        <v>54</v>
      </c>
      <c r="D75">
        <v>6.976</v>
      </c>
      <c r="E75" t="s">
        <v>406</v>
      </c>
      <c r="G75" t="s">
        <v>407</v>
      </c>
      <c r="H75" t="s">
        <v>408</v>
      </c>
      <c r="I75" t="s">
        <v>409</v>
      </c>
      <c r="K75">
        <v>19001379</v>
      </c>
      <c r="L75">
        <v>192640186</v>
      </c>
      <c r="M75" s="288">
        <v>45544</v>
      </c>
      <c r="N75">
        <v>21</v>
      </c>
      <c r="O75">
        <v>2019</v>
      </c>
      <c r="P75" t="s">
        <v>458</v>
      </c>
      <c r="Q75">
        <v>17</v>
      </c>
      <c r="R75" t="s">
        <v>444</v>
      </c>
      <c r="S75" t="s">
        <v>411</v>
      </c>
      <c r="T75">
        <v>0</v>
      </c>
      <c r="U75">
        <v>2</v>
      </c>
      <c r="V75" t="s">
        <v>502</v>
      </c>
      <c r="W75" t="s">
        <v>413</v>
      </c>
      <c r="X75" t="s">
        <v>414</v>
      </c>
      <c r="Y75" t="s">
        <v>503</v>
      </c>
      <c r="Z75" t="s">
        <v>416</v>
      </c>
      <c r="AA75" t="s">
        <v>449</v>
      </c>
      <c r="AC75" t="s">
        <v>450</v>
      </c>
      <c r="AD75" t="s">
        <v>419</v>
      </c>
      <c r="AE75" t="s">
        <v>420</v>
      </c>
      <c r="AG75" t="s">
        <v>421</v>
      </c>
      <c r="AH75" t="s">
        <v>507</v>
      </c>
      <c r="AI75" t="s">
        <v>430</v>
      </c>
      <c r="AJ75" t="s">
        <v>465</v>
      </c>
      <c r="AK75" t="s">
        <v>432</v>
      </c>
      <c r="AL75" t="s">
        <v>526</v>
      </c>
      <c r="AM75">
        <v>69</v>
      </c>
      <c r="AN75" t="s">
        <v>434</v>
      </c>
      <c r="AO75" t="s">
        <v>435</v>
      </c>
      <c r="AP75" t="s">
        <v>436</v>
      </c>
      <c r="AT75" t="s">
        <v>426</v>
      </c>
      <c r="AU75" t="s">
        <v>427</v>
      </c>
      <c r="AV75">
        <v>55</v>
      </c>
      <c r="AW75" t="s">
        <v>428</v>
      </c>
      <c r="AX75" t="s">
        <v>429</v>
      </c>
      <c r="AY75" t="s">
        <v>430</v>
      </c>
      <c r="AZ75" t="s">
        <v>465</v>
      </c>
      <c r="BA75" t="s">
        <v>432</v>
      </c>
      <c r="BB75" t="s">
        <v>453</v>
      </c>
      <c r="BC75">
        <v>41</v>
      </c>
      <c r="BD75" t="s">
        <v>454</v>
      </c>
      <c r="BE75" t="s">
        <v>515</v>
      </c>
      <c r="BF75" t="s">
        <v>515</v>
      </c>
      <c r="BJ75" t="s">
        <v>426</v>
      </c>
      <c r="BK75" t="s">
        <v>427</v>
      </c>
      <c r="BL75">
        <v>55</v>
      </c>
      <c r="BM75" t="s">
        <v>428</v>
      </c>
      <c r="BN75" t="s">
        <v>429</v>
      </c>
      <c r="CU75">
        <v>520410.9853</v>
      </c>
      <c r="CV75">
        <v>4945830.6564999996</v>
      </c>
      <c r="CW75">
        <v>44.665558699999998</v>
      </c>
      <c r="CX75">
        <v>-92.742528680000007</v>
      </c>
      <c r="CY75" s="287">
        <v>43729.708333333336</v>
      </c>
      <c r="CZ75" t="s">
        <v>438</v>
      </c>
      <c r="DA75" t="s">
        <v>439</v>
      </c>
      <c r="DB75" t="s">
        <v>440</v>
      </c>
      <c r="DC75" t="s">
        <v>441</v>
      </c>
      <c r="DD75" t="s">
        <v>644</v>
      </c>
    </row>
    <row r="76" spans="1:108" x14ac:dyDescent="0.25">
      <c r="A76">
        <v>677958</v>
      </c>
      <c r="E76" t="s">
        <v>406</v>
      </c>
      <c r="G76" t="s">
        <v>407</v>
      </c>
      <c r="I76" t="s">
        <v>409</v>
      </c>
      <c r="K76">
        <v>19000120</v>
      </c>
      <c r="L76">
        <v>190220140</v>
      </c>
      <c r="M76" s="288">
        <v>45292</v>
      </c>
      <c r="N76">
        <v>22</v>
      </c>
      <c r="O76">
        <v>2019</v>
      </c>
      <c r="P76" t="s">
        <v>468</v>
      </c>
      <c r="Q76">
        <v>12</v>
      </c>
      <c r="S76" t="s">
        <v>411</v>
      </c>
      <c r="T76">
        <v>0</v>
      </c>
      <c r="U76">
        <v>1</v>
      </c>
      <c r="W76" t="s">
        <v>550</v>
      </c>
      <c r="X76" t="s">
        <v>476</v>
      </c>
      <c r="Y76" t="s">
        <v>503</v>
      </c>
      <c r="Z76" t="s">
        <v>416</v>
      </c>
      <c r="AA76" t="s">
        <v>472</v>
      </c>
      <c r="AB76" t="s">
        <v>561</v>
      </c>
      <c r="AC76" t="s">
        <v>460</v>
      </c>
      <c r="AD76" t="s">
        <v>419</v>
      </c>
      <c r="AE76" t="s">
        <v>940</v>
      </c>
      <c r="AH76" t="s">
        <v>451</v>
      </c>
      <c r="AI76" t="s">
        <v>430</v>
      </c>
      <c r="AJ76" t="s">
        <v>462</v>
      </c>
      <c r="AL76" t="s">
        <v>453</v>
      </c>
      <c r="AM76">
        <v>44</v>
      </c>
      <c r="AN76" t="s">
        <v>434</v>
      </c>
      <c r="AO76" t="s">
        <v>435</v>
      </c>
      <c r="AP76" t="s">
        <v>553</v>
      </c>
      <c r="AQ76" t="s">
        <v>464</v>
      </c>
      <c r="CU76">
        <v>519223.01171987999</v>
      </c>
      <c r="CV76">
        <v>4948697.67361918</v>
      </c>
      <c r="CW76">
        <v>44.691393429999998</v>
      </c>
      <c r="CX76">
        <v>-92.75739926</v>
      </c>
      <c r="CY76" s="287">
        <v>43487.517361111109</v>
      </c>
      <c r="CZ76" t="s">
        <v>438</v>
      </c>
      <c r="DA76" t="s">
        <v>439</v>
      </c>
      <c r="DB76" t="s">
        <v>440</v>
      </c>
      <c r="DC76" t="s">
        <v>441</v>
      </c>
      <c r="DD76" t="s">
        <v>941</v>
      </c>
    </row>
    <row r="77" spans="1:108" x14ac:dyDescent="0.25">
      <c r="A77">
        <v>847128</v>
      </c>
      <c r="E77" t="s">
        <v>406</v>
      </c>
      <c r="G77" t="s">
        <v>407</v>
      </c>
      <c r="I77" t="s">
        <v>409</v>
      </c>
      <c r="K77">
        <v>20001326</v>
      </c>
      <c r="L77">
        <v>202810252</v>
      </c>
      <c r="M77" s="288">
        <v>45575</v>
      </c>
      <c r="N77">
        <v>17</v>
      </c>
      <c r="O77">
        <v>2020</v>
      </c>
      <c r="P77" t="s">
        <v>458</v>
      </c>
      <c r="Q77">
        <v>3</v>
      </c>
      <c r="R77" t="s">
        <v>484</v>
      </c>
      <c r="S77" t="s">
        <v>497</v>
      </c>
      <c r="T77">
        <v>0</v>
      </c>
      <c r="U77">
        <v>1</v>
      </c>
      <c r="W77" t="s">
        <v>942</v>
      </c>
      <c r="X77" t="s">
        <v>529</v>
      </c>
      <c r="Y77" t="s">
        <v>503</v>
      </c>
      <c r="Z77" t="s">
        <v>540</v>
      </c>
      <c r="AA77" t="s">
        <v>417</v>
      </c>
      <c r="AB77" t="s">
        <v>515</v>
      </c>
      <c r="AC77" t="s">
        <v>418</v>
      </c>
      <c r="AD77" t="s">
        <v>419</v>
      </c>
      <c r="AE77" t="s">
        <v>940</v>
      </c>
      <c r="AH77" t="s">
        <v>601</v>
      </c>
      <c r="AI77" t="s">
        <v>430</v>
      </c>
      <c r="AJ77" t="s">
        <v>462</v>
      </c>
      <c r="AL77" t="s">
        <v>943</v>
      </c>
      <c r="AM77">
        <v>45</v>
      </c>
      <c r="AN77" t="s">
        <v>434</v>
      </c>
      <c r="AO77" t="s">
        <v>515</v>
      </c>
      <c r="AP77" t="s">
        <v>436</v>
      </c>
      <c r="AY77" t="s">
        <v>691</v>
      </c>
      <c r="BC77">
        <v>0</v>
      </c>
      <c r="BE77" t="s">
        <v>435</v>
      </c>
      <c r="BF77" t="s">
        <v>545</v>
      </c>
      <c r="BH77" t="s">
        <v>529</v>
      </c>
      <c r="BI77" t="s">
        <v>529</v>
      </c>
      <c r="CU77">
        <v>518855.76931872999</v>
      </c>
      <c r="CV77">
        <v>4950071.3718782105</v>
      </c>
      <c r="CW77">
        <v>44.703769659999999</v>
      </c>
      <c r="CX77">
        <v>-92.761983290000003</v>
      </c>
      <c r="CY77" s="287">
        <v>44121.150694444441</v>
      </c>
      <c r="CZ77" t="s">
        <v>438</v>
      </c>
      <c r="DA77" t="s">
        <v>439</v>
      </c>
      <c r="DB77" t="s">
        <v>440</v>
      </c>
      <c r="DC77" t="s">
        <v>441</v>
      </c>
      <c r="DD77" t="s">
        <v>944</v>
      </c>
    </row>
    <row r="78" spans="1:108" ht="19.5" customHeight="1" x14ac:dyDescent="0.25">
      <c r="M78" s="288"/>
      <c r="CY78" s="287"/>
      <c r="DD78" s="15"/>
    </row>
    <row r="79" spans="1:108" ht="19.5" customHeight="1" x14ac:dyDescent="0.25">
      <c r="A79" s="1" t="s">
        <v>939</v>
      </c>
      <c r="M79" s="288"/>
      <c r="CY79" s="287"/>
    </row>
    <row r="80" spans="1:108" ht="14.25" customHeight="1" x14ac:dyDescent="0.25">
      <c r="A80" t="s">
        <v>297</v>
      </c>
      <c r="B80" t="s">
        <v>298</v>
      </c>
      <c r="C80" t="s">
        <v>299</v>
      </c>
      <c r="D80" t="s">
        <v>300</v>
      </c>
      <c r="E80" t="s">
        <v>301</v>
      </c>
      <c r="F80" t="s">
        <v>302</v>
      </c>
      <c r="G80" t="s">
        <v>303</v>
      </c>
      <c r="H80" t="s">
        <v>304</v>
      </c>
      <c r="I80" t="s">
        <v>305</v>
      </c>
      <c r="J80" t="s">
        <v>306</v>
      </c>
      <c r="K80" t="s">
        <v>307</v>
      </c>
      <c r="L80" t="s">
        <v>308</v>
      </c>
      <c r="M80" t="s">
        <v>309</v>
      </c>
      <c r="N80" t="s">
        <v>310</v>
      </c>
      <c r="O80" t="s">
        <v>311</v>
      </c>
      <c r="P80" t="s">
        <v>312</v>
      </c>
      <c r="Q80" t="s">
        <v>313</v>
      </c>
      <c r="R80" t="s">
        <v>314</v>
      </c>
      <c r="S80" t="s">
        <v>315</v>
      </c>
      <c r="T80" t="s">
        <v>316</v>
      </c>
      <c r="U80" t="s">
        <v>317</v>
      </c>
      <c r="V80" t="s">
        <v>318</v>
      </c>
      <c r="W80" t="s">
        <v>319</v>
      </c>
      <c r="X80" t="s">
        <v>320</v>
      </c>
      <c r="Y80" t="s">
        <v>321</v>
      </c>
      <c r="Z80" t="s">
        <v>322</v>
      </c>
      <c r="AA80" t="s">
        <v>323</v>
      </c>
      <c r="AB80" t="s">
        <v>324</v>
      </c>
      <c r="AC80" t="s">
        <v>325</v>
      </c>
      <c r="AD80" t="s">
        <v>326</v>
      </c>
      <c r="AE80" t="s">
        <v>327</v>
      </c>
      <c r="AF80" t="s">
        <v>328</v>
      </c>
      <c r="AG80" t="s">
        <v>329</v>
      </c>
      <c r="AH80" t="s">
        <v>330</v>
      </c>
      <c r="AI80" t="s">
        <v>331</v>
      </c>
      <c r="AJ80" t="s">
        <v>332</v>
      </c>
      <c r="AK80" t="s">
        <v>333</v>
      </c>
      <c r="AL80" t="s">
        <v>334</v>
      </c>
      <c r="AM80" t="s">
        <v>335</v>
      </c>
      <c r="AN80" t="s">
        <v>336</v>
      </c>
      <c r="AO80" t="s">
        <v>337</v>
      </c>
      <c r="AP80" t="s">
        <v>338</v>
      </c>
      <c r="AQ80" t="s">
        <v>339</v>
      </c>
      <c r="AR80" t="s">
        <v>340</v>
      </c>
      <c r="AS80" t="s">
        <v>341</v>
      </c>
      <c r="AT80" t="s">
        <v>342</v>
      </c>
      <c r="AU80" t="s">
        <v>343</v>
      </c>
      <c r="AV80" t="s">
        <v>344</v>
      </c>
      <c r="AW80" t="s">
        <v>345</v>
      </c>
      <c r="AX80" t="s">
        <v>346</v>
      </c>
      <c r="AY80" t="s">
        <v>347</v>
      </c>
      <c r="AZ80" t="s">
        <v>348</v>
      </c>
      <c r="BA80" t="s">
        <v>349</v>
      </c>
      <c r="BB80" t="s">
        <v>350</v>
      </c>
      <c r="BC80" t="s">
        <v>351</v>
      </c>
      <c r="BD80" t="s">
        <v>352</v>
      </c>
      <c r="BE80" t="s">
        <v>353</v>
      </c>
      <c r="BF80" t="s">
        <v>354</v>
      </c>
      <c r="BG80" t="s">
        <v>355</v>
      </c>
      <c r="BH80" t="s">
        <v>356</v>
      </c>
      <c r="BI80" t="s">
        <v>357</v>
      </c>
      <c r="BJ80" t="s">
        <v>358</v>
      </c>
      <c r="BK80" t="s">
        <v>359</v>
      </c>
      <c r="BL80" t="s">
        <v>360</v>
      </c>
      <c r="BM80" t="s">
        <v>361</v>
      </c>
      <c r="BN80" t="s">
        <v>362</v>
      </c>
      <c r="BO80" t="s">
        <v>363</v>
      </c>
      <c r="BP80" t="s">
        <v>364</v>
      </c>
      <c r="BQ80" t="s">
        <v>365</v>
      </c>
      <c r="BR80" t="s">
        <v>366</v>
      </c>
      <c r="BS80" t="s">
        <v>367</v>
      </c>
      <c r="BT80" t="s">
        <v>368</v>
      </c>
      <c r="BU80" t="s">
        <v>369</v>
      </c>
      <c r="BV80" t="s">
        <v>370</v>
      </c>
      <c r="BW80" t="s">
        <v>371</v>
      </c>
      <c r="BX80" t="s">
        <v>372</v>
      </c>
      <c r="BY80" t="s">
        <v>373</v>
      </c>
      <c r="BZ80" t="s">
        <v>374</v>
      </c>
      <c r="CA80" t="s">
        <v>375</v>
      </c>
      <c r="CB80" t="s">
        <v>376</v>
      </c>
      <c r="CC80" t="s">
        <v>377</v>
      </c>
      <c r="CD80" t="s">
        <v>378</v>
      </c>
      <c r="CE80" t="s">
        <v>379</v>
      </c>
      <c r="CF80" t="s">
        <v>380</v>
      </c>
      <c r="CG80" t="s">
        <v>381</v>
      </c>
      <c r="CH80" t="s">
        <v>382</v>
      </c>
      <c r="CI80" t="s">
        <v>383</v>
      </c>
      <c r="CJ80" t="s">
        <v>384</v>
      </c>
      <c r="CK80" t="s">
        <v>385</v>
      </c>
      <c r="CL80" t="s">
        <v>386</v>
      </c>
      <c r="CM80" t="s">
        <v>387</v>
      </c>
      <c r="CN80" t="s">
        <v>388</v>
      </c>
      <c r="CO80" t="s">
        <v>389</v>
      </c>
      <c r="CP80" t="s">
        <v>390</v>
      </c>
      <c r="CQ80" t="s">
        <v>391</v>
      </c>
      <c r="CR80" t="s">
        <v>392</v>
      </c>
      <c r="CS80" t="s">
        <v>393</v>
      </c>
      <c r="CT80" t="s">
        <v>394</v>
      </c>
      <c r="CU80" t="s">
        <v>395</v>
      </c>
      <c r="CV80" t="s">
        <v>396</v>
      </c>
      <c r="CW80" t="s">
        <v>397</v>
      </c>
      <c r="CX80" t="s">
        <v>398</v>
      </c>
      <c r="CY80" t="s">
        <v>399</v>
      </c>
      <c r="CZ80" t="s">
        <v>400</v>
      </c>
      <c r="DA80" t="s">
        <v>401</v>
      </c>
      <c r="DB80" t="s">
        <v>402</v>
      </c>
      <c r="DC80" t="s">
        <v>403</v>
      </c>
      <c r="DD80" t="s">
        <v>404</v>
      </c>
    </row>
    <row r="81" spans="1:108" x14ac:dyDescent="0.25">
      <c r="A81">
        <v>1009672</v>
      </c>
      <c r="B81" t="s">
        <v>405</v>
      </c>
      <c r="C81">
        <v>54</v>
      </c>
      <c r="D81">
        <v>3.2050000000000001</v>
      </c>
      <c r="E81" t="s">
        <v>406</v>
      </c>
      <c r="G81" t="s">
        <v>407</v>
      </c>
      <c r="H81" t="s">
        <v>408</v>
      </c>
      <c r="I81" t="s">
        <v>409</v>
      </c>
      <c r="K81">
        <v>22000248</v>
      </c>
      <c r="L81">
        <v>220570119</v>
      </c>
      <c r="M81" s="288">
        <v>45324</v>
      </c>
      <c r="N81">
        <v>26</v>
      </c>
      <c r="O81">
        <v>2022</v>
      </c>
      <c r="P81" t="s">
        <v>458</v>
      </c>
      <c r="Q81">
        <v>22</v>
      </c>
      <c r="R81" t="s">
        <v>484</v>
      </c>
      <c r="S81" t="s">
        <v>607</v>
      </c>
      <c r="T81">
        <v>1</v>
      </c>
      <c r="U81">
        <v>2</v>
      </c>
      <c r="V81" t="s">
        <v>459</v>
      </c>
      <c r="W81" t="s">
        <v>413</v>
      </c>
      <c r="X81" t="s">
        <v>414</v>
      </c>
      <c r="Y81" t="s">
        <v>503</v>
      </c>
      <c r="Z81" t="s">
        <v>519</v>
      </c>
      <c r="AA81" t="s">
        <v>449</v>
      </c>
      <c r="AC81" t="s">
        <v>450</v>
      </c>
      <c r="AD81" t="s">
        <v>419</v>
      </c>
      <c r="AE81" t="s">
        <v>420</v>
      </c>
      <c r="AF81" t="s">
        <v>591</v>
      </c>
      <c r="AG81" t="s">
        <v>421</v>
      </c>
      <c r="AH81" t="s">
        <v>461</v>
      </c>
      <c r="AI81" t="s">
        <v>430</v>
      </c>
      <c r="AJ81" t="s">
        <v>462</v>
      </c>
      <c r="AK81" t="s">
        <v>432</v>
      </c>
      <c r="AL81" t="s">
        <v>453</v>
      </c>
      <c r="AM81">
        <v>39</v>
      </c>
      <c r="AN81" t="s">
        <v>454</v>
      </c>
      <c r="AO81" t="s">
        <v>515</v>
      </c>
      <c r="AP81" t="s">
        <v>569</v>
      </c>
      <c r="AQ81" t="s">
        <v>559</v>
      </c>
      <c r="AT81" t="s">
        <v>426</v>
      </c>
      <c r="AU81" t="s">
        <v>484</v>
      </c>
      <c r="AV81">
        <v>55</v>
      </c>
      <c r="AW81" t="s">
        <v>428</v>
      </c>
      <c r="AX81" t="s">
        <v>429</v>
      </c>
      <c r="AY81" t="s">
        <v>430</v>
      </c>
      <c r="AZ81" t="s">
        <v>465</v>
      </c>
      <c r="BA81" t="s">
        <v>466</v>
      </c>
      <c r="BB81" t="s">
        <v>529</v>
      </c>
      <c r="BC81">
        <v>77</v>
      </c>
      <c r="BD81" t="s">
        <v>434</v>
      </c>
      <c r="BE81" t="s">
        <v>515</v>
      </c>
      <c r="BF81" t="s">
        <v>515</v>
      </c>
      <c r="BJ81" t="s">
        <v>426</v>
      </c>
      <c r="BK81" t="s">
        <v>484</v>
      </c>
      <c r="BL81">
        <v>55</v>
      </c>
      <c r="BM81" t="s">
        <v>428</v>
      </c>
      <c r="BN81" t="s">
        <v>429</v>
      </c>
      <c r="CU81">
        <v>517988.83549999999</v>
      </c>
      <c r="CV81">
        <v>4950891.8634000001</v>
      </c>
      <c r="CW81">
        <v>44.711186259999998</v>
      </c>
      <c r="CX81">
        <v>-92.772905219999998</v>
      </c>
      <c r="CY81" s="287">
        <v>44618.943055555559</v>
      </c>
      <c r="CZ81" t="s">
        <v>438</v>
      </c>
      <c r="DA81" t="s">
        <v>439</v>
      </c>
      <c r="DB81" t="s">
        <v>440</v>
      </c>
      <c r="DC81" t="s">
        <v>441</v>
      </c>
      <c r="DD81" t="s">
        <v>608</v>
      </c>
    </row>
    <row r="82" spans="1:108" x14ac:dyDescent="0.25">
      <c r="A82">
        <v>754135</v>
      </c>
      <c r="B82" t="s">
        <v>405</v>
      </c>
      <c r="C82">
        <v>54</v>
      </c>
      <c r="D82">
        <v>3.226</v>
      </c>
      <c r="E82" t="s">
        <v>406</v>
      </c>
      <c r="G82" t="s">
        <v>407</v>
      </c>
      <c r="H82" t="s">
        <v>408</v>
      </c>
      <c r="I82" t="s">
        <v>409</v>
      </c>
      <c r="K82">
        <v>19001493</v>
      </c>
      <c r="L82">
        <v>192850097</v>
      </c>
      <c r="M82" s="288">
        <v>45575</v>
      </c>
      <c r="N82">
        <v>12</v>
      </c>
      <c r="O82">
        <v>2019</v>
      </c>
      <c r="P82" t="s">
        <v>458</v>
      </c>
      <c r="Q82">
        <v>18</v>
      </c>
      <c r="R82" t="s">
        <v>444</v>
      </c>
      <c r="S82" t="s">
        <v>411</v>
      </c>
      <c r="T82">
        <v>0</v>
      </c>
      <c r="U82">
        <v>1</v>
      </c>
      <c r="W82" t="s">
        <v>518</v>
      </c>
      <c r="X82" t="s">
        <v>414</v>
      </c>
      <c r="Y82" t="s">
        <v>503</v>
      </c>
      <c r="Z82" t="s">
        <v>587</v>
      </c>
      <c r="AA82" t="s">
        <v>417</v>
      </c>
      <c r="AC82" t="s">
        <v>418</v>
      </c>
      <c r="AD82" t="s">
        <v>419</v>
      </c>
      <c r="AE82" t="s">
        <v>420</v>
      </c>
      <c r="AG82" t="s">
        <v>421</v>
      </c>
      <c r="AH82" t="s">
        <v>480</v>
      </c>
      <c r="AI82" t="s">
        <v>430</v>
      </c>
      <c r="AJ82" t="s">
        <v>431</v>
      </c>
      <c r="AK82" t="s">
        <v>432</v>
      </c>
      <c r="AL82" t="s">
        <v>453</v>
      </c>
      <c r="AM82">
        <v>24</v>
      </c>
      <c r="AN82" t="s">
        <v>454</v>
      </c>
      <c r="AO82" t="s">
        <v>435</v>
      </c>
      <c r="AP82" t="s">
        <v>436</v>
      </c>
      <c r="AT82" t="s">
        <v>426</v>
      </c>
      <c r="AU82" t="s">
        <v>427</v>
      </c>
      <c r="AV82">
        <v>55</v>
      </c>
      <c r="AW82" t="s">
        <v>428</v>
      </c>
      <c r="AX82" t="s">
        <v>429</v>
      </c>
      <c r="CU82">
        <v>518012.89630000002</v>
      </c>
      <c r="CV82">
        <v>4950867.4165000003</v>
      </c>
      <c r="CW82">
        <v>44.71096558</v>
      </c>
      <c r="CX82">
        <v>-92.772602320000004</v>
      </c>
      <c r="CY82" s="287">
        <v>43750.760416666664</v>
      </c>
      <c r="CZ82" t="s">
        <v>438</v>
      </c>
      <c r="DA82" t="s">
        <v>439</v>
      </c>
      <c r="DB82" t="s">
        <v>440</v>
      </c>
      <c r="DC82" t="s">
        <v>441</v>
      </c>
      <c r="DD82" t="s">
        <v>609</v>
      </c>
    </row>
    <row r="83" spans="1:108" x14ac:dyDescent="0.25">
      <c r="A83">
        <v>1051015</v>
      </c>
      <c r="B83" t="s">
        <v>405</v>
      </c>
      <c r="C83">
        <v>54</v>
      </c>
      <c r="D83">
        <v>3.278</v>
      </c>
      <c r="E83" t="s">
        <v>406</v>
      </c>
      <c r="G83" t="s">
        <v>407</v>
      </c>
      <c r="H83" t="s">
        <v>408</v>
      </c>
      <c r="I83" t="s">
        <v>409</v>
      </c>
      <c r="K83">
        <v>22001297</v>
      </c>
      <c r="L83">
        <v>222830204</v>
      </c>
      <c r="M83" s="288">
        <v>45575</v>
      </c>
      <c r="N83">
        <v>10</v>
      </c>
      <c r="O83">
        <v>2022</v>
      </c>
      <c r="P83" t="s">
        <v>517</v>
      </c>
      <c r="Q83">
        <v>19</v>
      </c>
      <c r="S83" t="s">
        <v>607</v>
      </c>
      <c r="T83">
        <v>1</v>
      </c>
      <c r="U83">
        <v>1</v>
      </c>
      <c r="W83" t="s">
        <v>518</v>
      </c>
      <c r="X83" t="s">
        <v>414</v>
      </c>
      <c r="Y83" t="s">
        <v>503</v>
      </c>
      <c r="Z83" t="s">
        <v>519</v>
      </c>
      <c r="AA83" t="s">
        <v>449</v>
      </c>
      <c r="AC83" t="s">
        <v>450</v>
      </c>
      <c r="AD83" t="s">
        <v>419</v>
      </c>
      <c r="AE83" t="s">
        <v>420</v>
      </c>
      <c r="AG83" t="s">
        <v>421</v>
      </c>
      <c r="AH83" t="s">
        <v>480</v>
      </c>
      <c r="AI83" t="s">
        <v>430</v>
      </c>
      <c r="AJ83" t="s">
        <v>27</v>
      </c>
      <c r="AK83" t="s">
        <v>432</v>
      </c>
      <c r="AL83" t="s">
        <v>453</v>
      </c>
      <c r="AM83">
        <v>61</v>
      </c>
      <c r="AN83" t="s">
        <v>434</v>
      </c>
      <c r="AO83" t="s">
        <v>435</v>
      </c>
      <c r="AP83" t="s">
        <v>436</v>
      </c>
      <c r="AT83" t="s">
        <v>426</v>
      </c>
      <c r="AU83" t="s">
        <v>427</v>
      </c>
      <c r="AV83">
        <v>55</v>
      </c>
      <c r="AW83" t="s">
        <v>428</v>
      </c>
      <c r="AX83" t="s">
        <v>429</v>
      </c>
      <c r="CU83">
        <v>518071.93839999998</v>
      </c>
      <c r="CV83">
        <v>4950808.2318000002</v>
      </c>
      <c r="CW83">
        <v>44.710431290000002</v>
      </c>
      <c r="CX83">
        <v>-92.771859039999995</v>
      </c>
      <c r="CY83" s="287">
        <v>44844.79583333333</v>
      </c>
      <c r="CZ83" t="s">
        <v>438</v>
      </c>
      <c r="DA83" t="s">
        <v>439</v>
      </c>
      <c r="DB83" t="s">
        <v>440</v>
      </c>
      <c r="DC83" t="s">
        <v>441</v>
      </c>
      <c r="DD83" t="s">
        <v>610</v>
      </c>
    </row>
    <row r="84" spans="1:108" x14ac:dyDescent="0.25">
      <c r="A84">
        <v>909003</v>
      </c>
      <c r="B84" t="s">
        <v>405</v>
      </c>
      <c r="C84">
        <v>54</v>
      </c>
      <c r="D84">
        <v>4.6909999999999998</v>
      </c>
      <c r="E84" t="s">
        <v>406</v>
      </c>
      <c r="G84" t="s">
        <v>407</v>
      </c>
      <c r="H84" t="s">
        <v>408</v>
      </c>
      <c r="I84" t="s">
        <v>409</v>
      </c>
      <c r="K84">
        <v>21000666</v>
      </c>
      <c r="L84">
        <v>211510107</v>
      </c>
      <c r="M84" s="288">
        <v>45417</v>
      </c>
      <c r="N84">
        <v>31</v>
      </c>
      <c r="O84">
        <v>2021</v>
      </c>
      <c r="P84" t="s">
        <v>517</v>
      </c>
      <c r="Q84">
        <v>23</v>
      </c>
      <c r="R84" t="s">
        <v>576</v>
      </c>
      <c r="S84" t="s">
        <v>411</v>
      </c>
      <c r="T84">
        <v>0</v>
      </c>
      <c r="U84">
        <v>1</v>
      </c>
      <c r="W84" t="s">
        <v>518</v>
      </c>
      <c r="X84" t="s">
        <v>414</v>
      </c>
      <c r="Y84" t="s">
        <v>503</v>
      </c>
      <c r="Z84" t="s">
        <v>519</v>
      </c>
      <c r="AA84" t="s">
        <v>449</v>
      </c>
      <c r="AC84" t="s">
        <v>450</v>
      </c>
      <c r="AD84" t="s">
        <v>419</v>
      </c>
      <c r="AE84" t="s">
        <v>420</v>
      </c>
      <c r="AG84" t="s">
        <v>421</v>
      </c>
      <c r="AH84" t="s">
        <v>480</v>
      </c>
      <c r="AI84" t="s">
        <v>430</v>
      </c>
      <c r="AJ84" t="s">
        <v>462</v>
      </c>
      <c r="AK84" t="s">
        <v>466</v>
      </c>
      <c r="AL84" t="s">
        <v>453</v>
      </c>
      <c r="AM84">
        <v>60</v>
      </c>
      <c r="AN84" t="s">
        <v>434</v>
      </c>
      <c r="AO84" t="s">
        <v>435</v>
      </c>
      <c r="AP84" t="s">
        <v>436</v>
      </c>
      <c r="AT84" t="s">
        <v>426</v>
      </c>
      <c r="AU84" t="s">
        <v>427</v>
      </c>
      <c r="AV84">
        <v>55</v>
      </c>
      <c r="AW84" t="s">
        <v>428</v>
      </c>
      <c r="AX84" t="s">
        <v>429</v>
      </c>
      <c r="CU84">
        <v>519231.35629999998</v>
      </c>
      <c r="CV84">
        <v>4948970.7808999997</v>
      </c>
      <c r="CW84">
        <v>44.693859799999998</v>
      </c>
      <c r="CX84">
        <v>-92.757291249999994</v>
      </c>
      <c r="CY84" s="287">
        <v>44347.982638888891</v>
      </c>
      <c r="CZ84" t="s">
        <v>438</v>
      </c>
      <c r="DA84" t="s">
        <v>439</v>
      </c>
      <c r="DB84" t="s">
        <v>440</v>
      </c>
      <c r="DC84" t="s">
        <v>441</v>
      </c>
      <c r="DD84" t="s">
        <v>613</v>
      </c>
    </row>
    <row r="85" spans="1:108" x14ac:dyDescent="0.25">
      <c r="A85">
        <v>766223</v>
      </c>
      <c r="B85" t="s">
        <v>405</v>
      </c>
      <c r="C85">
        <v>54</v>
      </c>
      <c r="D85">
        <v>5.1779999999999999</v>
      </c>
      <c r="E85" t="s">
        <v>406</v>
      </c>
      <c r="G85" t="s">
        <v>407</v>
      </c>
      <c r="H85" t="s">
        <v>408</v>
      </c>
      <c r="I85" t="s">
        <v>409</v>
      </c>
      <c r="K85">
        <v>19001772</v>
      </c>
      <c r="L85">
        <v>193330059</v>
      </c>
      <c r="M85" s="288">
        <v>45607</v>
      </c>
      <c r="N85">
        <v>29</v>
      </c>
      <c r="O85">
        <v>2019</v>
      </c>
      <c r="P85" t="s">
        <v>501</v>
      </c>
      <c r="Q85">
        <v>7</v>
      </c>
      <c r="R85" t="s">
        <v>576</v>
      </c>
      <c r="S85" t="s">
        <v>411</v>
      </c>
      <c r="T85">
        <v>0</v>
      </c>
      <c r="U85">
        <v>1</v>
      </c>
      <c r="W85" t="s">
        <v>620</v>
      </c>
      <c r="X85" t="s">
        <v>476</v>
      </c>
      <c r="Y85" t="s">
        <v>503</v>
      </c>
      <c r="Z85" t="s">
        <v>416</v>
      </c>
      <c r="AA85" t="s">
        <v>561</v>
      </c>
      <c r="AC85" t="s">
        <v>460</v>
      </c>
      <c r="AD85" t="s">
        <v>419</v>
      </c>
      <c r="AE85" t="s">
        <v>420</v>
      </c>
      <c r="AG85" t="s">
        <v>421</v>
      </c>
      <c r="AH85" t="s">
        <v>451</v>
      </c>
      <c r="AI85" t="s">
        <v>430</v>
      </c>
      <c r="AJ85" t="s">
        <v>462</v>
      </c>
      <c r="AK85" t="s">
        <v>466</v>
      </c>
      <c r="AL85" t="s">
        <v>453</v>
      </c>
      <c r="AM85">
        <v>61</v>
      </c>
      <c r="AN85" t="s">
        <v>454</v>
      </c>
      <c r="AO85" t="s">
        <v>435</v>
      </c>
      <c r="AP85" t="s">
        <v>436</v>
      </c>
      <c r="AT85" t="s">
        <v>426</v>
      </c>
      <c r="AU85" t="s">
        <v>427</v>
      </c>
      <c r="AV85">
        <v>55</v>
      </c>
      <c r="AW85" t="s">
        <v>551</v>
      </c>
      <c r="AX85" t="s">
        <v>567</v>
      </c>
      <c r="CU85">
        <v>519569.397</v>
      </c>
      <c r="CV85">
        <v>4948314.5791999996</v>
      </c>
      <c r="CW85">
        <v>44.687943300000001</v>
      </c>
      <c r="CX85">
        <v>-92.753050029999997</v>
      </c>
      <c r="CY85" s="287">
        <v>43798.326388888891</v>
      </c>
      <c r="CZ85" t="s">
        <v>438</v>
      </c>
      <c r="DA85" t="s">
        <v>439</v>
      </c>
      <c r="DB85" t="s">
        <v>440</v>
      </c>
      <c r="DC85" t="s">
        <v>441</v>
      </c>
      <c r="DD85" t="s">
        <v>621</v>
      </c>
    </row>
    <row r="86" spans="1:108" x14ac:dyDescent="0.25">
      <c r="A86">
        <v>1006063</v>
      </c>
      <c r="B86" t="s">
        <v>405</v>
      </c>
      <c r="C86">
        <v>54</v>
      </c>
      <c r="D86">
        <v>5.2080000000000002</v>
      </c>
      <c r="E86" t="s">
        <v>406</v>
      </c>
      <c r="G86" t="s">
        <v>407</v>
      </c>
      <c r="H86" t="s">
        <v>408</v>
      </c>
      <c r="I86" t="s">
        <v>409</v>
      </c>
      <c r="K86">
        <v>22000188</v>
      </c>
      <c r="L86">
        <v>220440128</v>
      </c>
      <c r="M86" s="288">
        <v>45324</v>
      </c>
      <c r="N86">
        <v>13</v>
      </c>
      <c r="O86">
        <v>2022</v>
      </c>
      <c r="P86" t="s">
        <v>410</v>
      </c>
      <c r="Q86">
        <v>3</v>
      </c>
      <c r="S86" t="s">
        <v>445</v>
      </c>
      <c r="T86">
        <v>0</v>
      </c>
      <c r="U86">
        <v>1</v>
      </c>
      <c r="W86" t="s">
        <v>537</v>
      </c>
      <c r="X86" t="s">
        <v>447</v>
      </c>
      <c r="Y86" t="s">
        <v>503</v>
      </c>
      <c r="Z86" t="s">
        <v>519</v>
      </c>
      <c r="AA86" t="s">
        <v>472</v>
      </c>
      <c r="AC86" t="s">
        <v>472</v>
      </c>
      <c r="AD86" t="s">
        <v>419</v>
      </c>
      <c r="AE86" t="s">
        <v>420</v>
      </c>
      <c r="AG86" t="s">
        <v>421</v>
      </c>
      <c r="AH86" t="s">
        <v>451</v>
      </c>
      <c r="AI86" t="s">
        <v>430</v>
      </c>
      <c r="AJ86" t="s">
        <v>462</v>
      </c>
      <c r="AK86" t="s">
        <v>466</v>
      </c>
      <c r="AL86" t="s">
        <v>453</v>
      </c>
      <c r="AM86">
        <v>47</v>
      </c>
      <c r="AN86" t="s">
        <v>454</v>
      </c>
      <c r="AO86" t="s">
        <v>435</v>
      </c>
      <c r="AP86" t="s">
        <v>455</v>
      </c>
      <c r="AQ86" t="s">
        <v>569</v>
      </c>
      <c r="AT86" t="s">
        <v>426</v>
      </c>
      <c r="AU86" t="s">
        <v>427</v>
      </c>
      <c r="AV86">
        <v>55</v>
      </c>
      <c r="AW86" t="s">
        <v>551</v>
      </c>
      <c r="AX86" t="s">
        <v>567</v>
      </c>
      <c r="CU86">
        <v>519600.08850000001</v>
      </c>
      <c r="CV86">
        <v>4948276.9122000001</v>
      </c>
      <c r="CW86">
        <v>44.687603369999998</v>
      </c>
      <c r="CX86">
        <v>-92.752664159999995</v>
      </c>
      <c r="CY86" s="287">
        <v>44605.145833333336</v>
      </c>
      <c r="CZ86" t="s">
        <v>438</v>
      </c>
      <c r="DA86" t="s">
        <v>439</v>
      </c>
      <c r="DB86" t="s">
        <v>440</v>
      </c>
      <c r="DC86" t="s">
        <v>441</v>
      </c>
      <c r="DD86" t="s">
        <v>622</v>
      </c>
    </row>
    <row r="87" spans="1:108" x14ac:dyDescent="0.25">
      <c r="A87">
        <v>1127270</v>
      </c>
      <c r="B87" t="s">
        <v>405</v>
      </c>
      <c r="C87">
        <v>54</v>
      </c>
      <c r="D87">
        <v>5.71</v>
      </c>
      <c r="E87" t="s">
        <v>406</v>
      </c>
      <c r="G87" t="s">
        <v>407</v>
      </c>
      <c r="H87" t="s">
        <v>408</v>
      </c>
      <c r="I87" t="s">
        <v>409</v>
      </c>
      <c r="K87">
        <v>23001073</v>
      </c>
      <c r="L87">
        <v>232350002</v>
      </c>
      <c r="M87" s="288">
        <v>45512</v>
      </c>
      <c r="N87">
        <v>23</v>
      </c>
      <c r="O87">
        <v>2023</v>
      </c>
      <c r="P87" t="s">
        <v>549</v>
      </c>
      <c r="Q87">
        <v>0</v>
      </c>
      <c r="R87" t="s">
        <v>576</v>
      </c>
      <c r="S87" t="s">
        <v>411</v>
      </c>
      <c r="T87">
        <v>0</v>
      </c>
      <c r="U87">
        <v>1</v>
      </c>
      <c r="W87" t="s">
        <v>584</v>
      </c>
      <c r="X87" t="s">
        <v>414</v>
      </c>
      <c r="Y87" t="s">
        <v>503</v>
      </c>
      <c r="Z87" t="s">
        <v>519</v>
      </c>
      <c r="AA87" t="s">
        <v>449</v>
      </c>
      <c r="AC87" t="s">
        <v>450</v>
      </c>
      <c r="AD87" t="s">
        <v>419</v>
      </c>
      <c r="AE87" t="s">
        <v>420</v>
      </c>
      <c r="AG87" t="s">
        <v>421</v>
      </c>
      <c r="AH87" t="s">
        <v>480</v>
      </c>
      <c r="AI87" t="s">
        <v>430</v>
      </c>
      <c r="AJ87" t="s">
        <v>462</v>
      </c>
      <c r="AK87" t="s">
        <v>466</v>
      </c>
      <c r="AL87" t="s">
        <v>453</v>
      </c>
      <c r="AM87">
        <v>60</v>
      </c>
      <c r="AN87" t="s">
        <v>434</v>
      </c>
      <c r="AO87" t="s">
        <v>435</v>
      </c>
      <c r="AP87" t="s">
        <v>436</v>
      </c>
      <c r="AT87" t="s">
        <v>426</v>
      </c>
      <c r="AU87" t="s">
        <v>427</v>
      </c>
      <c r="AV87">
        <v>55</v>
      </c>
      <c r="AW87" t="s">
        <v>428</v>
      </c>
      <c r="AX87" t="s">
        <v>429</v>
      </c>
      <c r="CU87">
        <v>519494.87430000002</v>
      </c>
      <c r="CV87">
        <v>4947507.9419999998</v>
      </c>
      <c r="CW87">
        <v>44.680683709999997</v>
      </c>
      <c r="CX87">
        <v>-92.754021199999997</v>
      </c>
      <c r="CY87" s="287">
        <v>45161.039583333331</v>
      </c>
      <c r="CZ87" t="s">
        <v>438</v>
      </c>
      <c r="DA87" t="s">
        <v>439</v>
      </c>
      <c r="DB87" t="s">
        <v>440</v>
      </c>
      <c r="DC87" t="s">
        <v>441</v>
      </c>
      <c r="DD87" t="s">
        <v>630</v>
      </c>
    </row>
    <row r="88" spans="1:108" x14ac:dyDescent="0.25">
      <c r="A88">
        <v>1012703</v>
      </c>
      <c r="B88" t="s">
        <v>405</v>
      </c>
      <c r="C88">
        <v>54</v>
      </c>
      <c r="D88">
        <v>5.7670000000000003</v>
      </c>
      <c r="E88" t="s">
        <v>406</v>
      </c>
      <c r="G88" t="s">
        <v>407</v>
      </c>
      <c r="H88" t="s">
        <v>408</v>
      </c>
      <c r="I88" t="s">
        <v>409</v>
      </c>
      <c r="K88">
        <v>22000315</v>
      </c>
      <c r="L88">
        <v>220740091</v>
      </c>
      <c r="M88" s="288">
        <v>45354</v>
      </c>
      <c r="N88">
        <v>15</v>
      </c>
      <c r="O88">
        <v>2022</v>
      </c>
      <c r="P88" t="s">
        <v>468</v>
      </c>
      <c r="Q88">
        <v>19</v>
      </c>
      <c r="R88" t="s">
        <v>484</v>
      </c>
      <c r="S88" t="s">
        <v>411</v>
      </c>
      <c r="T88">
        <v>0</v>
      </c>
      <c r="U88">
        <v>1</v>
      </c>
      <c r="W88" t="s">
        <v>518</v>
      </c>
      <c r="X88" t="s">
        <v>414</v>
      </c>
      <c r="Y88" t="s">
        <v>415</v>
      </c>
      <c r="Z88" t="s">
        <v>540</v>
      </c>
      <c r="AA88" t="s">
        <v>449</v>
      </c>
      <c r="AC88" t="s">
        <v>450</v>
      </c>
      <c r="AD88" t="s">
        <v>419</v>
      </c>
      <c r="AE88" t="s">
        <v>420</v>
      </c>
      <c r="AF88" t="s">
        <v>631</v>
      </c>
      <c r="AG88" t="s">
        <v>421</v>
      </c>
      <c r="AH88" t="s">
        <v>480</v>
      </c>
      <c r="AI88" t="s">
        <v>430</v>
      </c>
      <c r="AJ88" t="s">
        <v>462</v>
      </c>
      <c r="AK88" t="s">
        <v>466</v>
      </c>
      <c r="AL88" t="s">
        <v>453</v>
      </c>
      <c r="AM88">
        <v>70</v>
      </c>
      <c r="AN88" t="s">
        <v>434</v>
      </c>
      <c r="AO88" t="s">
        <v>435</v>
      </c>
      <c r="AP88" t="s">
        <v>515</v>
      </c>
      <c r="AT88" t="s">
        <v>426</v>
      </c>
      <c r="AU88" t="s">
        <v>484</v>
      </c>
      <c r="AV88">
        <v>55</v>
      </c>
      <c r="AW88" t="s">
        <v>520</v>
      </c>
      <c r="AX88" t="s">
        <v>429</v>
      </c>
      <c r="CU88">
        <v>519448.67460000003</v>
      </c>
      <c r="CV88">
        <v>4947429.6475999998</v>
      </c>
      <c r="CW88">
        <v>44.679980129999997</v>
      </c>
      <c r="CX88">
        <v>-92.754607109999995</v>
      </c>
      <c r="CY88" s="287">
        <v>44635.827777777777</v>
      </c>
      <c r="CZ88" t="s">
        <v>438</v>
      </c>
      <c r="DA88" t="s">
        <v>439</v>
      </c>
      <c r="DB88" t="s">
        <v>440</v>
      </c>
      <c r="DC88" t="s">
        <v>441</v>
      </c>
      <c r="DD88" t="s">
        <v>632</v>
      </c>
    </row>
    <row r="89" spans="1:108" x14ac:dyDescent="0.25">
      <c r="A89">
        <v>975852</v>
      </c>
      <c r="B89" t="s">
        <v>405</v>
      </c>
      <c r="C89">
        <v>54</v>
      </c>
      <c r="D89">
        <v>5.7709999999999999</v>
      </c>
      <c r="E89" t="s">
        <v>406</v>
      </c>
      <c r="G89" t="s">
        <v>407</v>
      </c>
      <c r="H89" t="s">
        <v>408</v>
      </c>
      <c r="I89" t="s">
        <v>409</v>
      </c>
      <c r="K89">
        <v>21001519</v>
      </c>
      <c r="L89">
        <v>213270207</v>
      </c>
      <c r="M89" s="288">
        <v>45607</v>
      </c>
      <c r="N89">
        <v>23</v>
      </c>
      <c r="O89">
        <v>2021</v>
      </c>
      <c r="P89" t="s">
        <v>468</v>
      </c>
      <c r="Q89">
        <v>4</v>
      </c>
      <c r="S89" t="s">
        <v>411</v>
      </c>
      <c r="T89">
        <v>0</v>
      </c>
      <c r="U89">
        <v>1</v>
      </c>
      <c r="W89" t="s">
        <v>518</v>
      </c>
      <c r="X89" t="s">
        <v>414</v>
      </c>
      <c r="Y89" t="s">
        <v>503</v>
      </c>
      <c r="Z89" t="s">
        <v>519</v>
      </c>
      <c r="AA89" t="s">
        <v>449</v>
      </c>
      <c r="AC89" t="s">
        <v>450</v>
      </c>
      <c r="AD89" t="s">
        <v>419</v>
      </c>
      <c r="AE89" t="s">
        <v>420</v>
      </c>
      <c r="AG89" t="s">
        <v>421</v>
      </c>
      <c r="AH89" t="s">
        <v>480</v>
      </c>
      <c r="AI89" t="s">
        <v>430</v>
      </c>
      <c r="AJ89" t="s">
        <v>462</v>
      </c>
      <c r="AK89" t="s">
        <v>432</v>
      </c>
      <c r="AL89" t="s">
        <v>453</v>
      </c>
      <c r="AM89">
        <v>43</v>
      </c>
      <c r="AN89" t="s">
        <v>434</v>
      </c>
      <c r="AO89" t="s">
        <v>435</v>
      </c>
      <c r="AP89" t="s">
        <v>436</v>
      </c>
      <c r="AT89" t="s">
        <v>426</v>
      </c>
      <c r="AU89" t="s">
        <v>427</v>
      </c>
      <c r="AV89">
        <v>55</v>
      </c>
      <c r="AW89" t="s">
        <v>428</v>
      </c>
      <c r="AX89" t="s">
        <v>429</v>
      </c>
      <c r="CU89">
        <v>519445.1666</v>
      </c>
      <c r="CV89">
        <v>4947423.7922</v>
      </c>
      <c r="CW89">
        <v>44.679927509999999</v>
      </c>
      <c r="CX89">
        <v>-92.754651600000003</v>
      </c>
      <c r="CY89" s="287">
        <v>44523.166666666664</v>
      </c>
      <c r="CZ89" t="s">
        <v>438</v>
      </c>
      <c r="DA89" t="s">
        <v>439</v>
      </c>
      <c r="DB89" t="s">
        <v>440</v>
      </c>
      <c r="DC89" t="s">
        <v>441</v>
      </c>
      <c r="DD89" t="s">
        <v>633</v>
      </c>
    </row>
    <row r="90" spans="1:108" x14ac:dyDescent="0.25">
      <c r="A90">
        <v>1133919</v>
      </c>
      <c r="B90" t="s">
        <v>405</v>
      </c>
      <c r="C90">
        <v>54</v>
      </c>
      <c r="D90">
        <v>5.7949999999999999</v>
      </c>
      <c r="E90" t="s">
        <v>406</v>
      </c>
      <c r="G90" t="s">
        <v>407</v>
      </c>
      <c r="H90" t="s">
        <v>408</v>
      </c>
      <c r="I90" t="s">
        <v>409</v>
      </c>
      <c r="K90">
        <v>23001238</v>
      </c>
      <c r="L90">
        <v>232690141</v>
      </c>
      <c r="M90" s="288">
        <v>45544</v>
      </c>
      <c r="N90">
        <v>26</v>
      </c>
      <c r="O90">
        <v>2023</v>
      </c>
      <c r="P90" t="s">
        <v>468</v>
      </c>
      <c r="Q90">
        <v>19</v>
      </c>
      <c r="R90" t="s">
        <v>444</v>
      </c>
      <c r="S90" t="s">
        <v>445</v>
      </c>
      <c r="T90">
        <v>0</v>
      </c>
      <c r="U90">
        <v>1</v>
      </c>
      <c r="W90" t="s">
        <v>523</v>
      </c>
      <c r="X90" t="s">
        <v>524</v>
      </c>
      <c r="Y90" t="s">
        <v>503</v>
      </c>
      <c r="Z90" t="s">
        <v>471</v>
      </c>
      <c r="AA90" t="s">
        <v>449</v>
      </c>
      <c r="AC90" t="s">
        <v>418</v>
      </c>
      <c r="AD90" t="s">
        <v>419</v>
      </c>
      <c r="AE90" t="s">
        <v>420</v>
      </c>
      <c r="AF90" t="s">
        <v>634</v>
      </c>
      <c r="AG90" t="s">
        <v>421</v>
      </c>
      <c r="AH90" t="s">
        <v>451</v>
      </c>
      <c r="AI90" t="s">
        <v>430</v>
      </c>
      <c r="AJ90" t="s">
        <v>462</v>
      </c>
      <c r="AK90" t="s">
        <v>432</v>
      </c>
      <c r="AL90" t="s">
        <v>453</v>
      </c>
      <c r="AM90">
        <v>43</v>
      </c>
      <c r="AN90" t="s">
        <v>434</v>
      </c>
      <c r="AO90" t="s">
        <v>435</v>
      </c>
      <c r="AP90" t="s">
        <v>473</v>
      </c>
      <c r="AQ90" t="s">
        <v>553</v>
      </c>
      <c r="AT90" t="s">
        <v>426</v>
      </c>
      <c r="AU90" t="s">
        <v>484</v>
      </c>
      <c r="AV90">
        <v>55</v>
      </c>
      <c r="AW90" t="s">
        <v>551</v>
      </c>
      <c r="AX90" t="s">
        <v>429</v>
      </c>
      <c r="CU90">
        <v>519430.82799999998</v>
      </c>
      <c r="CV90">
        <v>4947387.7869999995</v>
      </c>
      <c r="CW90">
        <v>44.67960377</v>
      </c>
      <c r="CX90">
        <v>-92.75483389</v>
      </c>
      <c r="CY90" s="287">
        <v>45195.795138888891</v>
      </c>
      <c r="CZ90" t="s">
        <v>438</v>
      </c>
      <c r="DA90" t="s">
        <v>439</v>
      </c>
      <c r="DB90" t="s">
        <v>440</v>
      </c>
      <c r="DC90" t="s">
        <v>441</v>
      </c>
      <c r="DD90" t="s">
        <v>635</v>
      </c>
    </row>
    <row r="91" spans="1:108" x14ac:dyDescent="0.25">
      <c r="A91">
        <v>1058421</v>
      </c>
      <c r="B91" t="s">
        <v>645</v>
      </c>
      <c r="C91">
        <v>61</v>
      </c>
      <c r="D91">
        <v>1.0369999999999999</v>
      </c>
      <c r="E91" t="s">
        <v>406</v>
      </c>
      <c r="G91" t="s">
        <v>407</v>
      </c>
      <c r="H91" t="s">
        <v>408</v>
      </c>
      <c r="I91" t="s">
        <v>409</v>
      </c>
      <c r="K91">
        <v>22001489</v>
      </c>
      <c r="L91">
        <v>223190014</v>
      </c>
      <c r="M91" s="288">
        <v>45607</v>
      </c>
      <c r="N91">
        <v>15</v>
      </c>
      <c r="O91">
        <v>2022</v>
      </c>
      <c r="P91" t="s">
        <v>468</v>
      </c>
      <c r="Q91">
        <v>7</v>
      </c>
      <c r="S91" t="s">
        <v>411</v>
      </c>
      <c r="T91">
        <v>0</v>
      </c>
      <c r="U91">
        <v>1</v>
      </c>
      <c r="W91" t="s">
        <v>597</v>
      </c>
      <c r="X91" t="s">
        <v>447</v>
      </c>
      <c r="Y91" t="s">
        <v>503</v>
      </c>
      <c r="Z91" t="s">
        <v>448</v>
      </c>
      <c r="AA91" t="s">
        <v>504</v>
      </c>
      <c r="AC91" t="s">
        <v>472</v>
      </c>
      <c r="AD91" t="s">
        <v>419</v>
      </c>
      <c r="AE91" t="s">
        <v>602</v>
      </c>
      <c r="AF91" t="s">
        <v>478</v>
      </c>
      <c r="AG91" t="s">
        <v>945</v>
      </c>
      <c r="AH91" t="s">
        <v>451</v>
      </c>
      <c r="AI91" t="s">
        <v>430</v>
      </c>
      <c r="AJ91" t="s">
        <v>462</v>
      </c>
      <c r="AK91" t="s">
        <v>466</v>
      </c>
      <c r="AL91" t="s">
        <v>453</v>
      </c>
      <c r="AM91">
        <v>16</v>
      </c>
      <c r="AN91" t="s">
        <v>454</v>
      </c>
      <c r="AO91" t="s">
        <v>435</v>
      </c>
      <c r="AP91" t="s">
        <v>515</v>
      </c>
      <c r="AT91" t="s">
        <v>426</v>
      </c>
      <c r="AU91" t="s">
        <v>484</v>
      </c>
      <c r="AV91">
        <v>55</v>
      </c>
      <c r="AW91" t="s">
        <v>428</v>
      </c>
      <c r="AX91" t="s">
        <v>482</v>
      </c>
      <c r="CU91">
        <v>518027.24780000001</v>
      </c>
      <c r="CV91">
        <v>4950745.0069000004</v>
      </c>
      <c r="CW91">
        <v>44.709863249999998</v>
      </c>
      <c r="CX91">
        <v>-92.772425459999994</v>
      </c>
      <c r="CY91" s="287">
        <v>44880.302083333336</v>
      </c>
      <c r="CZ91" t="s">
        <v>438</v>
      </c>
      <c r="DA91" t="s">
        <v>439</v>
      </c>
      <c r="DB91" t="s">
        <v>440</v>
      </c>
      <c r="DC91" t="s">
        <v>441</v>
      </c>
      <c r="DD91" t="s">
        <v>946</v>
      </c>
    </row>
    <row r="92" spans="1:108" x14ac:dyDescent="0.25">
      <c r="A92">
        <v>1044916</v>
      </c>
      <c r="B92" t="s">
        <v>645</v>
      </c>
      <c r="C92">
        <v>1102</v>
      </c>
      <c r="D92">
        <v>0.86499999999999999</v>
      </c>
      <c r="E92" t="s">
        <v>406</v>
      </c>
      <c r="G92" t="s">
        <v>407</v>
      </c>
      <c r="H92" t="s">
        <v>408</v>
      </c>
      <c r="I92" t="s">
        <v>409</v>
      </c>
      <c r="K92">
        <v>22001157</v>
      </c>
      <c r="L92">
        <v>222530076</v>
      </c>
      <c r="M92" s="288">
        <v>45544</v>
      </c>
      <c r="N92">
        <v>10</v>
      </c>
      <c r="O92">
        <v>2022</v>
      </c>
      <c r="P92" t="s">
        <v>458</v>
      </c>
      <c r="Q92">
        <v>19</v>
      </c>
      <c r="R92" t="s">
        <v>484</v>
      </c>
      <c r="S92" t="s">
        <v>411</v>
      </c>
      <c r="T92">
        <v>0</v>
      </c>
      <c r="U92">
        <v>2</v>
      </c>
      <c r="V92" t="s">
        <v>486</v>
      </c>
      <c r="W92" t="s">
        <v>413</v>
      </c>
      <c r="X92" t="s">
        <v>414</v>
      </c>
      <c r="Y92" t="s">
        <v>415</v>
      </c>
      <c r="Z92" t="s">
        <v>416</v>
      </c>
      <c r="AA92" t="s">
        <v>449</v>
      </c>
      <c r="AC92" t="s">
        <v>450</v>
      </c>
      <c r="AD92" t="s">
        <v>419</v>
      </c>
      <c r="AE92" t="s">
        <v>631</v>
      </c>
      <c r="AF92" t="s">
        <v>478</v>
      </c>
      <c r="AG92" t="s">
        <v>646</v>
      </c>
      <c r="AH92" t="s">
        <v>529</v>
      </c>
      <c r="AI92" t="s">
        <v>430</v>
      </c>
      <c r="AJ92" t="s">
        <v>465</v>
      </c>
      <c r="AK92" t="s">
        <v>466</v>
      </c>
      <c r="AL92" t="s">
        <v>433</v>
      </c>
      <c r="AM92">
        <v>57</v>
      </c>
      <c r="AN92" t="s">
        <v>434</v>
      </c>
      <c r="AO92" t="s">
        <v>435</v>
      </c>
      <c r="AP92" t="s">
        <v>436</v>
      </c>
      <c r="AT92" t="s">
        <v>426</v>
      </c>
      <c r="AU92" t="s">
        <v>427</v>
      </c>
      <c r="AV92">
        <v>55</v>
      </c>
      <c r="AW92" t="s">
        <v>428</v>
      </c>
      <c r="AX92" t="s">
        <v>429</v>
      </c>
      <c r="AY92" t="s">
        <v>430</v>
      </c>
      <c r="AZ92" t="s">
        <v>465</v>
      </c>
      <c r="BA92" t="s">
        <v>508</v>
      </c>
      <c r="BB92" t="s">
        <v>433</v>
      </c>
      <c r="BC92">
        <v>19</v>
      </c>
      <c r="BD92" t="s">
        <v>434</v>
      </c>
      <c r="BE92" t="s">
        <v>435</v>
      </c>
      <c r="BF92" t="s">
        <v>494</v>
      </c>
      <c r="BJ92" t="s">
        <v>426</v>
      </c>
      <c r="BK92" t="s">
        <v>437</v>
      </c>
      <c r="BL92">
        <v>55</v>
      </c>
      <c r="BM92" t="s">
        <v>428</v>
      </c>
      <c r="BN92" t="s">
        <v>429</v>
      </c>
      <c r="CU92">
        <v>519435.29320000001</v>
      </c>
      <c r="CV92">
        <v>4947428.7938999999</v>
      </c>
      <c r="CW92">
        <v>44.679972800000002</v>
      </c>
      <c r="CX92">
        <v>-92.754775989999999</v>
      </c>
      <c r="CY92" s="287">
        <v>44814.802083333336</v>
      </c>
      <c r="CZ92" t="s">
        <v>438</v>
      </c>
      <c r="DA92" t="s">
        <v>439</v>
      </c>
      <c r="DB92" t="s">
        <v>440</v>
      </c>
      <c r="DC92" t="s">
        <v>441</v>
      </c>
      <c r="DD92" t="s">
        <v>647</v>
      </c>
    </row>
    <row r="93" spans="1:108" x14ac:dyDescent="0.25">
      <c r="A93">
        <v>677222</v>
      </c>
      <c r="B93" t="s">
        <v>645</v>
      </c>
      <c r="C93">
        <v>1231</v>
      </c>
      <c r="D93">
        <v>5.0000000000000001E-3</v>
      </c>
      <c r="E93" t="s">
        <v>406</v>
      </c>
      <c r="G93" t="s">
        <v>407</v>
      </c>
      <c r="H93" t="s">
        <v>408</v>
      </c>
      <c r="I93" t="s">
        <v>409</v>
      </c>
      <c r="K93">
        <v>19000113</v>
      </c>
      <c r="L93">
        <v>190190122</v>
      </c>
      <c r="M93" s="288">
        <v>45292</v>
      </c>
      <c r="N93">
        <v>19</v>
      </c>
      <c r="O93">
        <v>2019</v>
      </c>
      <c r="P93" t="s">
        <v>458</v>
      </c>
      <c r="Q93">
        <v>15</v>
      </c>
      <c r="S93" t="s">
        <v>411</v>
      </c>
      <c r="T93">
        <v>0</v>
      </c>
      <c r="U93">
        <v>1</v>
      </c>
      <c r="W93" t="s">
        <v>537</v>
      </c>
      <c r="X93" t="s">
        <v>476</v>
      </c>
      <c r="Y93" t="s">
        <v>415</v>
      </c>
      <c r="Z93" t="s">
        <v>416</v>
      </c>
      <c r="AA93" t="s">
        <v>449</v>
      </c>
      <c r="AC93" t="s">
        <v>418</v>
      </c>
      <c r="AD93" t="s">
        <v>419</v>
      </c>
      <c r="AE93" t="s">
        <v>947</v>
      </c>
      <c r="AG93" t="s">
        <v>948</v>
      </c>
      <c r="AH93" t="s">
        <v>451</v>
      </c>
      <c r="AI93" t="s">
        <v>430</v>
      </c>
      <c r="AJ93" t="s">
        <v>431</v>
      </c>
      <c r="AK93" t="s">
        <v>466</v>
      </c>
      <c r="AL93" t="s">
        <v>624</v>
      </c>
      <c r="AM93">
        <v>41</v>
      </c>
      <c r="AN93" t="s">
        <v>434</v>
      </c>
      <c r="AO93" t="s">
        <v>435</v>
      </c>
      <c r="AP93" t="s">
        <v>455</v>
      </c>
      <c r="AT93" t="s">
        <v>426</v>
      </c>
      <c r="AU93" t="s">
        <v>427</v>
      </c>
      <c r="AV93">
        <v>55</v>
      </c>
      <c r="AW93" t="s">
        <v>551</v>
      </c>
      <c r="AX93" t="s">
        <v>567</v>
      </c>
      <c r="CU93">
        <v>519640.82040000003</v>
      </c>
      <c r="CV93">
        <v>4948234.1851000004</v>
      </c>
      <c r="CW93">
        <v>44.687217609999998</v>
      </c>
      <c r="CX93">
        <v>-92.752151789999999</v>
      </c>
      <c r="CY93" s="287">
        <v>43484.665972222225</v>
      </c>
      <c r="CZ93" t="s">
        <v>438</v>
      </c>
      <c r="DA93" t="s">
        <v>439</v>
      </c>
      <c r="DB93" t="s">
        <v>440</v>
      </c>
      <c r="DC93" t="s">
        <v>441</v>
      </c>
      <c r="DD93" t="s">
        <v>949</v>
      </c>
    </row>
    <row r="95" spans="1:108" x14ac:dyDescent="0.25">
      <c r="A95" s="1" t="s">
        <v>648</v>
      </c>
    </row>
    <row r="96" spans="1:108" ht="14.25" customHeight="1" x14ac:dyDescent="0.25">
      <c r="A96" t="s">
        <v>297</v>
      </c>
      <c r="B96" t="s">
        <v>298</v>
      </c>
      <c r="C96" t="s">
        <v>299</v>
      </c>
      <c r="D96" t="s">
        <v>300</v>
      </c>
      <c r="E96" t="s">
        <v>301</v>
      </c>
      <c r="F96" t="s">
        <v>302</v>
      </c>
      <c r="G96" t="s">
        <v>303</v>
      </c>
      <c r="H96" t="s">
        <v>304</v>
      </c>
      <c r="I96" t="s">
        <v>305</v>
      </c>
      <c r="J96" t="s">
        <v>306</v>
      </c>
      <c r="K96" t="s">
        <v>307</v>
      </c>
      <c r="L96" t="s">
        <v>308</v>
      </c>
      <c r="M96" t="s">
        <v>309</v>
      </c>
      <c r="N96" t="s">
        <v>310</v>
      </c>
      <c r="O96" t="s">
        <v>311</v>
      </c>
      <c r="P96" t="s">
        <v>312</v>
      </c>
      <c r="Q96" t="s">
        <v>313</v>
      </c>
      <c r="R96" t="s">
        <v>314</v>
      </c>
      <c r="S96" t="s">
        <v>315</v>
      </c>
      <c r="T96" t="s">
        <v>316</v>
      </c>
      <c r="U96" t="s">
        <v>317</v>
      </c>
      <c r="V96" t="s">
        <v>318</v>
      </c>
      <c r="W96" t="s">
        <v>319</v>
      </c>
      <c r="X96" t="s">
        <v>320</v>
      </c>
      <c r="Y96" t="s">
        <v>321</v>
      </c>
      <c r="Z96" t="s">
        <v>322</v>
      </c>
      <c r="AA96" t="s">
        <v>323</v>
      </c>
      <c r="AB96" t="s">
        <v>324</v>
      </c>
      <c r="AC96" t="s">
        <v>325</v>
      </c>
      <c r="AD96" t="s">
        <v>326</v>
      </c>
      <c r="AE96" t="s">
        <v>327</v>
      </c>
      <c r="AF96" t="s">
        <v>328</v>
      </c>
      <c r="AG96" t="s">
        <v>329</v>
      </c>
      <c r="AH96" t="s">
        <v>330</v>
      </c>
      <c r="AI96" t="s">
        <v>331</v>
      </c>
      <c r="AJ96" t="s">
        <v>332</v>
      </c>
      <c r="AK96" t="s">
        <v>333</v>
      </c>
      <c r="AL96" t="s">
        <v>334</v>
      </c>
      <c r="AM96" t="s">
        <v>335</v>
      </c>
      <c r="AN96" t="s">
        <v>336</v>
      </c>
      <c r="AO96" t="s">
        <v>337</v>
      </c>
      <c r="AP96" t="s">
        <v>338</v>
      </c>
      <c r="AQ96" t="s">
        <v>339</v>
      </c>
      <c r="AR96" t="s">
        <v>340</v>
      </c>
      <c r="AS96" t="s">
        <v>341</v>
      </c>
      <c r="AT96" t="s">
        <v>342</v>
      </c>
      <c r="AU96" t="s">
        <v>343</v>
      </c>
      <c r="AV96" t="s">
        <v>344</v>
      </c>
      <c r="AW96" t="s">
        <v>345</v>
      </c>
      <c r="AX96" t="s">
        <v>346</v>
      </c>
      <c r="AY96" t="s">
        <v>347</v>
      </c>
      <c r="AZ96" t="s">
        <v>348</v>
      </c>
      <c r="BA96" t="s">
        <v>349</v>
      </c>
      <c r="BB96" t="s">
        <v>350</v>
      </c>
      <c r="BC96" t="s">
        <v>351</v>
      </c>
      <c r="BD96" t="s">
        <v>352</v>
      </c>
      <c r="BE96" t="s">
        <v>353</v>
      </c>
      <c r="BF96" t="s">
        <v>354</v>
      </c>
      <c r="BG96" t="s">
        <v>355</v>
      </c>
      <c r="BH96" t="s">
        <v>356</v>
      </c>
      <c r="BI96" t="s">
        <v>357</v>
      </c>
      <c r="BJ96" t="s">
        <v>358</v>
      </c>
      <c r="BK96" t="s">
        <v>359</v>
      </c>
      <c r="BL96" t="s">
        <v>360</v>
      </c>
      <c r="BM96" t="s">
        <v>361</v>
      </c>
      <c r="BN96" t="s">
        <v>362</v>
      </c>
      <c r="BO96" t="s">
        <v>363</v>
      </c>
      <c r="BP96" t="s">
        <v>364</v>
      </c>
      <c r="BQ96" t="s">
        <v>365</v>
      </c>
      <c r="BR96" t="s">
        <v>366</v>
      </c>
      <c r="BS96" t="s">
        <v>367</v>
      </c>
      <c r="BT96" t="s">
        <v>368</v>
      </c>
      <c r="BU96" t="s">
        <v>369</v>
      </c>
      <c r="BV96" t="s">
        <v>370</v>
      </c>
      <c r="BW96" t="s">
        <v>371</v>
      </c>
      <c r="BX96" t="s">
        <v>372</v>
      </c>
      <c r="BY96" t="s">
        <v>373</v>
      </c>
      <c r="BZ96" t="s">
        <v>374</v>
      </c>
      <c r="CA96" t="s">
        <v>375</v>
      </c>
      <c r="CB96" t="s">
        <v>376</v>
      </c>
      <c r="CC96" t="s">
        <v>377</v>
      </c>
      <c r="CD96" t="s">
        <v>378</v>
      </c>
      <c r="CE96" t="s">
        <v>379</v>
      </c>
      <c r="CF96" t="s">
        <v>380</v>
      </c>
      <c r="CG96" t="s">
        <v>381</v>
      </c>
      <c r="CH96" t="s">
        <v>382</v>
      </c>
      <c r="CI96" t="s">
        <v>383</v>
      </c>
      <c r="CJ96" t="s">
        <v>384</v>
      </c>
      <c r="CK96" t="s">
        <v>385</v>
      </c>
      <c r="CL96" t="s">
        <v>386</v>
      </c>
      <c r="CM96" t="s">
        <v>387</v>
      </c>
      <c r="CN96" t="s">
        <v>388</v>
      </c>
      <c r="CO96" t="s">
        <v>389</v>
      </c>
      <c r="CP96" t="s">
        <v>390</v>
      </c>
      <c r="CQ96" t="s">
        <v>391</v>
      </c>
      <c r="CR96" t="s">
        <v>392</v>
      </c>
      <c r="CS96" t="s">
        <v>393</v>
      </c>
      <c r="CT96" t="s">
        <v>394</v>
      </c>
      <c r="CU96" t="s">
        <v>395</v>
      </c>
      <c r="CV96" t="s">
        <v>396</v>
      </c>
      <c r="CW96" t="s">
        <v>397</v>
      </c>
      <c r="CX96" t="s">
        <v>398</v>
      </c>
      <c r="CY96" t="s">
        <v>399</v>
      </c>
      <c r="CZ96" t="s">
        <v>400</v>
      </c>
      <c r="DA96" t="s">
        <v>401</v>
      </c>
      <c r="DB96" t="s">
        <v>402</v>
      </c>
      <c r="DC96" t="s">
        <v>403</v>
      </c>
      <c r="DD96" t="s">
        <v>404</v>
      </c>
    </row>
    <row r="97" spans="1:108" x14ac:dyDescent="0.25">
      <c r="A97">
        <v>1117404</v>
      </c>
      <c r="B97" t="s">
        <v>405</v>
      </c>
      <c r="C97">
        <v>91</v>
      </c>
      <c r="D97">
        <v>11.53</v>
      </c>
      <c r="E97" t="s">
        <v>406</v>
      </c>
      <c r="G97" t="s">
        <v>522</v>
      </c>
      <c r="H97" t="s">
        <v>408</v>
      </c>
      <c r="I97" t="s">
        <v>409</v>
      </c>
      <c r="K97">
        <v>23000809</v>
      </c>
      <c r="L97">
        <v>231800089</v>
      </c>
      <c r="M97" s="288">
        <v>45449</v>
      </c>
      <c r="N97">
        <v>29</v>
      </c>
      <c r="O97">
        <v>2023</v>
      </c>
      <c r="P97" t="s">
        <v>443</v>
      </c>
      <c r="Q97">
        <v>17</v>
      </c>
      <c r="R97" t="s">
        <v>484</v>
      </c>
      <c r="S97" t="s">
        <v>411</v>
      </c>
      <c r="T97">
        <v>0</v>
      </c>
      <c r="U97">
        <v>2</v>
      </c>
      <c r="V97" t="s">
        <v>486</v>
      </c>
      <c r="W97" t="s">
        <v>413</v>
      </c>
      <c r="X97" t="s">
        <v>414</v>
      </c>
      <c r="Y97" t="s">
        <v>503</v>
      </c>
      <c r="Z97" t="s">
        <v>416</v>
      </c>
      <c r="AA97" t="s">
        <v>449</v>
      </c>
      <c r="AC97" t="s">
        <v>450</v>
      </c>
      <c r="AD97" t="s">
        <v>419</v>
      </c>
      <c r="AE97" t="s">
        <v>505</v>
      </c>
      <c r="AG97" t="s">
        <v>506</v>
      </c>
      <c r="AH97" t="s">
        <v>628</v>
      </c>
      <c r="AI97" t="s">
        <v>430</v>
      </c>
      <c r="AJ97" t="s">
        <v>465</v>
      </c>
      <c r="AK97" t="s">
        <v>508</v>
      </c>
      <c r="AL97" t="s">
        <v>433</v>
      </c>
      <c r="AM97">
        <v>81</v>
      </c>
      <c r="AN97" t="s">
        <v>434</v>
      </c>
      <c r="AO97" t="s">
        <v>435</v>
      </c>
      <c r="AP97" t="s">
        <v>487</v>
      </c>
      <c r="AT97" t="s">
        <v>426</v>
      </c>
      <c r="AU97" t="s">
        <v>427</v>
      </c>
      <c r="AV97">
        <v>55</v>
      </c>
      <c r="AW97" t="s">
        <v>428</v>
      </c>
      <c r="AX97" t="s">
        <v>429</v>
      </c>
      <c r="AY97" t="s">
        <v>430</v>
      </c>
      <c r="AZ97" t="s">
        <v>462</v>
      </c>
      <c r="BA97" t="s">
        <v>424</v>
      </c>
      <c r="BB97" t="s">
        <v>453</v>
      </c>
      <c r="BC97">
        <v>46</v>
      </c>
      <c r="BD97" t="s">
        <v>454</v>
      </c>
      <c r="BE97" t="s">
        <v>435</v>
      </c>
      <c r="BF97" t="s">
        <v>436</v>
      </c>
      <c r="BJ97" t="s">
        <v>426</v>
      </c>
      <c r="BK97" t="s">
        <v>427</v>
      </c>
      <c r="BL97">
        <v>55</v>
      </c>
      <c r="BM97" t="s">
        <v>428</v>
      </c>
      <c r="BN97" t="s">
        <v>429</v>
      </c>
      <c r="CU97">
        <v>514835.54489999998</v>
      </c>
      <c r="CV97">
        <v>4949387.2824999997</v>
      </c>
      <c r="CW97">
        <v>44.697713720000003</v>
      </c>
      <c r="CX97" s="287">
        <v>-92.812757779999998</v>
      </c>
      <c r="CY97">
        <v>45106.722222222219</v>
      </c>
      <c r="CZ97" t="s">
        <v>438</v>
      </c>
      <c r="DA97" t="s">
        <v>439</v>
      </c>
      <c r="DB97" t="s">
        <v>440</v>
      </c>
      <c r="DC97" s="15" t="s">
        <v>441</v>
      </c>
      <c r="DD97" t="s">
        <v>649</v>
      </c>
    </row>
    <row r="98" spans="1:108" x14ac:dyDescent="0.25">
      <c r="A98">
        <v>1045832</v>
      </c>
      <c r="B98" t="s">
        <v>405</v>
      </c>
      <c r="C98">
        <v>91</v>
      </c>
      <c r="D98">
        <v>12.571</v>
      </c>
      <c r="E98" t="s">
        <v>406</v>
      </c>
      <c r="G98" t="s">
        <v>522</v>
      </c>
      <c r="H98" t="s">
        <v>408</v>
      </c>
      <c r="I98" t="s">
        <v>409</v>
      </c>
      <c r="K98">
        <v>22001173</v>
      </c>
      <c r="L98">
        <v>222570147</v>
      </c>
      <c r="M98" s="288">
        <v>45544</v>
      </c>
      <c r="N98">
        <v>14</v>
      </c>
      <c r="O98">
        <v>2022</v>
      </c>
      <c r="P98" t="s">
        <v>549</v>
      </c>
      <c r="Q98">
        <v>19</v>
      </c>
      <c r="R98" t="s">
        <v>484</v>
      </c>
      <c r="S98" t="s">
        <v>411</v>
      </c>
      <c r="T98">
        <v>0</v>
      </c>
      <c r="U98">
        <v>2</v>
      </c>
      <c r="V98" t="s">
        <v>459</v>
      </c>
      <c r="W98" t="s">
        <v>413</v>
      </c>
      <c r="X98" t="s">
        <v>414</v>
      </c>
      <c r="Y98" t="s">
        <v>503</v>
      </c>
      <c r="Z98" t="s">
        <v>416</v>
      </c>
      <c r="AA98" t="s">
        <v>449</v>
      </c>
      <c r="AC98" t="s">
        <v>450</v>
      </c>
      <c r="AD98" t="s">
        <v>419</v>
      </c>
      <c r="AE98" t="s">
        <v>505</v>
      </c>
      <c r="AF98" t="s">
        <v>650</v>
      </c>
      <c r="AG98" t="s">
        <v>506</v>
      </c>
      <c r="AH98" t="s">
        <v>461</v>
      </c>
      <c r="AI98" t="s">
        <v>430</v>
      </c>
      <c r="AJ98" t="s">
        <v>462</v>
      </c>
      <c r="AK98" t="s">
        <v>466</v>
      </c>
      <c r="AL98" t="s">
        <v>566</v>
      </c>
      <c r="AM98">
        <v>57</v>
      </c>
      <c r="AN98" t="s">
        <v>454</v>
      </c>
      <c r="AO98" t="s">
        <v>435</v>
      </c>
      <c r="AP98" t="s">
        <v>436</v>
      </c>
      <c r="AT98" t="s">
        <v>426</v>
      </c>
      <c r="AU98" t="s">
        <v>427</v>
      </c>
      <c r="AV98">
        <v>55</v>
      </c>
      <c r="AW98" t="s">
        <v>428</v>
      </c>
      <c r="AX98" t="s">
        <v>429</v>
      </c>
      <c r="AY98" t="s">
        <v>430</v>
      </c>
      <c r="AZ98" t="s">
        <v>605</v>
      </c>
      <c r="BA98" t="s">
        <v>432</v>
      </c>
      <c r="BB98" t="s">
        <v>651</v>
      </c>
      <c r="BC98">
        <v>80</v>
      </c>
      <c r="BD98" t="s">
        <v>434</v>
      </c>
      <c r="BE98" t="s">
        <v>435</v>
      </c>
      <c r="BF98" t="s">
        <v>492</v>
      </c>
      <c r="BG98" t="s">
        <v>652</v>
      </c>
      <c r="BJ98" t="s">
        <v>426</v>
      </c>
      <c r="BK98" t="s">
        <v>427</v>
      </c>
      <c r="BL98">
        <v>55</v>
      </c>
      <c r="BM98" t="s">
        <v>428</v>
      </c>
      <c r="BN98" t="s">
        <v>429</v>
      </c>
      <c r="CU98">
        <v>514836.20549999998</v>
      </c>
      <c r="CV98">
        <v>4951063.4222999997</v>
      </c>
      <c r="CW98">
        <v>44.7128029</v>
      </c>
      <c r="CX98" s="287">
        <v>-92.812700789999994</v>
      </c>
      <c r="CY98">
        <v>44818.811805555553</v>
      </c>
      <c r="CZ98" t="s">
        <v>438</v>
      </c>
      <c r="DA98" t="s">
        <v>439</v>
      </c>
      <c r="DB98" t="s">
        <v>440</v>
      </c>
      <c r="DC98" t="s">
        <v>441</v>
      </c>
      <c r="DD98" t="s">
        <v>653</v>
      </c>
    </row>
    <row r="99" spans="1:108" x14ac:dyDescent="0.25">
      <c r="A99">
        <v>1052095</v>
      </c>
      <c r="B99" t="s">
        <v>405</v>
      </c>
      <c r="C99">
        <v>91</v>
      </c>
      <c r="D99">
        <v>13.286</v>
      </c>
      <c r="E99" t="s">
        <v>406</v>
      </c>
      <c r="F99" t="s">
        <v>500</v>
      </c>
      <c r="H99" t="s">
        <v>408</v>
      </c>
      <c r="I99" t="s">
        <v>409</v>
      </c>
      <c r="K99">
        <v>22001928</v>
      </c>
      <c r="L99">
        <v>222900004</v>
      </c>
      <c r="M99" s="288">
        <v>45575</v>
      </c>
      <c r="N99">
        <v>17</v>
      </c>
      <c r="O99">
        <v>2022</v>
      </c>
      <c r="P99" t="s">
        <v>517</v>
      </c>
      <c r="Q99">
        <v>5</v>
      </c>
      <c r="S99" t="s">
        <v>411</v>
      </c>
      <c r="T99">
        <v>0</v>
      </c>
      <c r="U99">
        <v>1</v>
      </c>
      <c r="W99" t="s">
        <v>518</v>
      </c>
      <c r="X99" t="s">
        <v>414</v>
      </c>
      <c r="Y99" t="s">
        <v>503</v>
      </c>
      <c r="Z99" t="s">
        <v>471</v>
      </c>
      <c r="AA99" t="s">
        <v>504</v>
      </c>
      <c r="AC99" t="s">
        <v>450</v>
      </c>
      <c r="AD99" t="s">
        <v>419</v>
      </c>
      <c r="AE99" t="s">
        <v>505</v>
      </c>
      <c r="AG99" t="s">
        <v>506</v>
      </c>
      <c r="AH99" t="s">
        <v>480</v>
      </c>
      <c r="AI99" t="s">
        <v>430</v>
      </c>
      <c r="AJ99" t="s">
        <v>465</v>
      </c>
      <c r="AK99" t="s">
        <v>466</v>
      </c>
      <c r="AL99" t="s">
        <v>453</v>
      </c>
      <c r="AM99">
        <v>68</v>
      </c>
      <c r="AN99" t="s">
        <v>454</v>
      </c>
      <c r="AO99" t="s">
        <v>435</v>
      </c>
      <c r="AP99" t="s">
        <v>436</v>
      </c>
      <c r="AT99" t="s">
        <v>426</v>
      </c>
      <c r="AU99" t="s">
        <v>427</v>
      </c>
      <c r="AV99">
        <v>55</v>
      </c>
      <c r="AW99" t="s">
        <v>428</v>
      </c>
      <c r="AX99" t="s">
        <v>429</v>
      </c>
      <c r="CU99">
        <v>514242.44150000002</v>
      </c>
      <c r="CV99">
        <v>4951906.3271000003</v>
      </c>
      <c r="CW99">
        <v>44.720403050000002</v>
      </c>
      <c r="CX99" s="287">
        <v>-92.820173519999997</v>
      </c>
      <c r="CY99">
        <v>44851.236111111109</v>
      </c>
      <c r="CZ99" t="s">
        <v>438</v>
      </c>
      <c r="DA99" t="s">
        <v>439</v>
      </c>
      <c r="DB99" t="s">
        <v>511</v>
      </c>
      <c r="DC99" s="15" t="s">
        <v>512</v>
      </c>
      <c r="DD99" t="s">
        <v>654</v>
      </c>
    </row>
    <row r="100" spans="1:108" x14ac:dyDescent="0.25">
      <c r="A100">
        <v>697891</v>
      </c>
      <c r="B100" t="s">
        <v>405</v>
      </c>
      <c r="C100">
        <v>91</v>
      </c>
      <c r="D100">
        <v>13.848000000000001</v>
      </c>
      <c r="E100" t="s">
        <v>406</v>
      </c>
      <c r="F100" t="s">
        <v>500</v>
      </c>
      <c r="H100" t="s">
        <v>408</v>
      </c>
      <c r="I100" t="s">
        <v>409</v>
      </c>
      <c r="K100">
        <v>19000574</v>
      </c>
      <c r="L100">
        <v>190740002</v>
      </c>
      <c r="M100" s="288">
        <v>45354</v>
      </c>
      <c r="N100">
        <v>15</v>
      </c>
      <c r="O100">
        <v>2019</v>
      </c>
      <c r="P100" t="s">
        <v>501</v>
      </c>
      <c r="Q100">
        <v>0</v>
      </c>
      <c r="R100" t="s">
        <v>444</v>
      </c>
      <c r="S100" t="s">
        <v>411</v>
      </c>
      <c r="T100">
        <v>0</v>
      </c>
      <c r="U100">
        <v>1</v>
      </c>
      <c r="W100" t="s">
        <v>475</v>
      </c>
      <c r="X100" t="s">
        <v>414</v>
      </c>
      <c r="Y100" t="s">
        <v>503</v>
      </c>
      <c r="Z100" t="s">
        <v>519</v>
      </c>
      <c r="AA100" t="s">
        <v>417</v>
      </c>
      <c r="AC100" t="s">
        <v>418</v>
      </c>
      <c r="AD100" t="s">
        <v>419</v>
      </c>
      <c r="AE100" t="s">
        <v>505</v>
      </c>
      <c r="AG100" t="s">
        <v>506</v>
      </c>
      <c r="AH100" t="s">
        <v>480</v>
      </c>
      <c r="AI100" t="s">
        <v>430</v>
      </c>
      <c r="AJ100" t="s">
        <v>462</v>
      </c>
      <c r="AK100" t="s">
        <v>432</v>
      </c>
      <c r="AL100" t="s">
        <v>453</v>
      </c>
      <c r="AM100">
        <v>43</v>
      </c>
      <c r="AN100" t="s">
        <v>454</v>
      </c>
      <c r="AO100" t="s">
        <v>435</v>
      </c>
      <c r="AP100" t="s">
        <v>436</v>
      </c>
      <c r="AT100" t="s">
        <v>426</v>
      </c>
      <c r="AU100" t="s">
        <v>427</v>
      </c>
      <c r="AV100">
        <v>45</v>
      </c>
      <c r="AW100" t="s">
        <v>428</v>
      </c>
      <c r="AX100" t="s">
        <v>429</v>
      </c>
      <c r="CU100">
        <v>514059.53570000001</v>
      </c>
      <c r="CV100">
        <v>4952782.7521000002</v>
      </c>
      <c r="CW100">
        <v>44.728296530000001</v>
      </c>
      <c r="CX100" s="287">
        <v>-92.822458859999998</v>
      </c>
      <c r="CY100">
        <v>43539.003472222219</v>
      </c>
      <c r="CZ100" t="s">
        <v>438</v>
      </c>
      <c r="DA100" t="s">
        <v>439</v>
      </c>
      <c r="DB100" t="s">
        <v>511</v>
      </c>
      <c r="DC100" s="15" t="s">
        <v>512</v>
      </c>
      <c r="DD100" t="s">
        <v>655</v>
      </c>
    </row>
    <row r="101" spans="1:108" x14ac:dyDescent="0.25">
      <c r="A101">
        <v>753727</v>
      </c>
      <c r="B101" t="s">
        <v>405</v>
      </c>
      <c r="C101">
        <v>91</v>
      </c>
      <c r="D101">
        <v>13.909000000000001</v>
      </c>
      <c r="E101" t="s">
        <v>406</v>
      </c>
      <c r="F101" t="s">
        <v>500</v>
      </c>
      <c r="H101" t="s">
        <v>408</v>
      </c>
      <c r="I101" t="s">
        <v>409</v>
      </c>
      <c r="K101">
        <v>19002672</v>
      </c>
      <c r="L101">
        <v>192840002</v>
      </c>
      <c r="M101" s="288">
        <v>45575</v>
      </c>
      <c r="N101">
        <v>11</v>
      </c>
      <c r="O101">
        <v>2019</v>
      </c>
      <c r="P101" t="s">
        <v>501</v>
      </c>
      <c r="Q101">
        <v>2</v>
      </c>
      <c r="R101" t="s">
        <v>496</v>
      </c>
      <c r="S101" t="s">
        <v>411</v>
      </c>
      <c r="T101">
        <v>0</v>
      </c>
      <c r="U101">
        <v>1</v>
      </c>
      <c r="W101" t="s">
        <v>584</v>
      </c>
      <c r="X101" t="s">
        <v>414</v>
      </c>
      <c r="Y101" t="s">
        <v>415</v>
      </c>
      <c r="Z101" t="s">
        <v>471</v>
      </c>
      <c r="AA101" t="s">
        <v>417</v>
      </c>
      <c r="AC101" t="s">
        <v>418</v>
      </c>
      <c r="AD101" t="s">
        <v>419</v>
      </c>
      <c r="AE101" t="s">
        <v>505</v>
      </c>
      <c r="AG101" t="s">
        <v>506</v>
      </c>
      <c r="AH101" t="s">
        <v>480</v>
      </c>
      <c r="AI101" t="s">
        <v>430</v>
      </c>
      <c r="AJ101" t="s">
        <v>431</v>
      </c>
      <c r="AK101" t="s">
        <v>424</v>
      </c>
      <c r="AL101" t="s">
        <v>453</v>
      </c>
      <c r="AM101">
        <v>40</v>
      </c>
      <c r="AN101" t="s">
        <v>434</v>
      </c>
      <c r="AO101" t="s">
        <v>435</v>
      </c>
      <c r="AP101" t="s">
        <v>436</v>
      </c>
      <c r="AT101" t="s">
        <v>426</v>
      </c>
      <c r="AU101" t="s">
        <v>427</v>
      </c>
      <c r="AV101">
        <v>55</v>
      </c>
      <c r="AW101" t="s">
        <v>428</v>
      </c>
      <c r="AX101" t="s">
        <v>429</v>
      </c>
      <c r="CU101">
        <v>514050.70209999999</v>
      </c>
      <c r="CV101">
        <v>4952880.9567</v>
      </c>
      <c r="CW101">
        <v>44.729180769999999</v>
      </c>
      <c r="CX101" s="287">
        <v>-92.822567710000001</v>
      </c>
      <c r="CY101">
        <v>43749.083333333336</v>
      </c>
      <c r="CZ101" t="s">
        <v>438</v>
      </c>
      <c r="DA101" t="s">
        <v>439</v>
      </c>
      <c r="DB101" t="s">
        <v>511</v>
      </c>
      <c r="DC101" s="15" t="s">
        <v>512</v>
      </c>
      <c r="DD101" t="s">
        <v>656</v>
      </c>
    </row>
    <row r="102" spans="1:108" x14ac:dyDescent="0.25">
      <c r="A102">
        <v>682851</v>
      </c>
      <c r="B102" t="s">
        <v>657</v>
      </c>
      <c r="C102">
        <v>140</v>
      </c>
      <c r="D102">
        <v>1.4319999999999999</v>
      </c>
      <c r="E102" t="s">
        <v>406</v>
      </c>
      <c r="F102" t="s">
        <v>500</v>
      </c>
      <c r="H102" t="s">
        <v>408</v>
      </c>
      <c r="I102" t="s">
        <v>409</v>
      </c>
      <c r="K102">
        <v>19000251</v>
      </c>
      <c r="L102">
        <v>190350074</v>
      </c>
      <c r="M102" s="288">
        <v>45324</v>
      </c>
      <c r="N102">
        <v>4</v>
      </c>
      <c r="O102">
        <v>2019</v>
      </c>
      <c r="P102" t="s">
        <v>517</v>
      </c>
      <c r="Q102">
        <v>6</v>
      </c>
      <c r="R102" t="s">
        <v>496</v>
      </c>
      <c r="S102" t="s">
        <v>411</v>
      </c>
      <c r="T102">
        <v>0</v>
      </c>
      <c r="U102">
        <v>2</v>
      </c>
      <c r="V102" t="s">
        <v>486</v>
      </c>
      <c r="W102" t="s">
        <v>413</v>
      </c>
      <c r="X102" t="s">
        <v>414</v>
      </c>
      <c r="Y102" t="s">
        <v>503</v>
      </c>
      <c r="Z102" t="s">
        <v>471</v>
      </c>
      <c r="AA102" t="s">
        <v>561</v>
      </c>
      <c r="AC102" t="s">
        <v>460</v>
      </c>
      <c r="AD102" t="s">
        <v>419</v>
      </c>
      <c r="AE102" t="s">
        <v>658</v>
      </c>
      <c r="AG102" t="s">
        <v>659</v>
      </c>
      <c r="AH102" t="s">
        <v>486</v>
      </c>
      <c r="AI102" t="s">
        <v>430</v>
      </c>
      <c r="AJ102" t="s">
        <v>462</v>
      </c>
      <c r="AK102" t="s">
        <v>508</v>
      </c>
      <c r="AL102" t="s">
        <v>453</v>
      </c>
      <c r="AM102">
        <v>19</v>
      </c>
      <c r="AN102" t="s">
        <v>434</v>
      </c>
      <c r="AO102" t="s">
        <v>435</v>
      </c>
      <c r="AP102" t="s">
        <v>436</v>
      </c>
      <c r="AT102" t="s">
        <v>426</v>
      </c>
      <c r="AU102" t="s">
        <v>427</v>
      </c>
      <c r="AV102">
        <v>30</v>
      </c>
      <c r="AW102" t="s">
        <v>428</v>
      </c>
      <c r="AX102" t="s">
        <v>482</v>
      </c>
      <c r="AY102" t="s">
        <v>430</v>
      </c>
      <c r="AZ102" t="s">
        <v>462</v>
      </c>
      <c r="BA102" t="s">
        <v>424</v>
      </c>
      <c r="BB102" t="s">
        <v>453</v>
      </c>
      <c r="BC102">
        <v>32</v>
      </c>
      <c r="BD102" t="s">
        <v>434</v>
      </c>
      <c r="BE102" t="s">
        <v>435</v>
      </c>
      <c r="BF102" t="s">
        <v>464</v>
      </c>
      <c r="BJ102" t="s">
        <v>426</v>
      </c>
      <c r="BK102" t="s">
        <v>427</v>
      </c>
      <c r="BL102">
        <v>30</v>
      </c>
      <c r="BM102" t="s">
        <v>428</v>
      </c>
      <c r="BN102" t="s">
        <v>567</v>
      </c>
      <c r="CU102">
        <v>514206.81800000003</v>
      </c>
      <c r="CV102">
        <v>4951875.2456</v>
      </c>
      <c r="CW102">
        <v>44.720123950000001</v>
      </c>
      <c r="CX102" s="287">
        <v>-92.820624179999996</v>
      </c>
      <c r="CY102">
        <v>43500.267361111109</v>
      </c>
      <c r="CZ102" t="s">
        <v>438</v>
      </c>
      <c r="DA102" t="s">
        <v>439</v>
      </c>
      <c r="DB102" t="s">
        <v>511</v>
      </c>
      <c r="DC102" s="15" t="s">
        <v>512</v>
      </c>
      <c r="DD102" t="s">
        <v>660</v>
      </c>
    </row>
    <row r="104" spans="1:108" x14ac:dyDescent="0.25">
      <c r="A104" s="1" t="s">
        <v>661</v>
      </c>
    </row>
    <row r="105" spans="1:108" ht="14.25" customHeight="1" x14ac:dyDescent="0.25">
      <c r="A105" t="s">
        <v>297</v>
      </c>
      <c r="B105" t="s">
        <v>298</v>
      </c>
      <c r="C105" t="s">
        <v>299</v>
      </c>
      <c r="D105" t="s">
        <v>300</v>
      </c>
      <c r="E105" t="s">
        <v>301</v>
      </c>
      <c r="F105" t="s">
        <v>302</v>
      </c>
      <c r="G105" t="s">
        <v>303</v>
      </c>
      <c r="H105" t="s">
        <v>304</v>
      </c>
      <c r="I105" t="s">
        <v>305</v>
      </c>
      <c r="J105" t="s">
        <v>306</v>
      </c>
      <c r="K105" t="s">
        <v>307</v>
      </c>
      <c r="L105" t="s">
        <v>308</v>
      </c>
      <c r="M105" t="s">
        <v>309</v>
      </c>
      <c r="N105" t="s">
        <v>310</v>
      </c>
      <c r="O105" t="s">
        <v>311</v>
      </c>
      <c r="P105" t="s">
        <v>312</v>
      </c>
      <c r="Q105" t="s">
        <v>313</v>
      </c>
      <c r="R105" t="s">
        <v>314</v>
      </c>
      <c r="S105" t="s">
        <v>315</v>
      </c>
      <c r="T105" t="s">
        <v>316</v>
      </c>
      <c r="U105" t="s">
        <v>317</v>
      </c>
      <c r="V105" t="s">
        <v>318</v>
      </c>
      <c r="W105" t="s">
        <v>319</v>
      </c>
      <c r="X105" t="s">
        <v>320</v>
      </c>
      <c r="Y105" t="s">
        <v>321</v>
      </c>
      <c r="Z105" t="s">
        <v>322</v>
      </c>
      <c r="AA105" t="s">
        <v>323</v>
      </c>
      <c r="AB105" t="s">
        <v>324</v>
      </c>
      <c r="AC105" t="s">
        <v>325</v>
      </c>
      <c r="AD105" t="s">
        <v>326</v>
      </c>
      <c r="AE105" t="s">
        <v>327</v>
      </c>
      <c r="AF105" t="s">
        <v>328</v>
      </c>
      <c r="AG105" t="s">
        <v>329</v>
      </c>
      <c r="AH105" t="s">
        <v>330</v>
      </c>
      <c r="AI105" t="s">
        <v>331</v>
      </c>
      <c r="AJ105" t="s">
        <v>332</v>
      </c>
      <c r="AK105" t="s">
        <v>333</v>
      </c>
      <c r="AL105" t="s">
        <v>334</v>
      </c>
      <c r="AM105" t="s">
        <v>335</v>
      </c>
      <c r="AN105" t="s">
        <v>336</v>
      </c>
      <c r="AO105" t="s">
        <v>337</v>
      </c>
      <c r="AP105" t="s">
        <v>338</v>
      </c>
      <c r="AQ105" t="s">
        <v>339</v>
      </c>
      <c r="AR105" t="s">
        <v>340</v>
      </c>
      <c r="AS105" t="s">
        <v>341</v>
      </c>
      <c r="AT105" t="s">
        <v>342</v>
      </c>
      <c r="AU105" t="s">
        <v>343</v>
      </c>
      <c r="AV105" t="s">
        <v>344</v>
      </c>
      <c r="AW105" t="s">
        <v>345</v>
      </c>
      <c r="AX105" t="s">
        <v>346</v>
      </c>
      <c r="AY105" t="s">
        <v>347</v>
      </c>
      <c r="AZ105" t="s">
        <v>348</v>
      </c>
      <c r="BA105" t="s">
        <v>349</v>
      </c>
      <c r="BB105" t="s">
        <v>350</v>
      </c>
      <c r="BC105" t="s">
        <v>351</v>
      </c>
      <c r="BD105" t="s">
        <v>352</v>
      </c>
      <c r="BE105" t="s">
        <v>353</v>
      </c>
      <c r="BF105" t="s">
        <v>354</v>
      </c>
      <c r="BG105" t="s">
        <v>355</v>
      </c>
      <c r="BH105" t="s">
        <v>356</v>
      </c>
      <c r="BI105" t="s">
        <v>357</v>
      </c>
      <c r="BJ105" t="s">
        <v>358</v>
      </c>
      <c r="BK105" t="s">
        <v>359</v>
      </c>
      <c r="BL105" t="s">
        <v>360</v>
      </c>
      <c r="BM105" t="s">
        <v>361</v>
      </c>
      <c r="BN105" t="s">
        <v>362</v>
      </c>
      <c r="BO105" t="s">
        <v>363</v>
      </c>
      <c r="BP105" t="s">
        <v>364</v>
      </c>
      <c r="BQ105" t="s">
        <v>365</v>
      </c>
      <c r="BR105" t="s">
        <v>366</v>
      </c>
      <c r="BS105" t="s">
        <v>367</v>
      </c>
      <c r="BT105" t="s">
        <v>368</v>
      </c>
      <c r="BU105" t="s">
        <v>369</v>
      </c>
      <c r="BV105" t="s">
        <v>370</v>
      </c>
      <c r="BW105" t="s">
        <v>371</v>
      </c>
      <c r="BX105" t="s">
        <v>372</v>
      </c>
      <c r="BY105" t="s">
        <v>373</v>
      </c>
      <c r="BZ105" t="s">
        <v>374</v>
      </c>
      <c r="CA105" t="s">
        <v>375</v>
      </c>
      <c r="CB105" t="s">
        <v>376</v>
      </c>
      <c r="CC105" t="s">
        <v>377</v>
      </c>
      <c r="CD105" t="s">
        <v>378</v>
      </c>
      <c r="CE105" t="s">
        <v>379</v>
      </c>
      <c r="CF105" t="s">
        <v>380</v>
      </c>
      <c r="CG105" t="s">
        <v>381</v>
      </c>
      <c r="CH105" t="s">
        <v>382</v>
      </c>
      <c r="CI105" t="s">
        <v>383</v>
      </c>
      <c r="CJ105" t="s">
        <v>384</v>
      </c>
      <c r="CK105" t="s">
        <v>385</v>
      </c>
      <c r="CL105" t="s">
        <v>386</v>
      </c>
      <c r="CM105" t="s">
        <v>387</v>
      </c>
      <c r="CN105" t="s">
        <v>388</v>
      </c>
      <c r="CO105" t="s">
        <v>389</v>
      </c>
      <c r="CP105" t="s">
        <v>390</v>
      </c>
      <c r="CQ105" t="s">
        <v>391</v>
      </c>
      <c r="CR105" t="s">
        <v>392</v>
      </c>
      <c r="CS105" t="s">
        <v>393</v>
      </c>
      <c r="CT105" t="s">
        <v>394</v>
      </c>
      <c r="CU105" t="s">
        <v>395</v>
      </c>
      <c r="CV105" t="s">
        <v>396</v>
      </c>
      <c r="CW105" t="s">
        <v>397</v>
      </c>
      <c r="CX105" t="s">
        <v>398</v>
      </c>
      <c r="CY105" t="s">
        <v>399</v>
      </c>
      <c r="CZ105" t="s">
        <v>400</v>
      </c>
      <c r="DA105" t="s">
        <v>401</v>
      </c>
      <c r="DB105" t="s">
        <v>402</v>
      </c>
      <c r="DC105" t="s">
        <v>403</v>
      </c>
      <c r="DD105" t="s">
        <v>404</v>
      </c>
    </row>
    <row r="106" spans="1:108" ht="30" x14ac:dyDescent="0.25">
      <c r="A106">
        <v>1123480</v>
      </c>
      <c r="B106" t="s">
        <v>662</v>
      </c>
      <c r="C106">
        <v>316</v>
      </c>
      <c r="D106">
        <v>4.34</v>
      </c>
      <c r="E106" t="s">
        <v>406</v>
      </c>
      <c r="G106" t="s">
        <v>407</v>
      </c>
      <c r="H106" t="s">
        <v>408</v>
      </c>
      <c r="I106" t="s">
        <v>409</v>
      </c>
      <c r="K106">
        <v>23405449</v>
      </c>
      <c r="L106">
        <v>232120162</v>
      </c>
      <c r="M106" s="288">
        <v>45480</v>
      </c>
      <c r="N106">
        <v>31</v>
      </c>
      <c r="O106">
        <v>2023</v>
      </c>
      <c r="P106" t="s">
        <v>517</v>
      </c>
      <c r="Q106">
        <v>13</v>
      </c>
      <c r="R106" t="s">
        <v>484</v>
      </c>
      <c r="S106" t="s">
        <v>497</v>
      </c>
      <c r="T106">
        <v>0</v>
      </c>
      <c r="U106">
        <v>1</v>
      </c>
      <c r="W106" t="s">
        <v>539</v>
      </c>
      <c r="X106" t="s">
        <v>447</v>
      </c>
      <c r="Y106" t="s">
        <v>503</v>
      </c>
      <c r="Z106" t="s">
        <v>416</v>
      </c>
      <c r="AA106" t="s">
        <v>449</v>
      </c>
      <c r="AC106" t="s">
        <v>450</v>
      </c>
      <c r="AD106" t="s">
        <v>419</v>
      </c>
      <c r="AE106" t="s">
        <v>663</v>
      </c>
      <c r="AF106" t="s">
        <v>664</v>
      </c>
      <c r="AG106" t="s">
        <v>665</v>
      </c>
      <c r="AH106" t="s">
        <v>451</v>
      </c>
      <c r="AI106" t="s">
        <v>430</v>
      </c>
      <c r="AJ106" t="s">
        <v>462</v>
      </c>
      <c r="AK106" t="s">
        <v>432</v>
      </c>
      <c r="AL106" t="s">
        <v>453</v>
      </c>
      <c r="AM106">
        <v>30</v>
      </c>
      <c r="AN106" t="s">
        <v>434</v>
      </c>
      <c r="AO106" t="s">
        <v>666</v>
      </c>
      <c r="AP106" t="s">
        <v>559</v>
      </c>
      <c r="AT106" t="s">
        <v>426</v>
      </c>
      <c r="AU106" t="s">
        <v>484</v>
      </c>
      <c r="AV106">
        <v>60</v>
      </c>
      <c r="AW106" t="s">
        <v>428</v>
      </c>
      <c r="AX106" t="s">
        <v>482</v>
      </c>
      <c r="CU106">
        <v>517853.67180000001</v>
      </c>
      <c r="CV106">
        <v>4945354.4539999999</v>
      </c>
      <c r="CW106">
        <v>44.661339920000003</v>
      </c>
      <c r="CX106" s="287">
        <v>-92.77480482</v>
      </c>
      <c r="CY106">
        <v>45138.544444444444</v>
      </c>
      <c r="CZ106" t="s">
        <v>438</v>
      </c>
      <c r="DA106" t="s">
        <v>439</v>
      </c>
      <c r="DB106" t="s">
        <v>667</v>
      </c>
      <c r="DC106" s="15" t="s">
        <v>668</v>
      </c>
      <c r="DD106" t="s">
        <v>669</v>
      </c>
    </row>
    <row r="107" spans="1:108" x14ac:dyDescent="0.25">
      <c r="A107">
        <v>967127</v>
      </c>
      <c r="B107" t="s">
        <v>662</v>
      </c>
      <c r="C107">
        <v>316</v>
      </c>
      <c r="D107">
        <v>4.5460000000000003</v>
      </c>
      <c r="E107" t="s">
        <v>406</v>
      </c>
      <c r="G107" t="s">
        <v>407</v>
      </c>
      <c r="H107" t="s">
        <v>408</v>
      </c>
      <c r="I107" t="s">
        <v>409</v>
      </c>
      <c r="K107">
        <v>21001307</v>
      </c>
      <c r="L107">
        <v>212880119</v>
      </c>
      <c r="M107" s="288">
        <v>45575</v>
      </c>
      <c r="N107">
        <v>15</v>
      </c>
      <c r="O107">
        <v>2021</v>
      </c>
      <c r="P107" t="s">
        <v>501</v>
      </c>
      <c r="Q107">
        <v>21</v>
      </c>
      <c r="R107" t="s">
        <v>484</v>
      </c>
      <c r="S107" t="s">
        <v>497</v>
      </c>
      <c r="T107">
        <v>0</v>
      </c>
      <c r="U107">
        <v>1</v>
      </c>
      <c r="W107" t="s">
        <v>518</v>
      </c>
      <c r="X107" t="s">
        <v>414</v>
      </c>
      <c r="Y107" t="s">
        <v>503</v>
      </c>
      <c r="Z107" t="s">
        <v>471</v>
      </c>
      <c r="AA107" t="s">
        <v>449</v>
      </c>
      <c r="AC107" t="s">
        <v>450</v>
      </c>
      <c r="AD107" t="s">
        <v>419</v>
      </c>
      <c r="AE107" t="s">
        <v>663</v>
      </c>
      <c r="AF107" t="s">
        <v>670</v>
      </c>
      <c r="AG107" t="s">
        <v>665</v>
      </c>
      <c r="AH107" t="s">
        <v>480</v>
      </c>
      <c r="AI107" t="s">
        <v>430</v>
      </c>
      <c r="AJ107" t="s">
        <v>462</v>
      </c>
      <c r="AK107" t="s">
        <v>466</v>
      </c>
      <c r="AL107" t="s">
        <v>453</v>
      </c>
      <c r="AM107">
        <v>73</v>
      </c>
      <c r="AN107" t="s">
        <v>434</v>
      </c>
      <c r="AO107" t="s">
        <v>435</v>
      </c>
      <c r="AP107" t="s">
        <v>436</v>
      </c>
      <c r="AT107" t="s">
        <v>426</v>
      </c>
      <c r="AU107" t="s">
        <v>484</v>
      </c>
      <c r="AV107">
        <v>60</v>
      </c>
      <c r="AW107" t="s">
        <v>428</v>
      </c>
      <c r="AX107" t="s">
        <v>429</v>
      </c>
      <c r="CU107">
        <v>517651.20319999999</v>
      </c>
      <c r="CV107">
        <v>4945576.2039999999</v>
      </c>
      <c r="CW107">
        <v>44.663341199999998</v>
      </c>
      <c r="CX107" s="287">
        <v>-92.777351060000001</v>
      </c>
      <c r="CY107">
        <v>44484.902083333334</v>
      </c>
      <c r="CZ107" t="s">
        <v>438</v>
      </c>
      <c r="DA107" t="s">
        <v>439</v>
      </c>
      <c r="DB107" t="s">
        <v>440</v>
      </c>
      <c r="DC107" s="15" t="s">
        <v>441</v>
      </c>
      <c r="DD107" t="s">
        <v>671</v>
      </c>
    </row>
    <row r="108" spans="1:108" ht="19.5" customHeight="1" x14ac:dyDescent="0.25">
      <c r="A108">
        <v>755076</v>
      </c>
      <c r="B108" t="s">
        <v>662</v>
      </c>
      <c r="C108">
        <v>316</v>
      </c>
      <c r="D108">
        <v>4.5540000000000003</v>
      </c>
      <c r="E108" t="s">
        <v>406</v>
      </c>
      <c r="G108" t="s">
        <v>407</v>
      </c>
      <c r="H108" t="s">
        <v>408</v>
      </c>
      <c r="I108" t="s">
        <v>409</v>
      </c>
      <c r="K108">
        <v>19409064</v>
      </c>
      <c r="L108">
        <v>192870205</v>
      </c>
      <c r="M108" s="288">
        <v>45575</v>
      </c>
      <c r="N108">
        <v>14</v>
      </c>
      <c r="O108">
        <v>2019</v>
      </c>
      <c r="P108" t="s">
        <v>517</v>
      </c>
      <c r="Q108">
        <v>23</v>
      </c>
      <c r="R108" t="s">
        <v>444</v>
      </c>
      <c r="S108" t="s">
        <v>497</v>
      </c>
      <c r="T108">
        <v>0</v>
      </c>
      <c r="U108">
        <v>1</v>
      </c>
      <c r="W108" t="s">
        <v>518</v>
      </c>
      <c r="X108" t="s">
        <v>414</v>
      </c>
      <c r="Y108" t="s">
        <v>503</v>
      </c>
      <c r="Z108" t="s">
        <v>519</v>
      </c>
      <c r="AA108" t="s">
        <v>449</v>
      </c>
      <c r="AC108" t="s">
        <v>450</v>
      </c>
      <c r="AD108" t="s">
        <v>419</v>
      </c>
      <c r="AE108" t="s">
        <v>672</v>
      </c>
      <c r="AG108" t="s">
        <v>665</v>
      </c>
      <c r="AH108" t="s">
        <v>480</v>
      </c>
      <c r="AI108" t="s">
        <v>430</v>
      </c>
      <c r="AJ108" t="s">
        <v>462</v>
      </c>
      <c r="AK108" t="s">
        <v>432</v>
      </c>
      <c r="AL108" t="s">
        <v>453</v>
      </c>
      <c r="AM108">
        <v>39</v>
      </c>
      <c r="AN108" t="s">
        <v>434</v>
      </c>
      <c r="AO108" t="s">
        <v>435</v>
      </c>
      <c r="AP108" t="s">
        <v>436</v>
      </c>
      <c r="AT108" t="s">
        <v>426</v>
      </c>
      <c r="AU108" t="s">
        <v>427</v>
      </c>
      <c r="AV108">
        <v>60</v>
      </c>
      <c r="AW108" t="s">
        <v>428</v>
      </c>
      <c r="AX108" t="s">
        <v>429</v>
      </c>
      <c r="CU108">
        <v>517641.88589999999</v>
      </c>
      <c r="CV108">
        <v>4945586.409</v>
      </c>
      <c r="CW108">
        <v>44.663433300000001</v>
      </c>
      <c r="CX108" s="287">
        <v>-92.777468229999997</v>
      </c>
      <c r="CY108">
        <v>43752.974999999999</v>
      </c>
      <c r="CZ108" t="s">
        <v>438</v>
      </c>
      <c r="DA108" t="s">
        <v>439</v>
      </c>
      <c r="DB108" t="s">
        <v>667</v>
      </c>
      <c r="DC108" t="s">
        <v>668</v>
      </c>
      <c r="DD108" t="s">
        <v>673</v>
      </c>
    </row>
    <row r="109" spans="1:108" ht="30" x14ac:dyDescent="0.25">
      <c r="A109">
        <v>739109</v>
      </c>
      <c r="B109" t="s">
        <v>662</v>
      </c>
      <c r="C109">
        <v>316</v>
      </c>
      <c r="D109">
        <v>4.5750000000000002</v>
      </c>
      <c r="E109" t="s">
        <v>406</v>
      </c>
      <c r="G109" t="s">
        <v>407</v>
      </c>
      <c r="H109" t="s">
        <v>408</v>
      </c>
      <c r="I109" t="s">
        <v>409</v>
      </c>
      <c r="K109">
        <v>19406891</v>
      </c>
      <c r="L109">
        <v>192130234</v>
      </c>
      <c r="M109" s="288">
        <v>45512</v>
      </c>
      <c r="N109">
        <v>1</v>
      </c>
      <c r="O109">
        <v>2019</v>
      </c>
      <c r="P109" t="s">
        <v>443</v>
      </c>
      <c r="Q109">
        <v>14</v>
      </c>
      <c r="R109" t="s">
        <v>576</v>
      </c>
      <c r="S109" t="s">
        <v>497</v>
      </c>
      <c r="T109">
        <v>0</v>
      </c>
      <c r="U109">
        <v>1</v>
      </c>
      <c r="W109" t="s">
        <v>674</v>
      </c>
      <c r="X109" t="s">
        <v>414</v>
      </c>
      <c r="Y109" t="s">
        <v>503</v>
      </c>
      <c r="Z109" t="s">
        <v>416</v>
      </c>
      <c r="AA109" t="s">
        <v>449</v>
      </c>
      <c r="AC109" t="s">
        <v>450</v>
      </c>
      <c r="AD109" t="s">
        <v>419</v>
      </c>
      <c r="AE109" t="s">
        <v>663</v>
      </c>
      <c r="AG109" t="s">
        <v>665</v>
      </c>
      <c r="AH109" t="s">
        <v>451</v>
      </c>
      <c r="AI109" t="s">
        <v>430</v>
      </c>
      <c r="AJ109" t="s">
        <v>452</v>
      </c>
      <c r="AK109" t="s">
        <v>466</v>
      </c>
      <c r="AL109" t="s">
        <v>453</v>
      </c>
      <c r="AM109">
        <v>66</v>
      </c>
      <c r="AN109" t="s">
        <v>434</v>
      </c>
      <c r="AO109" t="s">
        <v>435</v>
      </c>
      <c r="AP109" t="s">
        <v>473</v>
      </c>
      <c r="AQ109" t="s">
        <v>569</v>
      </c>
      <c r="AT109" t="s">
        <v>426</v>
      </c>
      <c r="AU109" t="s">
        <v>427</v>
      </c>
      <c r="AW109" t="s">
        <v>428</v>
      </c>
      <c r="AX109" t="s">
        <v>429</v>
      </c>
      <c r="CU109">
        <v>517619.42930000002</v>
      </c>
      <c r="CV109">
        <v>4945611.0039999997</v>
      </c>
      <c r="CW109">
        <v>44.663655259999999</v>
      </c>
      <c r="CX109" s="287">
        <v>-92.777750659999995</v>
      </c>
      <c r="CY109">
        <v>43678.624305555553</v>
      </c>
      <c r="CZ109" t="s">
        <v>438</v>
      </c>
      <c r="DA109" t="s">
        <v>439</v>
      </c>
      <c r="DB109" t="s">
        <v>667</v>
      </c>
      <c r="DC109" s="15" t="s">
        <v>668</v>
      </c>
      <c r="DD109" t="s">
        <v>675</v>
      </c>
    </row>
    <row r="110" spans="1:108" x14ac:dyDescent="0.25">
      <c r="A110">
        <v>1031475</v>
      </c>
      <c r="B110" t="s">
        <v>662</v>
      </c>
      <c r="C110">
        <v>316</v>
      </c>
      <c r="D110">
        <v>4.7690000000000001</v>
      </c>
      <c r="E110" t="s">
        <v>406</v>
      </c>
      <c r="G110" t="s">
        <v>407</v>
      </c>
      <c r="H110" t="s">
        <v>408</v>
      </c>
      <c r="I110" t="s">
        <v>409</v>
      </c>
      <c r="K110">
        <v>22404965</v>
      </c>
      <c r="L110">
        <v>221810095</v>
      </c>
      <c r="M110" s="288">
        <v>45449</v>
      </c>
      <c r="N110">
        <v>30</v>
      </c>
      <c r="O110">
        <v>2022</v>
      </c>
      <c r="P110" t="s">
        <v>443</v>
      </c>
      <c r="Q110">
        <v>17</v>
      </c>
      <c r="S110" t="s">
        <v>411</v>
      </c>
      <c r="T110">
        <v>0</v>
      </c>
      <c r="U110">
        <v>2</v>
      </c>
      <c r="V110" t="s">
        <v>502</v>
      </c>
      <c r="W110" t="s">
        <v>413</v>
      </c>
      <c r="X110" t="s">
        <v>414</v>
      </c>
      <c r="Y110" t="s">
        <v>626</v>
      </c>
      <c r="Z110" t="s">
        <v>416</v>
      </c>
      <c r="AA110" t="s">
        <v>504</v>
      </c>
      <c r="AC110" t="s">
        <v>450</v>
      </c>
      <c r="AD110" t="s">
        <v>419</v>
      </c>
      <c r="AE110" t="s">
        <v>663</v>
      </c>
      <c r="AG110" t="s">
        <v>665</v>
      </c>
      <c r="AH110" t="s">
        <v>507</v>
      </c>
      <c r="AI110" t="s">
        <v>430</v>
      </c>
      <c r="AJ110" t="s">
        <v>676</v>
      </c>
      <c r="AK110" t="s">
        <v>432</v>
      </c>
      <c r="AL110" t="s">
        <v>566</v>
      </c>
      <c r="AM110">
        <v>33</v>
      </c>
      <c r="AN110" t="s">
        <v>434</v>
      </c>
      <c r="AO110" t="s">
        <v>435</v>
      </c>
      <c r="AP110" t="s">
        <v>436</v>
      </c>
      <c r="AT110" t="s">
        <v>426</v>
      </c>
      <c r="AU110" t="s">
        <v>427</v>
      </c>
      <c r="AV110">
        <v>60</v>
      </c>
      <c r="AW110" t="s">
        <v>428</v>
      </c>
      <c r="AX110" t="s">
        <v>429</v>
      </c>
      <c r="AY110" t="s">
        <v>430</v>
      </c>
      <c r="AZ110" t="s">
        <v>465</v>
      </c>
      <c r="BA110" t="s">
        <v>432</v>
      </c>
      <c r="BB110" t="s">
        <v>453</v>
      </c>
      <c r="BC110">
        <v>61</v>
      </c>
      <c r="BD110" t="s">
        <v>434</v>
      </c>
      <c r="BE110" t="s">
        <v>435</v>
      </c>
      <c r="BF110" t="s">
        <v>481</v>
      </c>
      <c r="BJ110" t="s">
        <v>426</v>
      </c>
      <c r="BK110" t="s">
        <v>427</v>
      </c>
      <c r="BL110">
        <v>60</v>
      </c>
      <c r="BM110" t="s">
        <v>428</v>
      </c>
      <c r="BN110" t="s">
        <v>429</v>
      </c>
      <c r="CU110">
        <v>517409.0134</v>
      </c>
      <c r="CV110">
        <v>4945841.1320000002</v>
      </c>
      <c r="CW110">
        <v>44.6657321</v>
      </c>
      <c r="CX110" s="287">
        <v>-92.780397070000006</v>
      </c>
      <c r="CY110">
        <v>44742.743055555555</v>
      </c>
      <c r="CZ110" t="s">
        <v>438</v>
      </c>
      <c r="DA110" t="s">
        <v>439</v>
      </c>
      <c r="DB110" t="s">
        <v>667</v>
      </c>
      <c r="DC110" t="s">
        <v>668</v>
      </c>
      <c r="DD110" t="s">
        <v>677</v>
      </c>
    </row>
    <row r="111" spans="1:108" x14ac:dyDescent="0.25">
      <c r="A111">
        <v>999464</v>
      </c>
      <c r="B111" t="s">
        <v>662</v>
      </c>
      <c r="C111">
        <v>316</v>
      </c>
      <c r="D111">
        <v>4.8360000000000003</v>
      </c>
      <c r="E111" t="s">
        <v>406</v>
      </c>
      <c r="G111" t="s">
        <v>407</v>
      </c>
      <c r="H111" t="s">
        <v>408</v>
      </c>
      <c r="I111" t="s">
        <v>409</v>
      </c>
      <c r="K111">
        <v>22400528</v>
      </c>
      <c r="L111">
        <v>220150266</v>
      </c>
      <c r="M111" s="288">
        <v>45292</v>
      </c>
      <c r="N111">
        <v>15</v>
      </c>
      <c r="O111">
        <v>2022</v>
      </c>
      <c r="P111" t="s">
        <v>458</v>
      </c>
      <c r="Q111">
        <v>11</v>
      </c>
      <c r="R111" t="s">
        <v>576</v>
      </c>
      <c r="S111" t="s">
        <v>411</v>
      </c>
      <c r="T111">
        <v>0</v>
      </c>
      <c r="U111">
        <v>2</v>
      </c>
      <c r="V111" t="s">
        <v>502</v>
      </c>
      <c r="W111" t="s">
        <v>413</v>
      </c>
      <c r="X111" t="s">
        <v>414</v>
      </c>
      <c r="Y111" t="s">
        <v>415</v>
      </c>
      <c r="Z111" t="s">
        <v>416</v>
      </c>
      <c r="AA111" t="s">
        <v>449</v>
      </c>
      <c r="AC111" t="s">
        <v>450</v>
      </c>
      <c r="AD111" t="s">
        <v>419</v>
      </c>
      <c r="AE111" t="s">
        <v>663</v>
      </c>
      <c r="AG111" t="s">
        <v>665</v>
      </c>
      <c r="AH111" t="s">
        <v>507</v>
      </c>
      <c r="AI111" t="s">
        <v>430</v>
      </c>
      <c r="AJ111" t="s">
        <v>488</v>
      </c>
      <c r="AK111" t="s">
        <v>466</v>
      </c>
      <c r="AL111" t="s">
        <v>453</v>
      </c>
      <c r="AM111">
        <v>21</v>
      </c>
      <c r="AN111" t="s">
        <v>434</v>
      </c>
      <c r="AO111" t="s">
        <v>435</v>
      </c>
      <c r="AP111" t="s">
        <v>481</v>
      </c>
      <c r="AT111" t="s">
        <v>426</v>
      </c>
      <c r="AU111" t="s">
        <v>427</v>
      </c>
      <c r="AV111">
        <v>60</v>
      </c>
      <c r="AW111" t="s">
        <v>428</v>
      </c>
      <c r="AX111" t="s">
        <v>429</v>
      </c>
      <c r="AY111" t="s">
        <v>430</v>
      </c>
      <c r="AZ111" t="s">
        <v>462</v>
      </c>
      <c r="BA111" t="s">
        <v>466</v>
      </c>
      <c r="BB111" t="s">
        <v>526</v>
      </c>
      <c r="BC111">
        <v>27</v>
      </c>
      <c r="BD111" t="s">
        <v>434</v>
      </c>
      <c r="BE111" t="s">
        <v>435</v>
      </c>
      <c r="BF111" t="s">
        <v>436</v>
      </c>
      <c r="BJ111" t="s">
        <v>426</v>
      </c>
      <c r="BK111" t="s">
        <v>427</v>
      </c>
      <c r="BL111">
        <v>60</v>
      </c>
      <c r="BM111" t="s">
        <v>428</v>
      </c>
      <c r="BN111" t="s">
        <v>429</v>
      </c>
      <c r="CU111">
        <v>517336.28129999997</v>
      </c>
      <c r="CV111">
        <v>4945920.665</v>
      </c>
      <c r="CW111">
        <v>44.666449849999999</v>
      </c>
      <c r="CX111" s="287">
        <v>-92.781311869999996</v>
      </c>
      <c r="CY111">
        <v>44576.497916666667</v>
      </c>
      <c r="CZ111" t="s">
        <v>438</v>
      </c>
      <c r="DA111" t="s">
        <v>439</v>
      </c>
      <c r="DB111" t="s">
        <v>667</v>
      </c>
      <c r="DC111" t="s">
        <v>668</v>
      </c>
      <c r="DD111" t="s">
        <v>678</v>
      </c>
    </row>
    <row r="112" spans="1:108" x14ac:dyDescent="0.25">
      <c r="A112">
        <v>753392</v>
      </c>
      <c r="B112" t="s">
        <v>662</v>
      </c>
      <c r="C112">
        <v>316</v>
      </c>
      <c r="D112">
        <v>4.8600000000000003</v>
      </c>
      <c r="E112" t="s">
        <v>406</v>
      </c>
      <c r="G112" t="s">
        <v>407</v>
      </c>
      <c r="H112" t="s">
        <v>408</v>
      </c>
      <c r="I112" t="s">
        <v>409</v>
      </c>
      <c r="K112">
        <v>19104869</v>
      </c>
      <c r="L112">
        <v>192820165</v>
      </c>
      <c r="M112" s="288">
        <v>45575</v>
      </c>
      <c r="N112">
        <v>9</v>
      </c>
      <c r="O112">
        <v>2019</v>
      </c>
      <c r="P112" t="s">
        <v>549</v>
      </c>
      <c r="Q112">
        <v>19</v>
      </c>
      <c r="S112" t="s">
        <v>497</v>
      </c>
      <c r="T112">
        <v>0</v>
      </c>
      <c r="U112">
        <v>2</v>
      </c>
      <c r="V112" t="s">
        <v>502</v>
      </c>
      <c r="W112" t="s">
        <v>413</v>
      </c>
      <c r="X112" t="s">
        <v>414</v>
      </c>
      <c r="Y112" t="s">
        <v>503</v>
      </c>
      <c r="Z112" t="s">
        <v>615</v>
      </c>
      <c r="AA112" t="s">
        <v>449</v>
      </c>
      <c r="AC112" t="s">
        <v>450</v>
      </c>
      <c r="AD112" t="s">
        <v>419</v>
      </c>
      <c r="AE112" t="s">
        <v>663</v>
      </c>
      <c r="AG112" t="s">
        <v>665</v>
      </c>
      <c r="AH112" t="s">
        <v>507</v>
      </c>
      <c r="AI112" t="s">
        <v>430</v>
      </c>
      <c r="AJ112" t="s">
        <v>462</v>
      </c>
      <c r="AK112" t="s">
        <v>432</v>
      </c>
      <c r="AL112" t="s">
        <v>453</v>
      </c>
      <c r="AM112">
        <v>67</v>
      </c>
      <c r="AN112" t="s">
        <v>454</v>
      </c>
      <c r="AO112" t="s">
        <v>435</v>
      </c>
      <c r="AP112" t="s">
        <v>559</v>
      </c>
      <c r="AT112" t="s">
        <v>426</v>
      </c>
      <c r="AU112" t="s">
        <v>427</v>
      </c>
      <c r="AV112">
        <v>60</v>
      </c>
      <c r="AW112" t="s">
        <v>428</v>
      </c>
      <c r="AX112" t="s">
        <v>429</v>
      </c>
      <c r="AY112" t="s">
        <v>430</v>
      </c>
      <c r="AZ112" t="s">
        <v>465</v>
      </c>
      <c r="BA112" t="s">
        <v>432</v>
      </c>
      <c r="BB112" t="s">
        <v>566</v>
      </c>
      <c r="BC112">
        <v>47</v>
      </c>
      <c r="BD112" t="s">
        <v>434</v>
      </c>
      <c r="BE112" t="s">
        <v>435</v>
      </c>
      <c r="BF112" t="s">
        <v>436</v>
      </c>
      <c r="BJ112" t="s">
        <v>426</v>
      </c>
      <c r="BK112" t="s">
        <v>427</v>
      </c>
      <c r="BL112">
        <v>60</v>
      </c>
      <c r="BM112" t="s">
        <v>428</v>
      </c>
      <c r="BN112" t="s">
        <v>429</v>
      </c>
      <c r="CU112">
        <v>517309.75689999998</v>
      </c>
      <c r="CV112">
        <v>4945948.9790000003</v>
      </c>
      <c r="CW112">
        <v>44.666705380000003</v>
      </c>
      <c r="CX112" s="287">
        <v>-92.781645510000004</v>
      </c>
      <c r="CY112">
        <v>43747.821527777778</v>
      </c>
      <c r="CZ112" t="s">
        <v>438</v>
      </c>
      <c r="DA112" t="s">
        <v>439</v>
      </c>
      <c r="DB112" t="s">
        <v>679</v>
      </c>
      <c r="DC112" t="s">
        <v>668</v>
      </c>
      <c r="DD112" t="s">
        <v>680</v>
      </c>
    </row>
    <row r="113" spans="1:108" x14ac:dyDescent="0.25">
      <c r="A113">
        <v>844328</v>
      </c>
      <c r="B113" t="s">
        <v>662</v>
      </c>
      <c r="C113">
        <v>316</v>
      </c>
      <c r="D113">
        <v>4.93</v>
      </c>
      <c r="E113" t="s">
        <v>406</v>
      </c>
      <c r="G113" t="s">
        <v>407</v>
      </c>
      <c r="H113" t="s">
        <v>408</v>
      </c>
      <c r="I113" t="s">
        <v>409</v>
      </c>
      <c r="K113">
        <v>20405990</v>
      </c>
      <c r="L113">
        <v>202770083</v>
      </c>
      <c r="M113" s="288">
        <v>45575</v>
      </c>
      <c r="N113">
        <v>3</v>
      </c>
      <c r="O113">
        <v>2020</v>
      </c>
      <c r="P113" t="s">
        <v>458</v>
      </c>
      <c r="Q113">
        <v>5</v>
      </c>
      <c r="R113" t="s">
        <v>576</v>
      </c>
      <c r="S113" t="s">
        <v>445</v>
      </c>
      <c r="T113">
        <v>0</v>
      </c>
      <c r="U113">
        <v>1</v>
      </c>
      <c r="W113" t="s">
        <v>597</v>
      </c>
      <c r="X113" t="s">
        <v>447</v>
      </c>
      <c r="Y113" t="s">
        <v>503</v>
      </c>
      <c r="Z113" t="s">
        <v>471</v>
      </c>
      <c r="AA113" t="s">
        <v>449</v>
      </c>
      <c r="AC113" t="s">
        <v>450</v>
      </c>
      <c r="AD113" t="s">
        <v>419</v>
      </c>
      <c r="AE113" t="s">
        <v>663</v>
      </c>
      <c r="AG113" t="s">
        <v>665</v>
      </c>
      <c r="AH113" t="s">
        <v>451</v>
      </c>
      <c r="AI113" t="s">
        <v>430</v>
      </c>
      <c r="AJ113" t="s">
        <v>462</v>
      </c>
      <c r="AK113" t="s">
        <v>466</v>
      </c>
      <c r="AL113" t="s">
        <v>433</v>
      </c>
      <c r="AM113">
        <v>26</v>
      </c>
      <c r="AN113" t="s">
        <v>434</v>
      </c>
      <c r="AO113" t="s">
        <v>435</v>
      </c>
      <c r="AP113" t="s">
        <v>464</v>
      </c>
      <c r="AT113" t="s">
        <v>426</v>
      </c>
      <c r="AU113" t="s">
        <v>427</v>
      </c>
      <c r="AV113">
        <v>55</v>
      </c>
      <c r="AW113" t="s">
        <v>428</v>
      </c>
      <c r="AX113" t="s">
        <v>429</v>
      </c>
      <c r="CU113">
        <v>517231.20319999999</v>
      </c>
      <c r="CV113">
        <v>4946031.318</v>
      </c>
      <c r="CW113">
        <v>44.667448520000001</v>
      </c>
      <c r="CX113" s="287">
        <v>-92.782633689999997</v>
      </c>
      <c r="CY113">
        <v>44107.239583333336</v>
      </c>
      <c r="CZ113" t="s">
        <v>438</v>
      </c>
      <c r="DA113" t="s">
        <v>439</v>
      </c>
      <c r="DB113" t="s">
        <v>667</v>
      </c>
      <c r="DC113" t="s">
        <v>668</v>
      </c>
      <c r="DD113" t="s">
        <v>681</v>
      </c>
    </row>
    <row r="114" spans="1:108" ht="30" x14ac:dyDescent="0.25">
      <c r="A114">
        <v>688221</v>
      </c>
      <c r="B114" t="s">
        <v>662</v>
      </c>
      <c r="C114">
        <v>316</v>
      </c>
      <c r="D114">
        <v>4.9450000000000003</v>
      </c>
      <c r="E114" t="s">
        <v>406</v>
      </c>
      <c r="G114" t="s">
        <v>407</v>
      </c>
      <c r="H114" t="s">
        <v>408</v>
      </c>
      <c r="I114" t="s">
        <v>409</v>
      </c>
      <c r="K114">
        <v>19402009</v>
      </c>
      <c r="L114">
        <v>190450062</v>
      </c>
      <c r="M114" s="288">
        <v>45324</v>
      </c>
      <c r="N114">
        <v>14</v>
      </c>
      <c r="O114">
        <v>2019</v>
      </c>
      <c r="P114" t="s">
        <v>443</v>
      </c>
      <c r="Q114">
        <v>8</v>
      </c>
      <c r="R114" t="s">
        <v>484</v>
      </c>
      <c r="S114" t="s">
        <v>485</v>
      </c>
      <c r="T114">
        <v>0</v>
      </c>
      <c r="U114">
        <v>2</v>
      </c>
      <c r="V114" t="s">
        <v>459</v>
      </c>
      <c r="W114" t="s">
        <v>413</v>
      </c>
      <c r="X114" t="s">
        <v>414</v>
      </c>
      <c r="Y114" t="s">
        <v>503</v>
      </c>
      <c r="Z114" t="s">
        <v>416</v>
      </c>
      <c r="AA114" t="s">
        <v>449</v>
      </c>
      <c r="AC114" t="s">
        <v>450</v>
      </c>
      <c r="AD114" t="s">
        <v>419</v>
      </c>
      <c r="AE114" t="s">
        <v>663</v>
      </c>
      <c r="AG114" t="s">
        <v>665</v>
      </c>
      <c r="AH114" t="s">
        <v>461</v>
      </c>
      <c r="AI114" t="s">
        <v>430</v>
      </c>
      <c r="AJ114" t="s">
        <v>462</v>
      </c>
      <c r="AK114" t="s">
        <v>432</v>
      </c>
      <c r="AL114" t="s">
        <v>651</v>
      </c>
      <c r="AM114">
        <v>20</v>
      </c>
      <c r="AN114" t="s">
        <v>454</v>
      </c>
      <c r="AO114" t="s">
        <v>515</v>
      </c>
      <c r="AP114" t="s">
        <v>569</v>
      </c>
      <c r="AT114" t="s">
        <v>426</v>
      </c>
      <c r="AU114" t="s">
        <v>427</v>
      </c>
      <c r="AV114">
        <v>55</v>
      </c>
      <c r="AW114" t="s">
        <v>428</v>
      </c>
      <c r="AX114" t="s">
        <v>429</v>
      </c>
      <c r="AY114" t="s">
        <v>430</v>
      </c>
      <c r="AZ114" t="s">
        <v>465</v>
      </c>
      <c r="BA114" t="s">
        <v>466</v>
      </c>
      <c r="BB114" t="s">
        <v>453</v>
      </c>
      <c r="BC114">
        <v>58</v>
      </c>
      <c r="BD114" t="s">
        <v>434</v>
      </c>
      <c r="BE114" t="s">
        <v>435</v>
      </c>
      <c r="BF114" t="s">
        <v>436</v>
      </c>
      <c r="BJ114" t="s">
        <v>426</v>
      </c>
      <c r="BK114" t="s">
        <v>427</v>
      </c>
      <c r="BL114">
        <v>55</v>
      </c>
      <c r="BM114" t="s">
        <v>428</v>
      </c>
      <c r="BN114" t="s">
        <v>429</v>
      </c>
      <c r="CU114">
        <v>517214.57870000001</v>
      </c>
      <c r="CV114">
        <v>4946048.7429999998</v>
      </c>
      <c r="CW114">
        <v>44.667605790000003</v>
      </c>
      <c r="CX114" s="287">
        <v>-92.782842819999999</v>
      </c>
      <c r="CY114">
        <v>43510.359722222223</v>
      </c>
      <c r="CZ114" t="s">
        <v>438</v>
      </c>
      <c r="DA114" t="s">
        <v>439</v>
      </c>
      <c r="DB114" t="s">
        <v>667</v>
      </c>
      <c r="DC114" s="15" t="s">
        <v>668</v>
      </c>
      <c r="DD114" t="s">
        <v>682</v>
      </c>
    </row>
    <row r="115" spans="1:108" x14ac:dyDescent="0.25">
      <c r="A115">
        <v>691666</v>
      </c>
      <c r="B115" t="s">
        <v>662</v>
      </c>
      <c r="C115">
        <v>316</v>
      </c>
      <c r="D115">
        <v>5.3929999999999998</v>
      </c>
      <c r="E115" t="s">
        <v>406</v>
      </c>
      <c r="G115" t="s">
        <v>407</v>
      </c>
      <c r="H115" t="s">
        <v>408</v>
      </c>
      <c r="I115" t="s">
        <v>409</v>
      </c>
      <c r="K115">
        <v>19000284</v>
      </c>
      <c r="L115">
        <v>190560133</v>
      </c>
      <c r="M115" s="288">
        <v>45324</v>
      </c>
      <c r="N115">
        <v>25</v>
      </c>
      <c r="O115">
        <v>2019</v>
      </c>
      <c r="P115" t="s">
        <v>517</v>
      </c>
      <c r="Q115">
        <v>7</v>
      </c>
      <c r="R115" t="s">
        <v>444</v>
      </c>
      <c r="S115" t="s">
        <v>411</v>
      </c>
      <c r="T115">
        <v>0</v>
      </c>
      <c r="U115">
        <v>1</v>
      </c>
      <c r="W115" t="s">
        <v>523</v>
      </c>
      <c r="X115" t="s">
        <v>414</v>
      </c>
      <c r="Y115" t="s">
        <v>503</v>
      </c>
      <c r="Z115" t="s">
        <v>416</v>
      </c>
      <c r="AA115" t="s">
        <v>504</v>
      </c>
      <c r="AC115" t="s">
        <v>460</v>
      </c>
      <c r="AD115" t="s">
        <v>419</v>
      </c>
      <c r="AE115" t="s">
        <v>663</v>
      </c>
      <c r="AG115" t="s">
        <v>665</v>
      </c>
      <c r="AH115" t="s">
        <v>451</v>
      </c>
      <c r="AI115" t="s">
        <v>430</v>
      </c>
      <c r="AJ115" t="s">
        <v>465</v>
      </c>
      <c r="AK115" t="s">
        <v>432</v>
      </c>
      <c r="AL115" t="s">
        <v>453</v>
      </c>
      <c r="AM115">
        <v>43</v>
      </c>
      <c r="AN115" t="s">
        <v>454</v>
      </c>
      <c r="AO115" t="s">
        <v>435</v>
      </c>
      <c r="AP115" t="s">
        <v>436</v>
      </c>
      <c r="AT115" t="s">
        <v>426</v>
      </c>
      <c r="AU115" t="s">
        <v>427</v>
      </c>
      <c r="AV115">
        <v>60</v>
      </c>
      <c r="AW115" t="s">
        <v>428</v>
      </c>
      <c r="AX115" t="s">
        <v>429</v>
      </c>
      <c r="CU115">
        <v>516720.44790000003</v>
      </c>
      <c r="CV115">
        <v>4946573.7939999998</v>
      </c>
      <c r="CW115">
        <v>44.672344189999997</v>
      </c>
      <c r="CX115" s="287">
        <v>-92.789059179999995</v>
      </c>
      <c r="CY115">
        <v>43521.298611111109</v>
      </c>
      <c r="CZ115" t="s">
        <v>438</v>
      </c>
      <c r="DA115" t="s">
        <v>439</v>
      </c>
      <c r="DB115" t="s">
        <v>440</v>
      </c>
      <c r="DC115" t="s">
        <v>441</v>
      </c>
      <c r="DD115" t="s">
        <v>683</v>
      </c>
    </row>
    <row r="116" spans="1:108" x14ac:dyDescent="0.25">
      <c r="A116">
        <v>811342</v>
      </c>
      <c r="B116" t="s">
        <v>662</v>
      </c>
      <c r="C116">
        <v>316</v>
      </c>
      <c r="D116">
        <v>5.5090000000000003</v>
      </c>
      <c r="E116" t="s">
        <v>406</v>
      </c>
      <c r="G116" t="s">
        <v>407</v>
      </c>
      <c r="H116" t="s">
        <v>408</v>
      </c>
      <c r="I116" t="s">
        <v>409</v>
      </c>
      <c r="K116">
        <v>20403160</v>
      </c>
      <c r="L116">
        <v>201430093</v>
      </c>
      <c r="M116" s="288">
        <v>45417</v>
      </c>
      <c r="N116">
        <v>22</v>
      </c>
      <c r="O116">
        <v>2020</v>
      </c>
      <c r="P116" t="s">
        <v>501</v>
      </c>
      <c r="Q116">
        <v>8</v>
      </c>
      <c r="R116" t="s">
        <v>496</v>
      </c>
      <c r="S116" t="s">
        <v>411</v>
      </c>
      <c r="T116">
        <v>0</v>
      </c>
      <c r="U116">
        <v>2</v>
      </c>
      <c r="V116" t="s">
        <v>486</v>
      </c>
      <c r="W116" t="s">
        <v>413</v>
      </c>
      <c r="X116" t="s">
        <v>414</v>
      </c>
      <c r="Y116" t="s">
        <v>684</v>
      </c>
      <c r="Z116" t="s">
        <v>416</v>
      </c>
      <c r="AA116" t="s">
        <v>504</v>
      </c>
      <c r="AC116" t="s">
        <v>450</v>
      </c>
      <c r="AD116" t="s">
        <v>419</v>
      </c>
      <c r="AE116" t="s">
        <v>663</v>
      </c>
      <c r="AG116" t="s">
        <v>665</v>
      </c>
      <c r="AH116" t="s">
        <v>486</v>
      </c>
      <c r="AI116" t="s">
        <v>430</v>
      </c>
      <c r="AJ116" t="s">
        <v>431</v>
      </c>
      <c r="AK116" t="s">
        <v>424</v>
      </c>
      <c r="AL116" t="s">
        <v>453</v>
      </c>
      <c r="AM116">
        <v>28</v>
      </c>
      <c r="AN116" t="s">
        <v>434</v>
      </c>
      <c r="AO116" t="s">
        <v>435</v>
      </c>
      <c r="AP116" t="s">
        <v>487</v>
      </c>
      <c r="AT116" t="s">
        <v>426</v>
      </c>
      <c r="AU116" t="s">
        <v>437</v>
      </c>
      <c r="AV116">
        <v>60</v>
      </c>
      <c r="AW116" t="s">
        <v>428</v>
      </c>
      <c r="AX116" t="s">
        <v>429</v>
      </c>
      <c r="AY116" t="s">
        <v>430</v>
      </c>
      <c r="AZ116" t="s">
        <v>465</v>
      </c>
      <c r="BA116" t="s">
        <v>432</v>
      </c>
      <c r="BB116" t="s">
        <v>453</v>
      </c>
      <c r="BC116">
        <v>38</v>
      </c>
      <c r="BD116" t="s">
        <v>434</v>
      </c>
      <c r="BE116" t="s">
        <v>435</v>
      </c>
      <c r="BF116" t="s">
        <v>436</v>
      </c>
      <c r="BJ116" t="s">
        <v>426</v>
      </c>
      <c r="BK116" t="s">
        <v>427</v>
      </c>
      <c r="BL116">
        <v>60</v>
      </c>
      <c r="BM116" t="s">
        <v>428</v>
      </c>
      <c r="BN116" t="s">
        <v>429</v>
      </c>
      <c r="CU116">
        <v>516591.88250000001</v>
      </c>
      <c r="CV116">
        <v>4946708.773</v>
      </c>
      <c r="CW116">
        <v>44.6735623</v>
      </c>
      <c r="CX116" s="287">
        <v>-92.7906768</v>
      </c>
      <c r="CY116">
        <v>43973.349305555559</v>
      </c>
      <c r="CZ116" t="s">
        <v>438</v>
      </c>
      <c r="DA116" t="s">
        <v>439</v>
      </c>
      <c r="DB116" t="s">
        <v>667</v>
      </c>
      <c r="DC116" t="s">
        <v>668</v>
      </c>
      <c r="DD116" t="s">
        <v>685</v>
      </c>
    </row>
    <row r="117" spans="1:108" x14ac:dyDescent="0.25">
      <c r="A117">
        <v>718925</v>
      </c>
      <c r="B117" t="s">
        <v>662</v>
      </c>
      <c r="C117">
        <v>316</v>
      </c>
      <c r="D117">
        <v>5.7389999999999999</v>
      </c>
      <c r="E117" t="s">
        <v>406</v>
      </c>
      <c r="G117" t="s">
        <v>522</v>
      </c>
      <c r="H117" t="s">
        <v>408</v>
      </c>
      <c r="I117" t="s">
        <v>409</v>
      </c>
      <c r="K117">
        <v>19404464</v>
      </c>
      <c r="L117">
        <v>191280261</v>
      </c>
      <c r="M117" s="288">
        <v>45417</v>
      </c>
      <c r="N117">
        <v>8</v>
      </c>
      <c r="O117">
        <v>2019</v>
      </c>
      <c r="P117" t="s">
        <v>549</v>
      </c>
      <c r="Q117">
        <v>20</v>
      </c>
      <c r="R117" t="s">
        <v>444</v>
      </c>
      <c r="S117" t="s">
        <v>411</v>
      </c>
      <c r="T117">
        <v>0</v>
      </c>
      <c r="U117">
        <v>1</v>
      </c>
      <c r="W117" t="s">
        <v>597</v>
      </c>
      <c r="X117" t="s">
        <v>524</v>
      </c>
      <c r="Y117" t="s">
        <v>503</v>
      </c>
      <c r="Z117" t="s">
        <v>471</v>
      </c>
      <c r="AA117" t="s">
        <v>417</v>
      </c>
      <c r="AC117" t="s">
        <v>418</v>
      </c>
      <c r="AD117" t="s">
        <v>419</v>
      </c>
      <c r="AE117" t="s">
        <v>663</v>
      </c>
      <c r="AG117" t="s">
        <v>665</v>
      </c>
      <c r="AH117" t="s">
        <v>451</v>
      </c>
      <c r="AI117" t="s">
        <v>430</v>
      </c>
      <c r="AJ117" t="s">
        <v>431</v>
      </c>
      <c r="AK117" t="s">
        <v>432</v>
      </c>
      <c r="AL117" t="s">
        <v>453</v>
      </c>
      <c r="AM117">
        <v>56</v>
      </c>
      <c r="AN117" t="s">
        <v>434</v>
      </c>
      <c r="AO117" t="s">
        <v>491</v>
      </c>
      <c r="AP117" t="s">
        <v>473</v>
      </c>
      <c r="AQ117" t="s">
        <v>492</v>
      </c>
      <c r="AT117" t="s">
        <v>426</v>
      </c>
      <c r="AU117" t="s">
        <v>427</v>
      </c>
      <c r="AV117">
        <v>60</v>
      </c>
      <c r="AW117" t="s">
        <v>428</v>
      </c>
      <c r="AX117" t="s">
        <v>429</v>
      </c>
      <c r="CU117">
        <v>516335.18040000001</v>
      </c>
      <c r="CV117">
        <v>4946974.6670000004</v>
      </c>
      <c r="CW117">
        <v>44.675961870000002</v>
      </c>
      <c r="CX117" s="287">
        <v>-92.793906969999995</v>
      </c>
      <c r="CY117">
        <v>43593.852777777778</v>
      </c>
      <c r="CZ117" t="s">
        <v>438</v>
      </c>
      <c r="DA117" t="s">
        <v>439</v>
      </c>
      <c r="DB117" t="s">
        <v>667</v>
      </c>
      <c r="DC117" t="s">
        <v>668</v>
      </c>
      <c r="DD117" t="s">
        <v>686</v>
      </c>
    </row>
    <row r="118" spans="1:108" x14ac:dyDescent="0.25">
      <c r="A118">
        <v>724491</v>
      </c>
      <c r="B118" t="s">
        <v>662</v>
      </c>
      <c r="C118">
        <v>316</v>
      </c>
      <c r="D118">
        <v>5.9779999999999998</v>
      </c>
      <c r="E118" t="s">
        <v>406</v>
      </c>
      <c r="G118" t="s">
        <v>522</v>
      </c>
      <c r="H118" t="s">
        <v>408</v>
      </c>
      <c r="I118" t="s">
        <v>409</v>
      </c>
      <c r="K118">
        <v>19000797</v>
      </c>
      <c r="L118">
        <v>191550163</v>
      </c>
      <c r="M118" s="288">
        <v>45449</v>
      </c>
      <c r="N118">
        <v>4</v>
      </c>
      <c r="O118">
        <v>2019</v>
      </c>
      <c r="P118" t="s">
        <v>468</v>
      </c>
      <c r="Q118">
        <v>5</v>
      </c>
      <c r="R118" t="s">
        <v>576</v>
      </c>
      <c r="S118" t="s">
        <v>411</v>
      </c>
      <c r="T118">
        <v>0</v>
      </c>
      <c r="U118">
        <v>1</v>
      </c>
      <c r="W118" t="s">
        <v>518</v>
      </c>
      <c r="X118" t="s">
        <v>414</v>
      </c>
      <c r="Y118" t="s">
        <v>503</v>
      </c>
      <c r="Z118" t="s">
        <v>448</v>
      </c>
      <c r="AA118" t="s">
        <v>449</v>
      </c>
      <c r="AC118" t="s">
        <v>450</v>
      </c>
      <c r="AD118" t="s">
        <v>419</v>
      </c>
      <c r="AE118" t="s">
        <v>663</v>
      </c>
      <c r="AG118" t="s">
        <v>665</v>
      </c>
      <c r="AH118" t="s">
        <v>480</v>
      </c>
      <c r="AI118" t="s">
        <v>430</v>
      </c>
      <c r="AJ118" t="s">
        <v>462</v>
      </c>
      <c r="AK118" t="s">
        <v>466</v>
      </c>
      <c r="AL118" t="s">
        <v>453</v>
      </c>
      <c r="AM118">
        <v>42</v>
      </c>
      <c r="AN118" t="s">
        <v>434</v>
      </c>
      <c r="AO118" t="s">
        <v>435</v>
      </c>
      <c r="AP118" t="s">
        <v>436</v>
      </c>
      <c r="AT118" t="s">
        <v>426</v>
      </c>
      <c r="AU118" t="s">
        <v>427</v>
      </c>
      <c r="AW118" t="s">
        <v>428</v>
      </c>
      <c r="AX118" t="s">
        <v>429</v>
      </c>
      <c r="CU118">
        <v>516066.76579999999</v>
      </c>
      <c r="CV118">
        <v>4947251.182</v>
      </c>
      <c r="CW118">
        <v>44.678457229999999</v>
      </c>
      <c r="CX118" s="287">
        <v>-92.797284849999997</v>
      </c>
      <c r="CY118">
        <v>43620.225694444445</v>
      </c>
      <c r="CZ118" t="s">
        <v>438</v>
      </c>
      <c r="DA118" t="s">
        <v>439</v>
      </c>
      <c r="DB118" t="s">
        <v>440</v>
      </c>
      <c r="DC118" s="15" t="s">
        <v>441</v>
      </c>
      <c r="DD118" t="s">
        <v>687</v>
      </c>
    </row>
    <row r="119" spans="1:108" ht="15.75" customHeight="1" x14ac:dyDescent="0.25">
      <c r="A119">
        <v>754977</v>
      </c>
      <c r="B119" t="s">
        <v>662</v>
      </c>
      <c r="C119">
        <v>316</v>
      </c>
      <c r="D119">
        <v>6.3570000000000002</v>
      </c>
      <c r="E119" t="s">
        <v>406</v>
      </c>
      <c r="G119" t="s">
        <v>522</v>
      </c>
      <c r="H119" t="s">
        <v>408</v>
      </c>
      <c r="I119" t="s">
        <v>409</v>
      </c>
      <c r="K119">
        <v>19001497</v>
      </c>
      <c r="L119">
        <v>192850233</v>
      </c>
      <c r="M119" s="288">
        <v>45575</v>
      </c>
      <c r="N119">
        <v>12</v>
      </c>
      <c r="O119">
        <v>2019</v>
      </c>
      <c r="P119" t="s">
        <v>458</v>
      </c>
      <c r="Q119">
        <v>22</v>
      </c>
      <c r="R119" t="s">
        <v>444</v>
      </c>
      <c r="S119" t="s">
        <v>445</v>
      </c>
      <c r="T119">
        <v>0</v>
      </c>
      <c r="U119">
        <v>1</v>
      </c>
      <c r="W119" t="s">
        <v>565</v>
      </c>
      <c r="X119" t="s">
        <v>524</v>
      </c>
      <c r="Y119" t="s">
        <v>503</v>
      </c>
      <c r="Z119" t="s">
        <v>519</v>
      </c>
      <c r="AA119" t="s">
        <v>417</v>
      </c>
      <c r="AB119" t="s">
        <v>504</v>
      </c>
      <c r="AC119" t="s">
        <v>418</v>
      </c>
      <c r="AD119" t="s">
        <v>419</v>
      </c>
      <c r="AE119" t="s">
        <v>663</v>
      </c>
      <c r="AG119" t="s">
        <v>665</v>
      </c>
      <c r="AH119" t="s">
        <v>451</v>
      </c>
      <c r="AI119" t="s">
        <v>430</v>
      </c>
      <c r="AJ119" t="s">
        <v>462</v>
      </c>
      <c r="AK119" t="s">
        <v>432</v>
      </c>
      <c r="AL119" t="s">
        <v>515</v>
      </c>
      <c r="AM119">
        <v>65</v>
      </c>
      <c r="AN119" t="s">
        <v>434</v>
      </c>
      <c r="AO119" t="s">
        <v>491</v>
      </c>
      <c r="AP119" t="s">
        <v>559</v>
      </c>
      <c r="AQ119" t="s">
        <v>492</v>
      </c>
      <c r="AT119" t="s">
        <v>426</v>
      </c>
      <c r="AU119" t="s">
        <v>427</v>
      </c>
      <c r="AV119">
        <v>60</v>
      </c>
      <c r="AW119" t="s">
        <v>428</v>
      </c>
      <c r="AX119" t="s">
        <v>429</v>
      </c>
      <c r="CU119">
        <v>515642.5086</v>
      </c>
      <c r="CV119">
        <v>4947689.6030000001</v>
      </c>
      <c r="CW119">
        <v>44.682413429999997</v>
      </c>
      <c r="CX119" s="287">
        <v>-92.802624489999999</v>
      </c>
      <c r="CY119">
        <v>43750.916666666664</v>
      </c>
      <c r="CZ119" t="s">
        <v>438</v>
      </c>
      <c r="DA119" t="s">
        <v>439</v>
      </c>
      <c r="DB119" t="s">
        <v>440</v>
      </c>
      <c r="DC119" t="s">
        <v>441</v>
      </c>
      <c r="DD119" t="s">
        <v>688</v>
      </c>
    </row>
    <row r="120" spans="1:108" ht="30" x14ac:dyDescent="0.25">
      <c r="A120">
        <v>1095488</v>
      </c>
      <c r="B120" t="s">
        <v>662</v>
      </c>
      <c r="C120">
        <v>316</v>
      </c>
      <c r="D120">
        <v>6.8209999999999997</v>
      </c>
      <c r="E120" t="s">
        <v>406</v>
      </c>
      <c r="G120" t="s">
        <v>522</v>
      </c>
      <c r="H120" t="s">
        <v>408</v>
      </c>
      <c r="I120" t="s">
        <v>409</v>
      </c>
      <c r="K120">
        <v>23403052</v>
      </c>
      <c r="L120">
        <v>231140109</v>
      </c>
      <c r="M120" s="288">
        <v>45386</v>
      </c>
      <c r="N120">
        <v>24</v>
      </c>
      <c r="O120">
        <v>2023</v>
      </c>
      <c r="P120" t="s">
        <v>517</v>
      </c>
      <c r="Q120">
        <v>16</v>
      </c>
      <c r="S120" t="s">
        <v>411</v>
      </c>
      <c r="T120">
        <v>0</v>
      </c>
      <c r="U120">
        <v>1</v>
      </c>
      <c r="W120" t="s">
        <v>689</v>
      </c>
      <c r="X120" t="s">
        <v>414</v>
      </c>
      <c r="Y120" t="s">
        <v>503</v>
      </c>
      <c r="Z120" t="s">
        <v>416</v>
      </c>
      <c r="AA120" t="s">
        <v>449</v>
      </c>
      <c r="AC120" t="s">
        <v>450</v>
      </c>
      <c r="AD120" t="s">
        <v>419</v>
      </c>
      <c r="AE120" t="s">
        <v>690</v>
      </c>
      <c r="AG120" t="s">
        <v>665</v>
      </c>
      <c r="AH120" t="s">
        <v>601</v>
      </c>
      <c r="AI120" t="s">
        <v>430</v>
      </c>
      <c r="AJ120" t="s">
        <v>452</v>
      </c>
      <c r="AK120" t="s">
        <v>424</v>
      </c>
      <c r="AL120" t="s">
        <v>453</v>
      </c>
      <c r="AM120">
        <v>38</v>
      </c>
      <c r="AN120" t="s">
        <v>434</v>
      </c>
      <c r="AO120" t="s">
        <v>435</v>
      </c>
      <c r="AP120" t="s">
        <v>492</v>
      </c>
      <c r="AT120" t="s">
        <v>426</v>
      </c>
      <c r="AU120" t="s">
        <v>427</v>
      </c>
      <c r="AV120">
        <v>60</v>
      </c>
      <c r="AW120" t="s">
        <v>428</v>
      </c>
      <c r="AX120" t="s">
        <v>429</v>
      </c>
      <c r="AY120" t="s">
        <v>691</v>
      </c>
      <c r="BC120">
        <v>64</v>
      </c>
      <c r="BD120" t="s">
        <v>434</v>
      </c>
      <c r="BE120" t="s">
        <v>435</v>
      </c>
      <c r="BF120" t="s">
        <v>545</v>
      </c>
      <c r="BH120" t="s">
        <v>529</v>
      </c>
      <c r="BI120" t="s">
        <v>692</v>
      </c>
      <c r="CU120">
        <v>515125.11330000003</v>
      </c>
      <c r="CV120">
        <v>4948226.3210000005</v>
      </c>
      <c r="CW120">
        <v>44.687256269999999</v>
      </c>
      <c r="CX120" s="287">
        <v>-92.809137280000002</v>
      </c>
      <c r="CY120">
        <v>45040.693055555559</v>
      </c>
      <c r="CZ120" t="s">
        <v>438</v>
      </c>
      <c r="DA120" t="s">
        <v>439</v>
      </c>
      <c r="DB120" t="s">
        <v>667</v>
      </c>
      <c r="DC120" s="15" t="s">
        <v>668</v>
      </c>
      <c r="DD120" t="s">
        <v>693</v>
      </c>
    </row>
    <row r="121" spans="1:108" ht="30" x14ac:dyDescent="0.25">
      <c r="A121">
        <v>1116619</v>
      </c>
      <c r="B121" t="s">
        <v>662</v>
      </c>
      <c r="C121">
        <v>316</v>
      </c>
      <c r="D121">
        <v>7.0940000000000003</v>
      </c>
      <c r="E121" t="s">
        <v>406</v>
      </c>
      <c r="G121" t="s">
        <v>522</v>
      </c>
      <c r="H121" t="s">
        <v>408</v>
      </c>
      <c r="I121" t="s">
        <v>409</v>
      </c>
      <c r="K121">
        <v>23404511</v>
      </c>
      <c r="L121">
        <v>231740164</v>
      </c>
      <c r="M121" s="288">
        <v>45449</v>
      </c>
      <c r="N121">
        <v>23</v>
      </c>
      <c r="O121">
        <v>2023</v>
      </c>
      <c r="P121" t="s">
        <v>501</v>
      </c>
      <c r="Q121">
        <v>14</v>
      </c>
      <c r="R121" t="s">
        <v>576</v>
      </c>
      <c r="S121" t="s">
        <v>497</v>
      </c>
      <c r="T121">
        <v>0</v>
      </c>
      <c r="U121">
        <v>2</v>
      </c>
      <c r="V121" t="s">
        <v>412</v>
      </c>
      <c r="W121" t="s">
        <v>413</v>
      </c>
      <c r="X121" t="s">
        <v>414</v>
      </c>
      <c r="Y121" t="s">
        <v>503</v>
      </c>
      <c r="Z121" t="s">
        <v>416</v>
      </c>
      <c r="AA121" t="s">
        <v>449</v>
      </c>
      <c r="AC121" t="s">
        <v>450</v>
      </c>
      <c r="AD121" t="s">
        <v>694</v>
      </c>
      <c r="AE121" t="s">
        <v>663</v>
      </c>
      <c r="AG121" t="s">
        <v>665</v>
      </c>
      <c r="AH121" t="s">
        <v>422</v>
      </c>
      <c r="AI121" t="s">
        <v>430</v>
      </c>
      <c r="AJ121" t="s">
        <v>462</v>
      </c>
      <c r="AK121" t="s">
        <v>466</v>
      </c>
      <c r="AL121" t="s">
        <v>529</v>
      </c>
      <c r="AM121">
        <v>33</v>
      </c>
      <c r="AN121" t="s">
        <v>434</v>
      </c>
      <c r="AO121" t="s">
        <v>695</v>
      </c>
      <c r="AP121" t="s">
        <v>492</v>
      </c>
      <c r="AQ121" t="s">
        <v>652</v>
      </c>
      <c r="AT121" t="s">
        <v>426</v>
      </c>
      <c r="AU121" t="s">
        <v>427</v>
      </c>
      <c r="AV121">
        <v>55</v>
      </c>
      <c r="AW121" t="s">
        <v>428</v>
      </c>
      <c r="AX121" t="s">
        <v>429</v>
      </c>
      <c r="AY121" t="s">
        <v>430</v>
      </c>
      <c r="AZ121" t="s">
        <v>488</v>
      </c>
      <c r="BA121" t="s">
        <v>432</v>
      </c>
      <c r="BB121" t="s">
        <v>453</v>
      </c>
      <c r="BC121">
        <v>34</v>
      </c>
      <c r="BD121" t="s">
        <v>434</v>
      </c>
      <c r="BE121" t="s">
        <v>435</v>
      </c>
      <c r="BF121" t="s">
        <v>436</v>
      </c>
      <c r="BJ121" t="s">
        <v>426</v>
      </c>
      <c r="BK121" t="s">
        <v>427</v>
      </c>
      <c r="BL121">
        <v>55</v>
      </c>
      <c r="BM121" t="s">
        <v>428</v>
      </c>
      <c r="BN121" t="s">
        <v>429</v>
      </c>
      <c r="CU121">
        <v>514798.14500000002</v>
      </c>
      <c r="CV121">
        <v>4948563.841</v>
      </c>
      <c r="CW121">
        <v>44.690301570000003</v>
      </c>
      <c r="CX121" s="287">
        <v>-92.813253649999993</v>
      </c>
      <c r="CY121">
        <v>45100.618055555555</v>
      </c>
      <c r="CZ121" t="s">
        <v>438</v>
      </c>
      <c r="DA121" t="s">
        <v>439</v>
      </c>
      <c r="DB121" t="s">
        <v>667</v>
      </c>
      <c r="DC121" s="15" t="s">
        <v>668</v>
      </c>
      <c r="DD121" t="s">
        <v>696</v>
      </c>
    </row>
    <row r="122" spans="1:108" x14ac:dyDescent="0.25">
      <c r="A122">
        <v>785921</v>
      </c>
      <c r="B122" t="s">
        <v>662</v>
      </c>
      <c r="C122">
        <v>316</v>
      </c>
      <c r="D122">
        <v>7.0960000000000001</v>
      </c>
      <c r="E122" t="s">
        <v>406</v>
      </c>
      <c r="G122" t="s">
        <v>522</v>
      </c>
      <c r="H122" t="s">
        <v>408</v>
      </c>
      <c r="I122" t="s">
        <v>409</v>
      </c>
      <c r="K122">
        <v>20401099</v>
      </c>
      <c r="L122">
        <v>200370120</v>
      </c>
      <c r="M122" s="288">
        <v>45324</v>
      </c>
      <c r="N122">
        <v>6</v>
      </c>
      <c r="O122">
        <v>2020</v>
      </c>
      <c r="P122" t="s">
        <v>443</v>
      </c>
      <c r="Q122">
        <v>16</v>
      </c>
      <c r="R122" t="s">
        <v>576</v>
      </c>
      <c r="S122" t="s">
        <v>411</v>
      </c>
      <c r="T122">
        <v>0</v>
      </c>
      <c r="U122">
        <v>1</v>
      </c>
      <c r="W122" t="s">
        <v>597</v>
      </c>
      <c r="X122" t="s">
        <v>524</v>
      </c>
      <c r="Y122" t="s">
        <v>503</v>
      </c>
      <c r="Z122" t="s">
        <v>416</v>
      </c>
      <c r="AA122" t="s">
        <v>449</v>
      </c>
      <c r="AC122" t="s">
        <v>450</v>
      </c>
      <c r="AD122" t="s">
        <v>419</v>
      </c>
      <c r="AE122" t="s">
        <v>663</v>
      </c>
      <c r="AG122" t="s">
        <v>665</v>
      </c>
      <c r="AH122" t="s">
        <v>451</v>
      </c>
      <c r="AI122" t="s">
        <v>430</v>
      </c>
      <c r="AJ122" t="s">
        <v>431</v>
      </c>
      <c r="AK122" t="s">
        <v>466</v>
      </c>
      <c r="AL122" t="s">
        <v>453</v>
      </c>
      <c r="AM122">
        <v>49</v>
      </c>
      <c r="AN122" t="s">
        <v>434</v>
      </c>
      <c r="AO122" t="s">
        <v>577</v>
      </c>
      <c r="AP122" t="s">
        <v>473</v>
      </c>
      <c r="AQ122" t="s">
        <v>559</v>
      </c>
      <c r="AT122" t="s">
        <v>426</v>
      </c>
      <c r="AU122" t="s">
        <v>427</v>
      </c>
      <c r="AV122">
        <v>60</v>
      </c>
      <c r="AW122" t="s">
        <v>428</v>
      </c>
      <c r="AX122" t="s">
        <v>429</v>
      </c>
      <c r="CU122">
        <v>514816.18780000001</v>
      </c>
      <c r="CV122">
        <v>4948544.3</v>
      </c>
      <c r="CW122">
        <v>44.690125279999997</v>
      </c>
      <c r="CX122" s="287">
        <v>-92.813026519999994</v>
      </c>
      <c r="CY122">
        <v>43867.698611111111</v>
      </c>
      <c r="CZ122" t="s">
        <v>438</v>
      </c>
      <c r="DA122" t="s">
        <v>439</v>
      </c>
      <c r="DB122" t="s">
        <v>667</v>
      </c>
      <c r="DC122" t="s">
        <v>668</v>
      </c>
      <c r="DD122" t="s">
        <v>697</v>
      </c>
    </row>
    <row r="123" spans="1:108" ht="15.75" customHeight="1" x14ac:dyDescent="0.25">
      <c r="A123">
        <v>720120</v>
      </c>
      <c r="B123" t="s">
        <v>662</v>
      </c>
      <c r="C123">
        <v>316</v>
      </c>
      <c r="D123">
        <v>7.0979999999999999</v>
      </c>
      <c r="E123" t="s">
        <v>406</v>
      </c>
      <c r="G123" t="s">
        <v>522</v>
      </c>
      <c r="H123" t="s">
        <v>408</v>
      </c>
      <c r="I123" t="s">
        <v>409</v>
      </c>
      <c r="K123">
        <v>19404623</v>
      </c>
      <c r="L123">
        <v>191340196</v>
      </c>
      <c r="M123" s="288">
        <v>45417</v>
      </c>
      <c r="N123">
        <v>14</v>
      </c>
      <c r="O123">
        <v>2019</v>
      </c>
      <c r="P123" t="s">
        <v>468</v>
      </c>
      <c r="Q123">
        <v>17</v>
      </c>
      <c r="R123" t="s">
        <v>484</v>
      </c>
      <c r="S123" t="s">
        <v>497</v>
      </c>
      <c r="T123">
        <v>0</v>
      </c>
      <c r="U123">
        <v>3</v>
      </c>
      <c r="V123" t="s">
        <v>486</v>
      </c>
      <c r="W123" t="s">
        <v>413</v>
      </c>
      <c r="X123" t="s">
        <v>414</v>
      </c>
      <c r="Y123" t="s">
        <v>698</v>
      </c>
      <c r="Z123" t="s">
        <v>416</v>
      </c>
      <c r="AA123" t="s">
        <v>449</v>
      </c>
      <c r="AC123" t="s">
        <v>450</v>
      </c>
      <c r="AD123" t="s">
        <v>419</v>
      </c>
      <c r="AE123" t="s">
        <v>699</v>
      </c>
      <c r="AG123" t="s">
        <v>665</v>
      </c>
      <c r="AH123" t="s">
        <v>486</v>
      </c>
      <c r="AI123" t="s">
        <v>430</v>
      </c>
      <c r="AJ123" t="s">
        <v>465</v>
      </c>
      <c r="AK123" t="s">
        <v>466</v>
      </c>
      <c r="AL123" t="s">
        <v>453</v>
      </c>
      <c r="AM123">
        <v>66</v>
      </c>
      <c r="AN123" t="s">
        <v>434</v>
      </c>
      <c r="AO123" t="s">
        <v>435</v>
      </c>
      <c r="AP123" t="s">
        <v>436</v>
      </c>
      <c r="AT123" t="s">
        <v>426</v>
      </c>
      <c r="AU123" t="s">
        <v>427</v>
      </c>
      <c r="AV123">
        <v>55</v>
      </c>
      <c r="AW123" t="s">
        <v>428</v>
      </c>
      <c r="AX123" t="s">
        <v>429</v>
      </c>
      <c r="AY123" t="s">
        <v>430</v>
      </c>
      <c r="AZ123" t="s">
        <v>431</v>
      </c>
      <c r="BA123" t="s">
        <v>432</v>
      </c>
      <c r="BB123" t="s">
        <v>453</v>
      </c>
      <c r="BC123">
        <v>60</v>
      </c>
      <c r="BD123" t="s">
        <v>454</v>
      </c>
      <c r="BE123" t="s">
        <v>435</v>
      </c>
      <c r="BF123" t="s">
        <v>436</v>
      </c>
      <c r="BJ123" t="s">
        <v>426</v>
      </c>
      <c r="BK123" t="s">
        <v>427</v>
      </c>
      <c r="BL123">
        <v>55</v>
      </c>
      <c r="BM123" t="s">
        <v>428</v>
      </c>
      <c r="BN123" t="s">
        <v>429</v>
      </c>
      <c r="BO123" t="s">
        <v>430</v>
      </c>
      <c r="BP123" t="s">
        <v>462</v>
      </c>
      <c r="BQ123" t="s">
        <v>424</v>
      </c>
      <c r="BR123" t="s">
        <v>433</v>
      </c>
      <c r="BS123">
        <v>16</v>
      </c>
      <c r="BT123" t="s">
        <v>434</v>
      </c>
      <c r="BU123" t="s">
        <v>435</v>
      </c>
      <c r="BV123" t="s">
        <v>487</v>
      </c>
      <c r="BW123" t="s">
        <v>456</v>
      </c>
      <c r="BZ123" t="s">
        <v>426</v>
      </c>
      <c r="CA123" t="s">
        <v>427</v>
      </c>
      <c r="CB123">
        <v>55</v>
      </c>
      <c r="CC123" t="s">
        <v>428</v>
      </c>
      <c r="CD123" t="s">
        <v>429</v>
      </c>
      <c r="CU123">
        <v>514814.4019</v>
      </c>
      <c r="CV123">
        <v>4948546.2340000002</v>
      </c>
      <c r="CW123">
        <v>44.690142729999998</v>
      </c>
      <c r="CX123" s="287">
        <v>-92.813049000000007</v>
      </c>
      <c r="CY123">
        <v>43599.709027777775</v>
      </c>
      <c r="CZ123" t="s">
        <v>438</v>
      </c>
      <c r="DA123" t="s">
        <v>439</v>
      </c>
      <c r="DB123" t="s">
        <v>667</v>
      </c>
      <c r="DC123" t="s">
        <v>668</v>
      </c>
      <c r="DD123" t="s">
        <v>700</v>
      </c>
    </row>
    <row r="124" spans="1:108" ht="30" x14ac:dyDescent="0.25">
      <c r="A124">
        <v>978656</v>
      </c>
      <c r="B124" t="s">
        <v>662</v>
      </c>
      <c r="C124">
        <v>316</v>
      </c>
      <c r="D124">
        <v>7.1310000000000002</v>
      </c>
      <c r="E124" t="s">
        <v>406</v>
      </c>
      <c r="G124" t="s">
        <v>522</v>
      </c>
      <c r="H124" t="s">
        <v>408</v>
      </c>
      <c r="I124" t="s">
        <v>409</v>
      </c>
      <c r="K124">
        <v>21408112</v>
      </c>
      <c r="L124">
        <v>213420073</v>
      </c>
      <c r="M124" s="288">
        <v>45638</v>
      </c>
      <c r="N124">
        <v>8</v>
      </c>
      <c r="O124">
        <v>2021</v>
      </c>
      <c r="P124" t="s">
        <v>549</v>
      </c>
      <c r="Q124">
        <v>8</v>
      </c>
      <c r="R124" t="s">
        <v>444</v>
      </c>
      <c r="S124" t="s">
        <v>497</v>
      </c>
      <c r="T124">
        <v>0</v>
      </c>
      <c r="U124">
        <v>2</v>
      </c>
      <c r="V124" t="s">
        <v>486</v>
      </c>
      <c r="W124" t="s">
        <v>413</v>
      </c>
      <c r="X124" t="s">
        <v>414</v>
      </c>
      <c r="Y124" t="s">
        <v>684</v>
      </c>
      <c r="Z124" t="s">
        <v>416</v>
      </c>
      <c r="AA124" t="s">
        <v>449</v>
      </c>
      <c r="AC124" t="s">
        <v>418</v>
      </c>
      <c r="AD124" t="s">
        <v>419</v>
      </c>
      <c r="AE124" t="s">
        <v>663</v>
      </c>
      <c r="AF124" t="s">
        <v>505</v>
      </c>
      <c r="AG124" t="s">
        <v>665</v>
      </c>
      <c r="AH124" t="s">
        <v>486</v>
      </c>
      <c r="AI124" t="s">
        <v>430</v>
      </c>
      <c r="AJ124" t="s">
        <v>431</v>
      </c>
      <c r="AK124" t="s">
        <v>432</v>
      </c>
      <c r="AL124" t="s">
        <v>453</v>
      </c>
      <c r="AM124">
        <v>39</v>
      </c>
      <c r="AN124" t="s">
        <v>434</v>
      </c>
      <c r="AO124" t="s">
        <v>435</v>
      </c>
      <c r="AP124" t="s">
        <v>455</v>
      </c>
      <c r="AT124" t="s">
        <v>426</v>
      </c>
      <c r="AU124" t="s">
        <v>437</v>
      </c>
      <c r="AV124">
        <v>55</v>
      </c>
      <c r="AW124" t="s">
        <v>428</v>
      </c>
      <c r="AX124" t="s">
        <v>429</v>
      </c>
      <c r="AY124" t="s">
        <v>430</v>
      </c>
      <c r="AZ124" t="s">
        <v>431</v>
      </c>
      <c r="BA124" t="s">
        <v>508</v>
      </c>
      <c r="BB124" t="s">
        <v>453</v>
      </c>
      <c r="BC124">
        <v>32</v>
      </c>
      <c r="BD124" t="s">
        <v>454</v>
      </c>
      <c r="BE124" t="s">
        <v>435</v>
      </c>
      <c r="BF124" t="s">
        <v>436</v>
      </c>
      <c r="BJ124" t="s">
        <v>426</v>
      </c>
      <c r="BK124" t="s">
        <v>427</v>
      </c>
      <c r="BL124">
        <v>60</v>
      </c>
      <c r="BM124" t="s">
        <v>428</v>
      </c>
      <c r="BN124" t="s">
        <v>429</v>
      </c>
      <c r="CU124">
        <v>514777.58120000002</v>
      </c>
      <c r="CV124">
        <v>4948585.5480000004</v>
      </c>
      <c r="CW124">
        <v>44.690497409999999</v>
      </c>
      <c r="CX124" s="287">
        <v>-92.813512540000005</v>
      </c>
      <c r="CY124">
        <v>44538.336111111108</v>
      </c>
      <c r="CZ124" t="s">
        <v>438</v>
      </c>
      <c r="DA124" t="s">
        <v>439</v>
      </c>
      <c r="DB124" t="s">
        <v>667</v>
      </c>
      <c r="DC124" s="15" t="s">
        <v>668</v>
      </c>
      <c r="DD124" t="s">
        <v>701</v>
      </c>
    </row>
    <row r="125" spans="1:108" ht="15.75" customHeight="1" x14ac:dyDescent="0.25">
      <c r="A125">
        <v>875143</v>
      </c>
      <c r="B125" t="s">
        <v>662</v>
      </c>
      <c r="C125">
        <v>316</v>
      </c>
      <c r="D125">
        <v>7.1479999999999997</v>
      </c>
      <c r="E125" t="s">
        <v>406</v>
      </c>
      <c r="G125" t="s">
        <v>522</v>
      </c>
      <c r="H125" t="s">
        <v>408</v>
      </c>
      <c r="I125" t="s">
        <v>409</v>
      </c>
      <c r="K125">
        <v>21400325</v>
      </c>
      <c r="L125">
        <v>210180058</v>
      </c>
      <c r="M125" s="288">
        <v>45292</v>
      </c>
      <c r="N125">
        <v>18</v>
      </c>
      <c r="O125">
        <v>2021</v>
      </c>
      <c r="P125" t="s">
        <v>517</v>
      </c>
      <c r="Q125">
        <v>16</v>
      </c>
      <c r="R125" t="s">
        <v>444</v>
      </c>
      <c r="S125" t="s">
        <v>445</v>
      </c>
      <c r="T125">
        <v>0</v>
      </c>
      <c r="U125">
        <v>4</v>
      </c>
      <c r="V125" t="s">
        <v>502</v>
      </c>
      <c r="W125" t="s">
        <v>413</v>
      </c>
      <c r="X125" t="s">
        <v>414</v>
      </c>
      <c r="Y125" t="s">
        <v>415</v>
      </c>
      <c r="Z125" t="s">
        <v>587</v>
      </c>
      <c r="AA125" t="s">
        <v>504</v>
      </c>
      <c r="AC125" t="s">
        <v>450</v>
      </c>
      <c r="AD125" t="s">
        <v>419</v>
      </c>
      <c r="AE125" t="s">
        <v>663</v>
      </c>
      <c r="AG125" t="s">
        <v>665</v>
      </c>
      <c r="AH125" t="s">
        <v>507</v>
      </c>
      <c r="AI125" t="s">
        <v>430</v>
      </c>
      <c r="AJ125" t="s">
        <v>431</v>
      </c>
      <c r="AK125" t="s">
        <v>432</v>
      </c>
      <c r="AL125" t="s">
        <v>566</v>
      </c>
      <c r="AM125">
        <v>45</v>
      </c>
      <c r="AN125" t="s">
        <v>434</v>
      </c>
      <c r="AO125" t="s">
        <v>435</v>
      </c>
      <c r="AP125" t="s">
        <v>436</v>
      </c>
      <c r="AT125" t="s">
        <v>426</v>
      </c>
      <c r="AU125" t="s">
        <v>427</v>
      </c>
      <c r="AV125">
        <v>55</v>
      </c>
      <c r="AW125" t="s">
        <v>428</v>
      </c>
      <c r="AX125" t="s">
        <v>429</v>
      </c>
      <c r="AY125" t="s">
        <v>430</v>
      </c>
      <c r="AZ125" t="s">
        <v>462</v>
      </c>
      <c r="BA125" t="s">
        <v>432</v>
      </c>
      <c r="BB125" t="s">
        <v>566</v>
      </c>
      <c r="BC125">
        <v>56</v>
      </c>
      <c r="BD125" t="s">
        <v>434</v>
      </c>
      <c r="BE125" t="s">
        <v>435</v>
      </c>
      <c r="BF125" t="s">
        <v>436</v>
      </c>
      <c r="BJ125" t="s">
        <v>426</v>
      </c>
      <c r="BK125" t="s">
        <v>427</v>
      </c>
      <c r="BL125">
        <v>55</v>
      </c>
      <c r="BM125" t="s">
        <v>428</v>
      </c>
      <c r="BN125" t="s">
        <v>429</v>
      </c>
      <c r="BO125" t="s">
        <v>430</v>
      </c>
      <c r="BP125" t="s">
        <v>462</v>
      </c>
      <c r="BQ125" t="s">
        <v>432</v>
      </c>
      <c r="BR125" t="s">
        <v>566</v>
      </c>
      <c r="BS125">
        <v>23</v>
      </c>
      <c r="BT125" t="s">
        <v>454</v>
      </c>
      <c r="BU125" t="s">
        <v>435</v>
      </c>
      <c r="BV125" t="s">
        <v>436</v>
      </c>
      <c r="BZ125" t="s">
        <v>426</v>
      </c>
      <c r="CA125" t="s">
        <v>427</v>
      </c>
      <c r="CB125">
        <v>55</v>
      </c>
      <c r="CC125" t="s">
        <v>428</v>
      </c>
      <c r="CD125" t="s">
        <v>429</v>
      </c>
      <c r="CE125" t="s">
        <v>430</v>
      </c>
      <c r="CF125" t="s">
        <v>462</v>
      </c>
      <c r="CG125" t="s">
        <v>432</v>
      </c>
      <c r="CH125" t="s">
        <v>526</v>
      </c>
      <c r="CI125">
        <v>29</v>
      </c>
      <c r="CJ125" t="s">
        <v>454</v>
      </c>
      <c r="CK125" t="s">
        <v>435</v>
      </c>
      <c r="CL125" t="s">
        <v>481</v>
      </c>
      <c r="CP125" t="s">
        <v>426</v>
      </c>
      <c r="CQ125" t="s">
        <v>427</v>
      </c>
      <c r="CR125">
        <v>55</v>
      </c>
      <c r="CS125" t="s">
        <v>428</v>
      </c>
      <c r="CT125" t="s">
        <v>429</v>
      </c>
      <c r="CU125">
        <v>514758.7672</v>
      </c>
      <c r="CV125">
        <v>4948604.8880000003</v>
      </c>
      <c r="CW125">
        <v>44.690671899999998</v>
      </c>
      <c r="CX125" s="287">
        <v>-92.813749419999994</v>
      </c>
      <c r="CY125">
        <v>44214.681250000001</v>
      </c>
      <c r="CZ125" t="s">
        <v>438</v>
      </c>
      <c r="DA125" t="s">
        <v>439</v>
      </c>
      <c r="DB125" t="s">
        <v>667</v>
      </c>
      <c r="DC125" t="s">
        <v>668</v>
      </c>
      <c r="DD125" t="s">
        <v>702</v>
      </c>
    </row>
    <row r="126" spans="1:108" ht="30" x14ac:dyDescent="0.25">
      <c r="A126">
        <v>818609</v>
      </c>
      <c r="B126" t="s">
        <v>405</v>
      </c>
      <c r="C126">
        <v>68</v>
      </c>
      <c r="D126">
        <v>2E-3</v>
      </c>
      <c r="E126" t="s">
        <v>406</v>
      </c>
      <c r="G126" t="s">
        <v>407</v>
      </c>
      <c r="H126" t="s">
        <v>408</v>
      </c>
      <c r="I126" t="s">
        <v>409</v>
      </c>
      <c r="K126">
        <v>20404001</v>
      </c>
      <c r="L126">
        <v>201890188</v>
      </c>
      <c r="M126" s="288">
        <v>45480</v>
      </c>
      <c r="N126">
        <v>7</v>
      </c>
      <c r="O126">
        <v>2020</v>
      </c>
      <c r="P126" t="s">
        <v>468</v>
      </c>
      <c r="Q126">
        <v>14</v>
      </c>
      <c r="R126" t="s">
        <v>444</v>
      </c>
      <c r="S126" t="s">
        <v>497</v>
      </c>
      <c r="T126">
        <v>0</v>
      </c>
      <c r="U126">
        <v>2</v>
      </c>
      <c r="V126" t="s">
        <v>486</v>
      </c>
      <c r="W126" t="s">
        <v>413</v>
      </c>
      <c r="X126" t="s">
        <v>414</v>
      </c>
      <c r="Y126" t="s">
        <v>684</v>
      </c>
      <c r="Z126" t="s">
        <v>416</v>
      </c>
      <c r="AA126" t="s">
        <v>449</v>
      </c>
      <c r="AC126" t="s">
        <v>450</v>
      </c>
      <c r="AD126" t="s">
        <v>419</v>
      </c>
      <c r="AE126" t="s">
        <v>703</v>
      </c>
      <c r="AG126" t="s">
        <v>479</v>
      </c>
      <c r="AH126" t="s">
        <v>486</v>
      </c>
      <c r="AI126" t="s">
        <v>430</v>
      </c>
      <c r="AJ126" t="s">
        <v>462</v>
      </c>
      <c r="AK126" t="s">
        <v>432</v>
      </c>
      <c r="AL126" t="s">
        <v>526</v>
      </c>
      <c r="AM126">
        <v>72</v>
      </c>
      <c r="AN126" t="s">
        <v>434</v>
      </c>
      <c r="AO126" t="s">
        <v>435</v>
      </c>
      <c r="AP126" t="s">
        <v>436</v>
      </c>
      <c r="AT126" t="s">
        <v>426</v>
      </c>
      <c r="AU126" t="s">
        <v>427</v>
      </c>
      <c r="AV126">
        <v>60</v>
      </c>
      <c r="AW126" t="s">
        <v>428</v>
      </c>
      <c r="AX126" t="s">
        <v>429</v>
      </c>
      <c r="AY126" t="s">
        <v>423</v>
      </c>
      <c r="AZ126" t="s">
        <v>462</v>
      </c>
      <c r="BA126" t="s">
        <v>424</v>
      </c>
      <c r="BB126" t="s">
        <v>453</v>
      </c>
      <c r="BC126">
        <v>40</v>
      </c>
      <c r="BD126" t="s">
        <v>454</v>
      </c>
      <c r="BE126" t="s">
        <v>666</v>
      </c>
      <c r="BF126" t="s">
        <v>487</v>
      </c>
      <c r="BG126" t="s">
        <v>456</v>
      </c>
      <c r="BJ126" t="s">
        <v>426</v>
      </c>
      <c r="BK126" t="s">
        <v>437</v>
      </c>
      <c r="BL126">
        <v>55</v>
      </c>
      <c r="BM126" t="s">
        <v>428</v>
      </c>
      <c r="BN126" t="s">
        <v>429</v>
      </c>
      <c r="CU126">
        <v>518136.79200000002</v>
      </c>
      <c r="CV126">
        <v>4945050.1919999998</v>
      </c>
      <c r="CW126">
        <v>44.65859373</v>
      </c>
      <c r="CX126" s="287">
        <v>-92.771244390000007</v>
      </c>
      <c r="CY126">
        <v>44019.62222222222</v>
      </c>
      <c r="CZ126" t="s">
        <v>438</v>
      </c>
      <c r="DA126" t="s">
        <v>439</v>
      </c>
      <c r="DB126" t="s">
        <v>667</v>
      </c>
      <c r="DC126" s="15" t="s">
        <v>668</v>
      </c>
      <c r="DD126" t="s">
        <v>704</v>
      </c>
    </row>
    <row r="127" spans="1:108" x14ac:dyDescent="0.25">
      <c r="A127">
        <v>904344</v>
      </c>
      <c r="B127" t="s">
        <v>645</v>
      </c>
      <c r="C127">
        <v>1255</v>
      </c>
      <c r="D127">
        <v>1.05</v>
      </c>
      <c r="E127" t="s">
        <v>406</v>
      </c>
      <c r="G127" t="s">
        <v>407</v>
      </c>
      <c r="H127" t="s">
        <v>408</v>
      </c>
      <c r="I127" t="s">
        <v>409</v>
      </c>
      <c r="K127">
        <v>21000563</v>
      </c>
      <c r="L127">
        <v>211270046</v>
      </c>
      <c r="M127" s="288">
        <v>45417</v>
      </c>
      <c r="N127">
        <v>7</v>
      </c>
      <c r="O127">
        <v>2021</v>
      </c>
      <c r="P127" t="s">
        <v>501</v>
      </c>
      <c r="Q127">
        <v>10</v>
      </c>
      <c r="R127" t="s">
        <v>444</v>
      </c>
      <c r="S127" t="s">
        <v>445</v>
      </c>
      <c r="T127">
        <v>0</v>
      </c>
      <c r="U127">
        <v>2</v>
      </c>
      <c r="W127" t="s">
        <v>523</v>
      </c>
      <c r="X127" t="s">
        <v>414</v>
      </c>
      <c r="Y127" t="s">
        <v>684</v>
      </c>
      <c r="Z127" t="s">
        <v>416</v>
      </c>
      <c r="AA127" t="s">
        <v>529</v>
      </c>
      <c r="AC127" t="s">
        <v>450</v>
      </c>
      <c r="AD127" t="s">
        <v>419</v>
      </c>
      <c r="AE127" t="s">
        <v>477</v>
      </c>
      <c r="AG127" t="s">
        <v>705</v>
      </c>
      <c r="AH127" t="s">
        <v>529</v>
      </c>
      <c r="AI127" t="s">
        <v>430</v>
      </c>
      <c r="AJ127" t="s">
        <v>462</v>
      </c>
      <c r="AK127" t="s">
        <v>432</v>
      </c>
      <c r="AL127" t="s">
        <v>433</v>
      </c>
      <c r="AM127">
        <v>91</v>
      </c>
      <c r="AN127" t="s">
        <v>434</v>
      </c>
      <c r="AO127" t="s">
        <v>435</v>
      </c>
      <c r="AP127" t="s">
        <v>559</v>
      </c>
      <c r="AQ127" t="s">
        <v>569</v>
      </c>
      <c r="AT127" t="s">
        <v>426</v>
      </c>
      <c r="AU127" t="s">
        <v>427</v>
      </c>
      <c r="AV127">
        <v>55</v>
      </c>
      <c r="AW127" t="s">
        <v>428</v>
      </c>
      <c r="AX127" t="s">
        <v>429</v>
      </c>
      <c r="AY127" t="s">
        <v>430</v>
      </c>
      <c r="AZ127" t="s">
        <v>462</v>
      </c>
      <c r="BA127" t="s">
        <v>466</v>
      </c>
      <c r="BB127" t="s">
        <v>453</v>
      </c>
      <c r="BC127">
        <v>22</v>
      </c>
      <c r="BD127" t="s">
        <v>434</v>
      </c>
      <c r="BE127" t="s">
        <v>435</v>
      </c>
      <c r="BF127" t="s">
        <v>473</v>
      </c>
      <c r="BJ127" t="s">
        <v>426</v>
      </c>
      <c r="BK127" t="s">
        <v>427</v>
      </c>
      <c r="BL127">
        <v>55</v>
      </c>
      <c r="BM127" t="s">
        <v>428</v>
      </c>
      <c r="BN127" t="s">
        <v>429</v>
      </c>
      <c r="CU127">
        <v>518130.41930000001</v>
      </c>
      <c r="CV127">
        <v>4945045.5420000004</v>
      </c>
      <c r="CW127">
        <v>44.658552030000003</v>
      </c>
      <c r="CX127" s="287">
        <v>-92.771324930000006</v>
      </c>
      <c r="CY127">
        <v>44323.431944444441</v>
      </c>
      <c r="CZ127" t="s">
        <v>438</v>
      </c>
      <c r="DA127" t="s">
        <v>439</v>
      </c>
      <c r="DB127" t="s">
        <v>440</v>
      </c>
      <c r="DC127" t="s">
        <v>441</v>
      </c>
      <c r="DD127" t="s">
        <v>706</v>
      </c>
    </row>
    <row r="128" spans="1:108" ht="30" x14ac:dyDescent="0.25">
      <c r="A128">
        <v>818609</v>
      </c>
      <c r="B128">
        <v>4</v>
      </c>
      <c r="C128">
        <v>68</v>
      </c>
      <c r="D128">
        <v>2E-3</v>
      </c>
      <c r="E128">
        <v>19</v>
      </c>
      <c r="G128" t="s">
        <v>407</v>
      </c>
      <c r="H128" t="s">
        <v>707</v>
      </c>
      <c r="I128">
        <v>24</v>
      </c>
      <c r="K128">
        <v>20404001</v>
      </c>
      <c r="L128">
        <v>201890188</v>
      </c>
      <c r="M128" s="288">
        <v>7</v>
      </c>
      <c r="N128">
        <v>7</v>
      </c>
      <c r="O128">
        <v>2020</v>
      </c>
      <c r="P128" t="s">
        <v>708</v>
      </c>
      <c r="Q128">
        <v>14</v>
      </c>
      <c r="R128" t="s">
        <v>709</v>
      </c>
      <c r="S128" t="s">
        <v>497</v>
      </c>
      <c r="T128">
        <v>0</v>
      </c>
      <c r="U128">
        <v>2</v>
      </c>
      <c r="V128">
        <v>5</v>
      </c>
      <c r="W128">
        <v>10</v>
      </c>
      <c r="X128">
        <v>1</v>
      </c>
      <c r="Y128">
        <v>3</v>
      </c>
      <c r="Z128">
        <v>1</v>
      </c>
      <c r="AA128">
        <v>1</v>
      </c>
      <c r="AC128">
        <v>1</v>
      </c>
      <c r="AD128">
        <v>98</v>
      </c>
      <c r="AE128" t="s">
        <v>703</v>
      </c>
      <c r="AG128" t="s">
        <v>479</v>
      </c>
      <c r="AH128">
        <v>10</v>
      </c>
      <c r="AI128">
        <v>2</v>
      </c>
      <c r="AJ128">
        <v>2</v>
      </c>
      <c r="AK128">
        <v>2</v>
      </c>
      <c r="AL128">
        <v>26</v>
      </c>
      <c r="AM128">
        <v>72</v>
      </c>
      <c r="AN128" t="s">
        <v>707</v>
      </c>
      <c r="AO128">
        <v>5</v>
      </c>
      <c r="AP128">
        <v>1</v>
      </c>
      <c r="AT128">
        <v>12</v>
      </c>
      <c r="AU128">
        <v>9</v>
      </c>
      <c r="AV128">
        <v>60</v>
      </c>
      <c r="AW128">
        <v>11</v>
      </c>
      <c r="AX128">
        <v>21</v>
      </c>
      <c r="AY128">
        <v>1</v>
      </c>
      <c r="AZ128">
        <v>2</v>
      </c>
      <c r="BA128">
        <v>4</v>
      </c>
      <c r="BB128">
        <v>21</v>
      </c>
      <c r="BC128">
        <v>40</v>
      </c>
      <c r="BD128" t="s">
        <v>710</v>
      </c>
      <c r="BE128">
        <v>7</v>
      </c>
      <c r="BF128">
        <v>2</v>
      </c>
      <c r="BG128">
        <v>64</v>
      </c>
      <c r="BJ128">
        <v>12</v>
      </c>
      <c r="BK128">
        <v>23</v>
      </c>
      <c r="BL128">
        <v>55</v>
      </c>
      <c r="BM128">
        <v>11</v>
      </c>
      <c r="BN128">
        <v>21</v>
      </c>
      <c r="CU128">
        <v>518136.79200000002</v>
      </c>
      <c r="CV128">
        <v>4945050.1919999998</v>
      </c>
      <c r="CW128">
        <v>44.65859373</v>
      </c>
      <c r="CX128" s="287">
        <v>-92.771244390000007</v>
      </c>
      <c r="CY128">
        <v>44019.62222222222</v>
      </c>
      <c r="CZ128" t="s">
        <v>438</v>
      </c>
      <c r="DA128" t="s">
        <v>439</v>
      </c>
      <c r="DB128" t="s">
        <v>711</v>
      </c>
      <c r="DC128" s="15" t="s">
        <v>668</v>
      </c>
      <c r="DD128" t="s">
        <v>704</v>
      </c>
    </row>
    <row r="129" spans="1:108" x14ac:dyDescent="0.25">
      <c r="A129">
        <v>904344</v>
      </c>
      <c r="B129">
        <v>8</v>
      </c>
      <c r="C129">
        <v>1255</v>
      </c>
      <c r="D129">
        <v>1.05</v>
      </c>
      <c r="E129">
        <v>19</v>
      </c>
      <c r="G129" t="s">
        <v>407</v>
      </c>
      <c r="H129" t="s">
        <v>707</v>
      </c>
      <c r="I129">
        <v>24</v>
      </c>
      <c r="K129">
        <v>21000563</v>
      </c>
      <c r="L129">
        <v>211270046</v>
      </c>
      <c r="M129" s="288">
        <v>5</v>
      </c>
      <c r="N129">
        <v>7</v>
      </c>
      <c r="O129">
        <v>2021</v>
      </c>
      <c r="P129" t="s">
        <v>712</v>
      </c>
      <c r="Q129">
        <v>10</v>
      </c>
      <c r="R129" t="s">
        <v>709</v>
      </c>
      <c r="S129" t="s">
        <v>445</v>
      </c>
      <c r="T129">
        <v>0</v>
      </c>
      <c r="U129">
        <v>2</v>
      </c>
      <c r="W129">
        <v>83</v>
      </c>
      <c r="X129">
        <v>1</v>
      </c>
      <c r="Y129">
        <v>3</v>
      </c>
      <c r="Z129">
        <v>1</v>
      </c>
      <c r="AA129">
        <v>90</v>
      </c>
      <c r="AC129">
        <v>1</v>
      </c>
      <c r="AD129">
        <v>98</v>
      </c>
      <c r="AE129" t="s">
        <v>477</v>
      </c>
      <c r="AG129" t="s">
        <v>705</v>
      </c>
      <c r="AH129">
        <v>90</v>
      </c>
      <c r="AI129">
        <v>2</v>
      </c>
      <c r="AJ129">
        <v>2</v>
      </c>
      <c r="AK129">
        <v>2</v>
      </c>
      <c r="AL129">
        <v>24</v>
      </c>
      <c r="AM129">
        <v>91</v>
      </c>
      <c r="AN129" t="s">
        <v>707</v>
      </c>
      <c r="AO129">
        <v>5</v>
      </c>
      <c r="AP129">
        <v>90</v>
      </c>
      <c r="AQ129">
        <v>68</v>
      </c>
      <c r="AT129">
        <v>12</v>
      </c>
      <c r="AU129">
        <v>9</v>
      </c>
      <c r="AV129">
        <v>55</v>
      </c>
      <c r="AW129">
        <v>11</v>
      </c>
      <c r="AX129">
        <v>21</v>
      </c>
      <c r="AY129">
        <v>2</v>
      </c>
      <c r="AZ129">
        <v>2</v>
      </c>
      <c r="BA129">
        <v>1</v>
      </c>
      <c r="BB129">
        <v>21</v>
      </c>
      <c r="BC129">
        <v>22</v>
      </c>
      <c r="BD129" t="s">
        <v>707</v>
      </c>
      <c r="BE129">
        <v>5</v>
      </c>
      <c r="BF129">
        <v>62</v>
      </c>
      <c r="BJ129">
        <v>12</v>
      </c>
      <c r="BK129">
        <v>9</v>
      </c>
      <c r="BL129">
        <v>55</v>
      </c>
      <c r="BM129">
        <v>11</v>
      </c>
      <c r="BN129">
        <v>21</v>
      </c>
      <c r="CU129">
        <v>518130.41930000001</v>
      </c>
      <c r="CV129">
        <v>4945045.5420000004</v>
      </c>
      <c r="CW129">
        <v>44.658552030000003</v>
      </c>
      <c r="CX129" s="287">
        <v>-92.771324930000006</v>
      </c>
      <c r="CY129">
        <v>44323.431944444441</v>
      </c>
      <c r="CZ129" t="s">
        <v>438</v>
      </c>
      <c r="DA129" t="s">
        <v>439</v>
      </c>
      <c r="DB129" t="s">
        <v>713</v>
      </c>
      <c r="DC129" s="15" t="s">
        <v>441</v>
      </c>
      <c r="DD129" t="s">
        <v>706</v>
      </c>
    </row>
    <row r="131" spans="1:108" x14ac:dyDescent="0.25">
      <c r="A131" s="1" t="s">
        <v>714</v>
      </c>
    </row>
    <row r="132" spans="1:108" ht="14.25" customHeight="1" x14ac:dyDescent="0.25">
      <c r="A132" t="s">
        <v>297</v>
      </c>
      <c r="B132" t="s">
        <v>298</v>
      </c>
      <c r="C132" t="s">
        <v>299</v>
      </c>
      <c r="D132" t="s">
        <v>300</v>
      </c>
      <c r="E132" t="s">
        <v>301</v>
      </c>
      <c r="F132" t="s">
        <v>302</v>
      </c>
      <c r="G132" t="s">
        <v>303</v>
      </c>
      <c r="H132" t="s">
        <v>304</v>
      </c>
      <c r="I132" t="s">
        <v>305</v>
      </c>
      <c r="J132" t="s">
        <v>306</v>
      </c>
      <c r="K132" t="s">
        <v>307</v>
      </c>
      <c r="L132" t="s">
        <v>308</v>
      </c>
      <c r="M132" t="s">
        <v>309</v>
      </c>
      <c r="N132" t="s">
        <v>310</v>
      </c>
      <c r="O132" t="s">
        <v>311</v>
      </c>
      <c r="P132" t="s">
        <v>312</v>
      </c>
      <c r="Q132" t="s">
        <v>313</v>
      </c>
      <c r="R132" t="s">
        <v>314</v>
      </c>
      <c r="S132" t="s">
        <v>315</v>
      </c>
      <c r="T132" t="s">
        <v>316</v>
      </c>
      <c r="U132" t="s">
        <v>317</v>
      </c>
      <c r="V132" t="s">
        <v>318</v>
      </c>
      <c r="W132" t="s">
        <v>319</v>
      </c>
      <c r="X132" t="s">
        <v>320</v>
      </c>
      <c r="Y132" t="s">
        <v>321</v>
      </c>
      <c r="Z132" t="s">
        <v>322</v>
      </c>
      <c r="AA132" t="s">
        <v>323</v>
      </c>
      <c r="AB132" t="s">
        <v>324</v>
      </c>
      <c r="AC132" t="s">
        <v>325</v>
      </c>
      <c r="AD132" t="s">
        <v>326</v>
      </c>
      <c r="AE132" t="s">
        <v>327</v>
      </c>
      <c r="AF132" t="s">
        <v>328</v>
      </c>
      <c r="AG132" t="s">
        <v>329</v>
      </c>
      <c r="AH132" t="s">
        <v>330</v>
      </c>
      <c r="AI132" t="s">
        <v>331</v>
      </c>
      <c r="AJ132" t="s">
        <v>332</v>
      </c>
      <c r="AK132" t="s">
        <v>333</v>
      </c>
      <c r="AL132" t="s">
        <v>334</v>
      </c>
      <c r="AM132" t="s">
        <v>335</v>
      </c>
      <c r="AN132" t="s">
        <v>336</v>
      </c>
      <c r="AO132" t="s">
        <v>337</v>
      </c>
      <c r="AP132" t="s">
        <v>338</v>
      </c>
      <c r="AQ132" t="s">
        <v>339</v>
      </c>
      <c r="AR132" t="s">
        <v>340</v>
      </c>
      <c r="AS132" t="s">
        <v>341</v>
      </c>
      <c r="AT132" t="s">
        <v>342</v>
      </c>
      <c r="AU132" t="s">
        <v>343</v>
      </c>
      <c r="AV132" t="s">
        <v>344</v>
      </c>
      <c r="AW132" t="s">
        <v>345</v>
      </c>
      <c r="AX132" t="s">
        <v>346</v>
      </c>
      <c r="AY132" t="s">
        <v>347</v>
      </c>
      <c r="AZ132" t="s">
        <v>348</v>
      </c>
      <c r="BA132" t="s">
        <v>349</v>
      </c>
      <c r="BB132" t="s">
        <v>350</v>
      </c>
      <c r="BC132" t="s">
        <v>351</v>
      </c>
      <c r="BD132" t="s">
        <v>352</v>
      </c>
      <c r="BE132" t="s">
        <v>353</v>
      </c>
      <c r="BF132" t="s">
        <v>354</v>
      </c>
      <c r="BG132" t="s">
        <v>355</v>
      </c>
      <c r="BH132" t="s">
        <v>356</v>
      </c>
      <c r="BI132" t="s">
        <v>357</v>
      </c>
      <c r="BJ132" t="s">
        <v>358</v>
      </c>
      <c r="BK132" t="s">
        <v>359</v>
      </c>
      <c r="BL132" t="s">
        <v>360</v>
      </c>
      <c r="BM132" t="s">
        <v>361</v>
      </c>
      <c r="BN132" t="s">
        <v>362</v>
      </c>
      <c r="BO132" t="s">
        <v>363</v>
      </c>
      <c r="BP132" t="s">
        <v>364</v>
      </c>
      <c r="BQ132" t="s">
        <v>365</v>
      </c>
      <c r="BR132" t="s">
        <v>366</v>
      </c>
      <c r="BS132" t="s">
        <v>367</v>
      </c>
      <c r="BT132" t="s">
        <v>368</v>
      </c>
      <c r="BU132" t="s">
        <v>369</v>
      </c>
      <c r="BV132" t="s">
        <v>370</v>
      </c>
      <c r="BW132" t="s">
        <v>371</v>
      </c>
      <c r="BX132" t="s">
        <v>372</v>
      </c>
      <c r="BY132" t="s">
        <v>373</v>
      </c>
      <c r="BZ132" t="s">
        <v>374</v>
      </c>
      <c r="CA132" t="s">
        <v>375</v>
      </c>
      <c r="CB132" t="s">
        <v>376</v>
      </c>
      <c r="CC132" t="s">
        <v>377</v>
      </c>
      <c r="CD132" t="s">
        <v>378</v>
      </c>
      <c r="CE132" t="s">
        <v>379</v>
      </c>
      <c r="CF132" t="s">
        <v>380</v>
      </c>
      <c r="CG132" t="s">
        <v>381</v>
      </c>
      <c r="CH132" t="s">
        <v>382</v>
      </c>
      <c r="CI132" t="s">
        <v>383</v>
      </c>
      <c r="CJ132" t="s">
        <v>384</v>
      </c>
      <c r="CK132" t="s">
        <v>385</v>
      </c>
      <c r="CL132" t="s">
        <v>386</v>
      </c>
      <c r="CM132" t="s">
        <v>387</v>
      </c>
      <c r="CN132" t="s">
        <v>388</v>
      </c>
      <c r="CO132" t="s">
        <v>389</v>
      </c>
      <c r="CP132" t="s">
        <v>390</v>
      </c>
      <c r="CQ132" t="s">
        <v>391</v>
      </c>
      <c r="CR132" t="s">
        <v>392</v>
      </c>
      <c r="CS132" t="s">
        <v>393</v>
      </c>
      <c r="CT132" t="s">
        <v>394</v>
      </c>
      <c r="CU132" t="s">
        <v>395</v>
      </c>
      <c r="CV132" t="s">
        <v>396</v>
      </c>
      <c r="CW132" t="s">
        <v>397</v>
      </c>
      <c r="CX132" t="s">
        <v>398</v>
      </c>
      <c r="CY132" t="s">
        <v>399</v>
      </c>
      <c r="CZ132" t="s">
        <v>400</v>
      </c>
      <c r="DA132" t="s">
        <v>401</v>
      </c>
      <c r="DB132" t="s">
        <v>402</v>
      </c>
      <c r="DC132" t="s">
        <v>403</v>
      </c>
      <c r="DD132" t="s">
        <v>404</v>
      </c>
    </row>
    <row r="133" spans="1:108" x14ac:dyDescent="0.25">
      <c r="A133">
        <v>760794</v>
      </c>
      <c r="B133" t="s">
        <v>662</v>
      </c>
      <c r="C133">
        <v>316</v>
      </c>
      <c r="D133">
        <v>4.0999999999999996</v>
      </c>
      <c r="E133" t="s">
        <v>406</v>
      </c>
      <c r="G133" t="s">
        <v>407</v>
      </c>
      <c r="H133" t="s">
        <v>408</v>
      </c>
      <c r="I133" t="s">
        <v>409</v>
      </c>
      <c r="K133">
        <v>19001660</v>
      </c>
      <c r="L133">
        <v>193120035</v>
      </c>
      <c r="M133" s="288">
        <v>45607</v>
      </c>
      <c r="N133">
        <v>8</v>
      </c>
      <c r="O133">
        <v>2019</v>
      </c>
      <c r="P133" t="s">
        <v>501</v>
      </c>
      <c r="Q133">
        <v>10</v>
      </c>
      <c r="R133" t="s">
        <v>444</v>
      </c>
      <c r="S133" t="s">
        <v>411</v>
      </c>
      <c r="T133">
        <v>0</v>
      </c>
      <c r="U133">
        <v>2</v>
      </c>
      <c r="V133" t="s">
        <v>486</v>
      </c>
      <c r="W133" t="s">
        <v>413</v>
      </c>
      <c r="X133" t="s">
        <v>414</v>
      </c>
      <c r="Y133" t="s">
        <v>698</v>
      </c>
      <c r="Z133" t="s">
        <v>416</v>
      </c>
      <c r="AA133" t="s">
        <v>449</v>
      </c>
      <c r="AC133" t="s">
        <v>450</v>
      </c>
      <c r="AD133" t="s">
        <v>419</v>
      </c>
      <c r="AE133" t="s">
        <v>663</v>
      </c>
      <c r="AG133" t="s">
        <v>665</v>
      </c>
      <c r="AH133" t="s">
        <v>486</v>
      </c>
      <c r="AI133" t="s">
        <v>430</v>
      </c>
      <c r="AJ133" t="s">
        <v>431</v>
      </c>
      <c r="AK133" t="s">
        <v>466</v>
      </c>
      <c r="AL133" t="s">
        <v>715</v>
      </c>
      <c r="AM133">
        <v>24</v>
      </c>
      <c r="AN133" t="s">
        <v>454</v>
      </c>
      <c r="AO133" t="s">
        <v>435</v>
      </c>
      <c r="AP133" t="s">
        <v>487</v>
      </c>
      <c r="AT133" t="s">
        <v>426</v>
      </c>
      <c r="AU133" t="s">
        <v>437</v>
      </c>
      <c r="AV133">
        <v>60</v>
      </c>
      <c r="AW133" t="s">
        <v>428</v>
      </c>
      <c r="AX133" t="s">
        <v>429</v>
      </c>
      <c r="AY133" t="s">
        <v>430</v>
      </c>
      <c r="AZ133" t="s">
        <v>431</v>
      </c>
      <c r="BA133" t="s">
        <v>432</v>
      </c>
      <c r="BB133" t="s">
        <v>453</v>
      </c>
      <c r="BC133">
        <v>30</v>
      </c>
      <c r="BD133" t="s">
        <v>454</v>
      </c>
      <c r="BE133" t="s">
        <v>435</v>
      </c>
      <c r="BF133" t="s">
        <v>436</v>
      </c>
      <c r="BJ133" t="s">
        <v>426</v>
      </c>
      <c r="BK133" t="s">
        <v>427</v>
      </c>
      <c r="BL133">
        <v>60</v>
      </c>
      <c r="BM133" t="s">
        <v>428</v>
      </c>
      <c r="BN133" t="s">
        <v>429</v>
      </c>
      <c r="CU133">
        <v>518134.73389999999</v>
      </c>
      <c r="CV133">
        <v>4945046.5817</v>
      </c>
      <c r="CW133">
        <v>44.658561280000001</v>
      </c>
      <c r="CX133" s="287">
        <v>-92.771270479999998</v>
      </c>
      <c r="CY133">
        <v>43777.454861111109</v>
      </c>
      <c r="CZ133" t="s">
        <v>438</v>
      </c>
      <c r="DA133" t="s">
        <v>439</v>
      </c>
      <c r="DB133" t="s">
        <v>440</v>
      </c>
      <c r="DC133" s="15" t="s">
        <v>441</v>
      </c>
      <c r="DD133" t="s">
        <v>716</v>
      </c>
    </row>
    <row r="134" spans="1:108" x14ac:dyDescent="0.25">
      <c r="A134">
        <v>818609</v>
      </c>
      <c r="B134" t="s">
        <v>405</v>
      </c>
      <c r="C134">
        <v>68</v>
      </c>
      <c r="D134">
        <v>2E-3</v>
      </c>
      <c r="E134" t="s">
        <v>406</v>
      </c>
      <c r="G134" t="s">
        <v>407</v>
      </c>
      <c r="H134" t="s">
        <v>408</v>
      </c>
      <c r="I134" t="s">
        <v>409</v>
      </c>
      <c r="K134">
        <v>20404001</v>
      </c>
      <c r="L134">
        <v>201890188</v>
      </c>
      <c r="M134" s="288">
        <v>45480</v>
      </c>
      <c r="N134">
        <v>7</v>
      </c>
      <c r="O134">
        <v>2020</v>
      </c>
      <c r="P134" t="s">
        <v>468</v>
      </c>
      <c r="Q134">
        <v>14</v>
      </c>
      <c r="R134" t="s">
        <v>444</v>
      </c>
      <c r="S134" t="s">
        <v>497</v>
      </c>
      <c r="T134">
        <v>0</v>
      </c>
      <c r="U134">
        <v>2</v>
      </c>
      <c r="V134" t="s">
        <v>486</v>
      </c>
      <c r="W134" t="s">
        <v>413</v>
      </c>
      <c r="X134" t="s">
        <v>414</v>
      </c>
      <c r="Y134" t="s">
        <v>684</v>
      </c>
      <c r="Z134" t="s">
        <v>416</v>
      </c>
      <c r="AA134" t="s">
        <v>449</v>
      </c>
      <c r="AC134" t="s">
        <v>450</v>
      </c>
      <c r="AD134" t="s">
        <v>419</v>
      </c>
      <c r="AE134" t="s">
        <v>703</v>
      </c>
      <c r="AG134" t="s">
        <v>479</v>
      </c>
      <c r="AH134" t="s">
        <v>486</v>
      </c>
      <c r="AI134" t="s">
        <v>430</v>
      </c>
      <c r="AJ134" t="s">
        <v>462</v>
      </c>
      <c r="AK134" t="s">
        <v>432</v>
      </c>
      <c r="AL134" t="s">
        <v>526</v>
      </c>
      <c r="AM134">
        <v>72</v>
      </c>
      <c r="AN134" t="s">
        <v>434</v>
      </c>
      <c r="AO134" t="s">
        <v>435</v>
      </c>
      <c r="AP134" t="s">
        <v>436</v>
      </c>
      <c r="AT134" t="s">
        <v>426</v>
      </c>
      <c r="AU134" t="s">
        <v>427</v>
      </c>
      <c r="AV134">
        <v>60</v>
      </c>
      <c r="AW134" t="s">
        <v>428</v>
      </c>
      <c r="AX134" t="s">
        <v>429</v>
      </c>
      <c r="AY134" t="s">
        <v>423</v>
      </c>
      <c r="AZ134" t="s">
        <v>462</v>
      </c>
      <c r="BA134" t="s">
        <v>424</v>
      </c>
      <c r="BB134" t="s">
        <v>453</v>
      </c>
      <c r="BC134">
        <v>40</v>
      </c>
      <c r="BD134" t="s">
        <v>454</v>
      </c>
      <c r="BE134" t="s">
        <v>666</v>
      </c>
      <c r="BF134" t="s">
        <v>487</v>
      </c>
      <c r="BG134" t="s">
        <v>456</v>
      </c>
      <c r="BJ134" t="s">
        <v>426</v>
      </c>
      <c r="BK134" t="s">
        <v>437</v>
      </c>
      <c r="BL134">
        <v>55</v>
      </c>
      <c r="BM134" t="s">
        <v>428</v>
      </c>
      <c r="BN134" t="s">
        <v>429</v>
      </c>
      <c r="CU134">
        <v>518136.79200000002</v>
      </c>
      <c r="CV134">
        <v>4945050.1920999996</v>
      </c>
      <c r="CW134">
        <v>44.65859373</v>
      </c>
      <c r="CX134" s="287">
        <v>-92.771244390000007</v>
      </c>
      <c r="CY134">
        <v>44019.62222222222</v>
      </c>
      <c r="CZ134" t="s">
        <v>438</v>
      </c>
      <c r="DA134" t="s">
        <v>439</v>
      </c>
      <c r="DB134" t="s">
        <v>667</v>
      </c>
      <c r="DC134" t="s">
        <v>668</v>
      </c>
      <c r="DD134" t="s">
        <v>704</v>
      </c>
    </row>
    <row r="135" spans="1:108" x14ac:dyDescent="0.25">
      <c r="A135">
        <v>803331</v>
      </c>
      <c r="B135" t="s">
        <v>405</v>
      </c>
      <c r="C135">
        <v>68</v>
      </c>
      <c r="D135">
        <v>1.2E-2</v>
      </c>
      <c r="E135" t="s">
        <v>406</v>
      </c>
      <c r="G135" t="s">
        <v>407</v>
      </c>
      <c r="H135" t="s">
        <v>408</v>
      </c>
      <c r="I135" t="s">
        <v>409</v>
      </c>
      <c r="K135">
        <v>20000361</v>
      </c>
      <c r="L135">
        <v>200670153</v>
      </c>
      <c r="M135" s="288">
        <v>45354</v>
      </c>
      <c r="N135">
        <v>7</v>
      </c>
      <c r="O135">
        <v>2020</v>
      </c>
      <c r="P135" t="s">
        <v>458</v>
      </c>
      <c r="Q135">
        <v>21</v>
      </c>
      <c r="R135" t="s">
        <v>496</v>
      </c>
      <c r="S135" t="s">
        <v>411</v>
      </c>
      <c r="T135">
        <v>0</v>
      </c>
      <c r="U135">
        <v>1</v>
      </c>
      <c r="W135" t="s">
        <v>717</v>
      </c>
      <c r="X135" t="s">
        <v>476</v>
      </c>
      <c r="Y135" t="s">
        <v>684</v>
      </c>
      <c r="Z135" t="s">
        <v>519</v>
      </c>
      <c r="AA135" t="s">
        <v>449</v>
      </c>
      <c r="AC135" t="s">
        <v>450</v>
      </c>
      <c r="AD135" t="s">
        <v>419</v>
      </c>
      <c r="AE135" t="s">
        <v>477</v>
      </c>
      <c r="AG135" t="s">
        <v>479</v>
      </c>
      <c r="AH135" t="s">
        <v>451</v>
      </c>
      <c r="AI135" t="s">
        <v>430</v>
      </c>
      <c r="AJ135" t="s">
        <v>462</v>
      </c>
      <c r="AK135" t="s">
        <v>424</v>
      </c>
      <c r="AL135" t="s">
        <v>453</v>
      </c>
      <c r="AM135">
        <v>75</v>
      </c>
      <c r="AN135" t="s">
        <v>454</v>
      </c>
      <c r="AO135" t="s">
        <v>515</v>
      </c>
      <c r="AP135" t="s">
        <v>515</v>
      </c>
      <c r="AT135" t="s">
        <v>426</v>
      </c>
      <c r="AU135" t="s">
        <v>437</v>
      </c>
      <c r="AV135">
        <v>55</v>
      </c>
      <c r="AW135" t="s">
        <v>428</v>
      </c>
      <c r="AX135" t="s">
        <v>429</v>
      </c>
      <c r="CU135">
        <v>518150.29430000001</v>
      </c>
      <c r="CV135">
        <v>4945058.7844000002</v>
      </c>
      <c r="CW135">
        <v>44.658670739999998</v>
      </c>
      <c r="CX135" s="287">
        <v>-92.771073779999995</v>
      </c>
      <c r="CY135">
        <v>43897.875</v>
      </c>
      <c r="CZ135" t="s">
        <v>438</v>
      </c>
      <c r="DA135" t="s">
        <v>439</v>
      </c>
      <c r="DB135" t="s">
        <v>440</v>
      </c>
      <c r="DC135" s="15" t="s">
        <v>441</v>
      </c>
      <c r="DD135" t="s">
        <v>718</v>
      </c>
    </row>
    <row r="136" spans="1:108" x14ac:dyDescent="0.25">
      <c r="A136">
        <v>700493</v>
      </c>
      <c r="B136" t="s">
        <v>405</v>
      </c>
      <c r="C136">
        <v>68</v>
      </c>
      <c r="D136">
        <v>2.1000000000000001E-2</v>
      </c>
      <c r="E136" t="s">
        <v>406</v>
      </c>
      <c r="G136" t="s">
        <v>407</v>
      </c>
      <c r="H136" t="s">
        <v>408</v>
      </c>
      <c r="I136" t="s">
        <v>409</v>
      </c>
      <c r="K136">
        <v>19403458</v>
      </c>
      <c r="L136">
        <v>190870017</v>
      </c>
      <c r="M136" s="288">
        <v>45354</v>
      </c>
      <c r="N136">
        <v>28</v>
      </c>
      <c r="O136">
        <v>2019</v>
      </c>
      <c r="P136" t="s">
        <v>443</v>
      </c>
      <c r="Q136">
        <v>8</v>
      </c>
      <c r="R136" t="s">
        <v>496</v>
      </c>
      <c r="S136" t="s">
        <v>411</v>
      </c>
      <c r="T136">
        <v>0</v>
      </c>
      <c r="U136">
        <v>2</v>
      </c>
      <c r="V136" t="s">
        <v>502</v>
      </c>
      <c r="W136" t="s">
        <v>413</v>
      </c>
      <c r="X136" t="s">
        <v>414</v>
      </c>
      <c r="Y136" t="s">
        <v>415</v>
      </c>
      <c r="Z136" t="s">
        <v>416</v>
      </c>
      <c r="AA136" t="s">
        <v>449</v>
      </c>
      <c r="AC136" t="s">
        <v>450</v>
      </c>
      <c r="AD136" t="s">
        <v>419</v>
      </c>
      <c r="AE136" t="s">
        <v>477</v>
      </c>
      <c r="AG136" t="s">
        <v>479</v>
      </c>
      <c r="AH136" t="s">
        <v>507</v>
      </c>
      <c r="AI136" t="s">
        <v>430</v>
      </c>
      <c r="AJ136" t="s">
        <v>462</v>
      </c>
      <c r="AK136" t="s">
        <v>424</v>
      </c>
      <c r="AL136" t="s">
        <v>453</v>
      </c>
      <c r="AM136">
        <v>21</v>
      </c>
      <c r="AN136" t="s">
        <v>454</v>
      </c>
      <c r="AO136" t="s">
        <v>435</v>
      </c>
      <c r="AP136" t="s">
        <v>559</v>
      </c>
      <c r="AT136" t="s">
        <v>426</v>
      </c>
      <c r="AU136" t="s">
        <v>437</v>
      </c>
      <c r="AV136">
        <v>55</v>
      </c>
      <c r="AW136" t="s">
        <v>428</v>
      </c>
      <c r="AX136" t="s">
        <v>429</v>
      </c>
      <c r="AY136" t="s">
        <v>430</v>
      </c>
      <c r="AZ136" t="s">
        <v>431</v>
      </c>
      <c r="BA136" t="s">
        <v>424</v>
      </c>
      <c r="BB136" t="s">
        <v>566</v>
      </c>
      <c r="BC136">
        <v>29</v>
      </c>
      <c r="BD136" t="s">
        <v>434</v>
      </c>
      <c r="BE136" t="s">
        <v>435</v>
      </c>
      <c r="BF136" t="s">
        <v>436</v>
      </c>
      <c r="BJ136" t="s">
        <v>426</v>
      </c>
      <c r="BK136" t="s">
        <v>437</v>
      </c>
      <c r="BL136">
        <v>55</v>
      </c>
      <c r="BM136" t="s">
        <v>428</v>
      </c>
      <c r="BN136" t="s">
        <v>429</v>
      </c>
      <c r="CU136">
        <v>518161.4485</v>
      </c>
      <c r="CV136">
        <v>4945065.8825000003</v>
      </c>
      <c r="CW136">
        <v>44.658734359999997</v>
      </c>
      <c r="CX136" s="287">
        <v>-92.77093284</v>
      </c>
      <c r="CY136">
        <v>43552.345138888886</v>
      </c>
      <c r="CZ136" t="s">
        <v>438</v>
      </c>
      <c r="DA136" t="s">
        <v>439</v>
      </c>
      <c r="DB136" t="s">
        <v>667</v>
      </c>
      <c r="DC136" t="s">
        <v>668</v>
      </c>
      <c r="DD136" t="s">
        <v>719</v>
      </c>
    </row>
    <row r="137" spans="1:108" ht="15.75" customHeight="1" x14ac:dyDescent="0.25">
      <c r="A137">
        <v>731121</v>
      </c>
      <c r="B137" t="s">
        <v>405</v>
      </c>
      <c r="C137">
        <v>68</v>
      </c>
      <c r="D137">
        <v>3.5000000000000003E-2</v>
      </c>
      <c r="E137" t="s">
        <v>406</v>
      </c>
      <c r="G137" t="s">
        <v>407</v>
      </c>
      <c r="H137" t="s">
        <v>408</v>
      </c>
      <c r="I137" t="s">
        <v>409</v>
      </c>
      <c r="K137">
        <v>19000947</v>
      </c>
      <c r="L137">
        <v>191840004</v>
      </c>
      <c r="M137" s="288">
        <v>45480</v>
      </c>
      <c r="N137">
        <v>3</v>
      </c>
      <c r="O137">
        <v>2019</v>
      </c>
      <c r="P137" t="s">
        <v>549</v>
      </c>
      <c r="Q137">
        <v>4</v>
      </c>
      <c r="R137" t="s">
        <v>496</v>
      </c>
      <c r="S137" t="s">
        <v>497</v>
      </c>
      <c r="T137">
        <v>0</v>
      </c>
      <c r="U137">
        <v>2</v>
      </c>
      <c r="V137" t="s">
        <v>502</v>
      </c>
      <c r="W137" t="s">
        <v>413</v>
      </c>
      <c r="X137" t="s">
        <v>414</v>
      </c>
      <c r="Y137" t="s">
        <v>684</v>
      </c>
      <c r="Z137" t="s">
        <v>471</v>
      </c>
      <c r="AA137" t="s">
        <v>720</v>
      </c>
      <c r="AC137" t="s">
        <v>450</v>
      </c>
      <c r="AD137" t="s">
        <v>419</v>
      </c>
      <c r="AE137" t="s">
        <v>477</v>
      </c>
      <c r="AG137" t="s">
        <v>479</v>
      </c>
      <c r="AH137" t="s">
        <v>507</v>
      </c>
      <c r="AI137" t="s">
        <v>430</v>
      </c>
      <c r="AJ137" t="s">
        <v>462</v>
      </c>
      <c r="AK137" t="s">
        <v>424</v>
      </c>
      <c r="AL137" t="s">
        <v>453</v>
      </c>
      <c r="AM137">
        <v>81</v>
      </c>
      <c r="AN137" t="s">
        <v>434</v>
      </c>
      <c r="AO137" t="s">
        <v>435</v>
      </c>
      <c r="AP137" t="s">
        <v>436</v>
      </c>
      <c r="AT137" t="s">
        <v>426</v>
      </c>
      <c r="AU137" t="s">
        <v>437</v>
      </c>
      <c r="AV137">
        <v>55</v>
      </c>
      <c r="AW137" t="s">
        <v>428</v>
      </c>
      <c r="AX137" t="s">
        <v>429</v>
      </c>
      <c r="AY137" t="s">
        <v>430</v>
      </c>
      <c r="AZ137" t="s">
        <v>462</v>
      </c>
      <c r="BA137" t="s">
        <v>424</v>
      </c>
      <c r="BB137" t="s">
        <v>526</v>
      </c>
      <c r="BC137">
        <v>44</v>
      </c>
      <c r="BD137" t="s">
        <v>454</v>
      </c>
      <c r="BE137" t="s">
        <v>435</v>
      </c>
      <c r="BF137" t="s">
        <v>436</v>
      </c>
      <c r="BJ137" t="s">
        <v>426</v>
      </c>
      <c r="BK137" t="s">
        <v>437</v>
      </c>
      <c r="BL137">
        <v>55</v>
      </c>
      <c r="BM137" t="s">
        <v>428</v>
      </c>
      <c r="BN137" t="s">
        <v>429</v>
      </c>
      <c r="CU137">
        <v>518184.26209999999</v>
      </c>
      <c r="CV137">
        <v>4945071.0509000001</v>
      </c>
      <c r="CW137">
        <v>44.658780309999997</v>
      </c>
      <c r="CX137" s="287">
        <v>-92.770644899999994</v>
      </c>
      <c r="CY137">
        <v>43649.184027777781</v>
      </c>
      <c r="CZ137" t="s">
        <v>438</v>
      </c>
      <c r="DA137" t="s">
        <v>439</v>
      </c>
      <c r="DB137" t="s">
        <v>440</v>
      </c>
      <c r="DC137" t="s">
        <v>441</v>
      </c>
      <c r="DD137" t="s">
        <v>721</v>
      </c>
    </row>
    <row r="138" spans="1:108" x14ac:dyDescent="0.25">
      <c r="A138">
        <v>1047009</v>
      </c>
      <c r="B138" t="s">
        <v>405</v>
      </c>
      <c r="C138">
        <v>68</v>
      </c>
      <c r="D138">
        <v>3.7999999999999999E-2</v>
      </c>
      <c r="E138" t="s">
        <v>406</v>
      </c>
      <c r="G138" t="s">
        <v>407</v>
      </c>
      <c r="H138" t="s">
        <v>408</v>
      </c>
      <c r="I138" t="s">
        <v>409</v>
      </c>
      <c r="J138" t="s">
        <v>722</v>
      </c>
      <c r="K138">
        <v>22001201</v>
      </c>
      <c r="L138">
        <v>222630136</v>
      </c>
      <c r="M138" s="288">
        <v>45544</v>
      </c>
      <c r="N138">
        <v>20</v>
      </c>
      <c r="O138">
        <v>2022</v>
      </c>
      <c r="P138" t="s">
        <v>468</v>
      </c>
      <c r="Q138">
        <v>16</v>
      </c>
      <c r="R138" t="s">
        <v>484</v>
      </c>
      <c r="S138" t="s">
        <v>497</v>
      </c>
      <c r="T138">
        <v>0</v>
      </c>
      <c r="U138">
        <v>1</v>
      </c>
      <c r="W138" t="s">
        <v>446</v>
      </c>
      <c r="X138" t="s">
        <v>414</v>
      </c>
      <c r="Y138" t="s">
        <v>503</v>
      </c>
      <c r="Z138" t="s">
        <v>416</v>
      </c>
      <c r="AA138" t="s">
        <v>449</v>
      </c>
      <c r="AC138" t="s">
        <v>450</v>
      </c>
      <c r="AD138" t="s">
        <v>419</v>
      </c>
      <c r="AE138" t="s">
        <v>477</v>
      </c>
      <c r="AG138" t="s">
        <v>479</v>
      </c>
      <c r="AH138" t="s">
        <v>451</v>
      </c>
      <c r="AI138" t="s">
        <v>430</v>
      </c>
      <c r="AJ138" t="s">
        <v>27</v>
      </c>
      <c r="AK138" t="s">
        <v>424</v>
      </c>
      <c r="AL138" t="s">
        <v>624</v>
      </c>
      <c r="AM138">
        <v>62</v>
      </c>
      <c r="AN138" t="s">
        <v>434</v>
      </c>
      <c r="AO138" t="s">
        <v>435</v>
      </c>
      <c r="AP138" t="s">
        <v>515</v>
      </c>
      <c r="AT138" t="s">
        <v>426</v>
      </c>
      <c r="AU138" t="s">
        <v>484</v>
      </c>
      <c r="AV138">
        <v>55</v>
      </c>
      <c r="AW138" t="s">
        <v>551</v>
      </c>
      <c r="AX138" t="s">
        <v>429</v>
      </c>
      <c r="CU138">
        <v>518188.60470000003</v>
      </c>
      <c r="CV138">
        <v>4945071.8650000002</v>
      </c>
      <c r="CW138">
        <v>44.658787529999998</v>
      </c>
      <c r="CX138" s="287">
        <v>-92.770590100000007</v>
      </c>
      <c r="CY138">
        <v>44824.692361111112</v>
      </c>
      <c r="CZ138" t="s">
        <v>438</v>
      </c>
      <c r="DA138" t="s">
        <v>439</v>
      </c>
      <c r="DB138" t="s">
        <v>440</v>
      </c>
      <c r="DC138" t="s">
        <v>441</v>
      </c>
      <c r="DD138" t="s">
        <v>723</v>
      </c>
    </row>
    <row r="139" spans="1:108" x14ac:dyDescent="0.25">
      <c r="A139">
        <v>1152661</v>
      </c>
      <c r="B139" t="s">
        <v>405</v>
      </c>
      <c r="C139">
        <v>68</v>
      </c>
      <c r="D139">
        <v>0.51500000000000001</v>
      </c>
      <c r="E139" t="s">
        <v>406</v>
      </c>
      <c r="G139" t="s">
        <v>407</v>
      </c>
      <c r="H139" t="s">
        <v>408</v>
      </c>
      <c r="I139" t="s">
        <v>409</v>
      </c>
      <c r="K139" t="s">
        <v>724</v>
      </c>
      <c r="L139">
        <v>233640003</v>
      </c>
      <c r="M139" s="288">
        <v>45638</v>
      </c>
      <c r="N139">
        <v>30</v>
      </c>
      <c r="O139">
        <v>2023</v>
      </c>
      <c r="P139" t="s">
        <v>458</v>
      </c>
      <c r="Q139">
        <v>4</v>
      </c>
      <c r="R139" t="s">
        <v>496</v>
      </c>
      <c r="S139" t="s">
        <v>497</v>
      </c>
      <c r="T139">
        <v>0</v>
      </c>
      <c r="U139">
        <v>1</v>
      </c>
      <c r="W139" t="s">
        <v>446</v>
      </c>
      <c r="X139" t="s">
        <v>414</v>
      </c>
      <c r="Y139" t="s">
        <v>503</v>
      </c>
      <c r="Z139" t="s">
        <v>519</v>
      </c>
      <c r="AA139" t="s">
        <v>449</v>
      </c>
      <c r="AC139" t="s">
        <v>460</v>
      </c>
      <c r="AD139" t="s">
        <v>419</v>
      </c>
      <c r="AE139" t="s">
        <v>477</v>
      </c>
      <c r="AF139" t="s">
        <v>663</v>
      </c>
      <c r="AG139" t="s">
        <v>479</v>
      </c>
      <c r="AH139" t="s">
        <v>451</v>
      </c>
      <c r="AI139" t="s">
        <v>430</v>
      </c>
      <c r="AJ139" t="s">
        <v>462</v>
      </c>
      <c r="AK139" t="s">
        <v>424</v>
      </c>
      <c r="AL139" t="s">
        <v>624</v>
      </c>
      <c r="AM139">
        <v>69</v>
      </c>
      <c r="AN139" t="s">
        <v>454</v>
      </c>
      <c r="AO139" t="s">
        <v>435</v>
      </c>
      <c r="AP139" t="s">
        <v>473</v>
      </c>
      <c r="AT139" t="s">
        <v>426</v>
      </c>
      <c r="AU139" t="s">
        <v>427</v>
      </c>
      <c r="AV139">
        <v>55</v>
      </c>
      <c r="AW139" t="s">
        <v>520</v>
      </c>
      <c r="AX139" t="s">
        <v>567</v>
      </c>
      <c r="CU139">
        <v>518947.7597</v>
      </c>
      <c r="CV139">
        <v>4945019.6645999998</v>
      </c>
      <c r="CW139">
        <v>44.658297959999999</v>
      </c>
      <c r="CX139" s="287">
        <v>-92.761016699999999</v>
      </c>
      <c r="CY139">
        <v>45290.188194444447</v>
      </c>
      <c r="CZ139" t="s">
        <v>438</v>
      </c>
      <c r="DA139" t="s">
        <v>439</v>
      </c>
      <c r="DB139" t="s">
        <v>440</v>
      </c>
      <c r="DC139" s="15" t="s">
        <v>441</v>
      </c>
      <c r="DD139" t="s">
        <v>725</v>
      </c>
    </row>
    <row r="140" spans="1:108" x14ac:dyDescent="0.25">
      <c r="A140">
        <v>1070999</v>
      </c>
      <c r="B140" t="s">
        <v>405</v>
      </c>
      <c r="C140">
        <v>68</v>
      </c>
      <c r="D140">
        <v>0.53600000000000003</v>
      </c>
      <c r="E140" t="s">
        <v>406</v>
      </c>
      <c r="G140" t="s">
        <v>407</v>
      </c>
      <c r="H140" t="s">
        <v>408</v>
      </c>
      <c r="I140" t="s">
        <v>409</v>
      </c>
      <c r="K140">
        <v>22001671</v>
      </c>
      <c r="L140">
        <v>223620134</v>
      </c>
      <c r="M140" s="288">
        <v>45638</v>
      </c>
      <c r="N140">
        <v>28</v>
      </c>
      <c r="O140">
        <v>2022</v>
      </c>
      <c r="P140" t="s">
        <v>549</v>
      </c>
      <c r="Q140">
        <v>18</v>
      </c>
      <c r="S140" t="s">
        <v>411</v>
      </c>
      <c r="T140">
        <v>0</v>
      </c>
      <c r="U140">
        <v>1</v>
      </c>
      <c r="W140" t="s">
        <v>726</v>
      </c>
      <c r="X140" t="s">
        <v>414</v>
      </c>
      <c r="Y140" t="s">
        <v>503</v>
      </c>
      <c r="Z140" t="s">
        <v>519</v>
      </c>
      <c r="AA140" t="s">
        <v>449</v>
      </c>
      <c r="AC140" t="s">
        <v>460</v>
      </c>
      <c r="AD140" t="s">
        <v>419</v>
      </c>
      <c r="AE140" t="s">
        <v>477</v>
      </c>
      <c r="AG140" t="s">
        <v>479</v>
      </c>
      <c r="AH140" t="s">
        <v>480</v>
      </c>
      <c r="AI140" t="s">
        <v>430</v>
      </c>
      <c r="AJ140" t="s">
        <v>465</v>
      </c>
      <c r="AK140" t="s">
        <v>508</v>
      </c>
      <c r="AL140" t="s">
        <v>453</v>
      </c>
      <c r="AM140">
        <v>55</v>
      </c>
      <c r="AN140" t="s">
        <v>434</v>
      </c>
      <c r="AO140" t="s">
        <v>435</v>
      </c>
      <c r="AP140" t="s">
        <v>436</v>
      </c>
      <c r="AT140" t="s">
        <v>426</v>
      </c>
      <c r="AU140" t="s">
        <v>427</v>
      </c>
      <c r="AV140">
        <v>55</v>
      </c>
      <c r="AW140" t="s">
        <v>428</v>
      </c>
      <c r="AX140" t="s">
        <v>429</v>
      </c>
      <c r="CU140">
        <v>518981.1263</v>
      </c>
      <c r="CV140">
        <v>4945018.1742000002</v>
      </c>
      <c r="CW140">
        <v>44.658283660000002</v>
      </c>
      <c r="CX140" s="287">
        <v>-92.760595899999998</v>
      </c>
      <c r="CY140">
        <v>44923.767361111109</v>
      </c>
      <c r="CZ140" t="s">
        <v>438</v>
      </c>
      <c r="DA140" t="s">
        <v>439</v>
      </c>
      <c r="DB140" t="s">
        <v>440</v>
      </c>
      <c r="DC140" s="15" t="s">
        <v>441</v>
      </c>
      <c r="DD140" t="s">
        <v>727</v>
      </c>
    </row>
    <row r="141" spans="1:108" x14ac:dyDescent="0.25">
      <c r="A141">
        <v>848992</v>
      </c>
      <c r="B141" t="s">
        <v>405</v>
      </c>
      <c r="C141">
        <v>68</v>
      </c>
      <c r="D141">
        <v>0.90900000000000003</v>
      </c>
      <c r="E141" t="s">
        <v>406</v>
      </c>
      <c r="G141" t="s">
        <v>407</v>
      </c>
      <c r="H141" t="s">
        <v>408</v>
      </c>
      <c r="I141" t="s">
        <v>409</v>
      </c>
      <c r="K141">
        <v>20001361</v>
      </c>
      <c r="L141">
        <v>202980031</v>
      </c>
      <c r="M141" s="288">
        <v>45575</v>
      </c>
      <c r="N141">
        <v>24</v>
      </c>
      <c r="O141">
        <v>2020</v>
      </c>
      <c r="P141" t="s">
        <v>458</v>
      </c>
      <c r="Q141">
        <v>6</v>
      </c>
      <c r="R141" t="s">
        <v>541</v>
      </c>
      <c r="S141" t="s">
        <v>411</v>
      </c>
      <c r="T141">
        <v>0</v>
      </c>
      <c r="U141">
        <v>1</v>
      </c>
      <c r="W141" t="s">
        <v>518</v>
      </c>
      <c r="X141" t="s">
        <v>414</v>
      </c>
      <c r="Y141" t="s">
        <v>503</v>
      </c>
      <c r="Z141" t="s">
        <v>615</v>
      </c>
      <c r="AA141" t="s">
        <v>449</v>
      </c>
      <c r="AC141" t="s">
        <v>450</v>
      </c>
      <c r="AD141" t="s">
        <v>419</v>
      </c>
      <c r="AE141" t="s">
        <v>477</v>
      </c>
      <c r="AG141" t="s">
        <v>479</v>
      </c>
      <c r="AH141" t="s">
        <v>480</v>
      </c>
      <c r="AI141" t="s">
        <v>430</v>
      </c>
      <c r="AJ141" t="s">
        <v>465</v>
      </c>
      <c r="AK141" t="s">
        <v>508</v>
      </c>
      <c r="AL141" t="s">
        <v>453</v>
      </c>
      <c r="AM141">
        <v>43</v>
      </c>
      <c r="AN141" t="s">
        <v>434</v>
      </c>
      <c r="AO141" t="s">
        <v>435</v>
      </c>
      <c r="AP141" t="s">
        <v>436</v>
      </c>
      <c r="AT141" t="s">
        <v>426</v>
      </c>
      <c r="AU141" t="s">
        <v>427</v>
      </c>
      <c r="AV141">
        <v>55</v>
      </c>
      <c r="AW141" t="s">
        <v>428</v>
      </c>
      <c r="AX141" t="s">
        <v>429</v>
      </c>
      <c r="CU141">
        <v>519489.70909999998</v>
      </c>
      <c r="CV141">
        <v>4945292.7585000005</v>
      </c>
      <c r="CW141">
        <v>44.660741950000002</v>
      </c>
      <c r="CX141" s="287">
        <v>-92.754170680000001</v>
      </c>
      <c r="CY141">
        <v>44128.260416666664</v>
      </c>
      <c r="CZ141" t="s">
        <v>438</v>
      </c>
      <c r="DA141" t="s">
        <v>439</v>
      </c>
      <c r="DB141" t="s">
        <v>440</v>
      </c>
      <c r="DC141" s="15" t="s">
        <v>441</v>
      </c>
      <c r="DD141" t="s">
        <v>728</v>
      </c>
    </row>
    <row r="142" spans="1:108" ht="15.75" customHeight="1" x14ac:dyDescent="0.25">
      <c r="A142">
        <v>683543</v>
      </c>
      <c r="B142" t="s">
        <v>405</v>
      </c>
      <c r="C142">
        <v>68</v>
      </c>
      <c r="D142">
        <v>1.079</v>
      </c>
      <c r="E142" t="s">
        <v>406</v>
      </c>
      <c r="G142" t="s">
        <v>407</v>
      </c>
      <c r="H142" t="s">
        <v>408</v>
      </c>
      <c r="I142" t="s">
        <v>409</v>
      </c>
      <c r="K142">
        <v>19000182</v>
      </c>
      <c r="L142">
        <v>190350669</v>
      </c>
      <c r="M142" s="288">
        <v>45324</v>
      </c>
      <c r="N142">
        <v>4</v>
      </c>
      <c r="O142">
        <v>2019</v>
      </c>
      <c r="P142" t="s">
        <v>517</v>
      </c>
      <c r="Q142">
        <v>6</v>
      </c>
      <c r="R142" t="s">
        <v>541</v>
      </c>
      <c r="S142" t="s">
        <v>411</v>
      </c>
      <c r="T142">
        <v>0</v>
      </c>
      <c r="U142">
        <v>2</v>
      </c>
      <c r="V142" t="s">
        <v>502</v>
      </c>
      <c r="W142" t="s">
        <v>413</v>
      </c>
      <c r="X142" t="s">
        <v>524</v>
      </c>
      <c r="Y142" t="s">
        <v>503</v>
      </c>
      <c r="Z142" t="s">
        <v>519</v>
      </c>
      <c r="AA142" t="s">
        <v>561</v>
      </c>
      <c r="AC142" t="s">
        <v>460</v>
      </c>
      <c r="AD142" t="s">
        <v>419</v>
      </c>
      <c r="AE142" t="s">
        <v>490</v>
      </c>
      <c r="AG142" t="s">
        <v>479</v>
      </c>
      <c r="AH142" t="s">
        <v>507</v>
      </c>
      <c r="AI142" t="s">
        <v>430</v>
      </c>
      <c r="AJ142" t="s">
        <v>529</v>
      </c>
      <c r="AK142" t="s">
        <v>508</v>
      </c>
      <c r="AL142" t="s">
        <v>453</v>
      </c>
      <c r="AM142">
        <v>25</v>
      </c>
      <c r="AN142" t="s">
        <v>434</v>
      </c>
      <c r="AO142" t="s">
        <v>435</v>
      </c>
      <c r="AP142" t="s">
        <v>436</v>
      </c>
      <c r="AT142" t="s">
        <v>426</v>
      </c>
      <c r="AU142" t="s">
        <v>427</v>
      </c>
      <c r="AV142">
        <v>55</v>
      </c>
      <c r="AW142" t="s">
        <v>520</v>
      </c>
      <c r="AX142" t="s">
        <v>482</v>
      </c>
      <c r="AY142" t="s">
        <v>430</v>
      </c>
      <c r="AZ142" t="s">
        <v>462</v>
      </c>
      <c r="BA142" t="s">
        <v>508</v>
      </c>
      <c r="BB142" t="s">
        <v>566</v>
      </c>
      <c r="BC142">
        <v>30</v>
      </c>
      <c r="BD142" t="s">
        <v>454</v>
      </c>
      <c r="BE142" t="s">
        <v>435</v>
      </c>
      <c r="BF142" t="s">
        <v>436</v>
      </c>
      <c r="BJ142" t="s">
        <v>426</v>
      </c>
      <c r="BK142" t="s">
        <v>427</v>
      </c>
      <c r="BL142">
        <v>55</v>
      </c>
      <c r="BM142" t="s">
        <v>520</v>
      </c>
      <c r="BN142" t="s">
        <v>482</v>
      </c>
      <c r="CU142">
        <v>519750.46919999999</v>
      </c>
      <c r="CV142">
        <v>4945358.6708000004</v>
      </c>
      <c r="CW142">
        <v>44.661328189999999</v>
      </c>
      <c r="CX142" s="287">
        <v>-92.750879029999993</v>
      </c>
      <c r="CY142">
        <v>43500.274305555555</v>
      </c>
      <c r="CZ142" t="s">
        <v>438</v>
      </c>
      <c r="DA142" t="s">
        <v>439</v>
      </c>
      <c r="DB142" t="s">
        <v>440</v>
      </c>
      <c r="DC142" t="s">
        <v>441</v>
      </c>
      <c r="DD142" t="s">
        <v>729</v>
      </c>
    </row>
    <row r="143" spans="1:108" x14ac:dyDescent="0.25">
      <c r="A143">
        <v>682861</v>
      </c>
      <c r="B143" t="s">
        <v>405</v>
      </c>
      <c r="C143">
        <v>68</v>
      </c>
      <c r="D143">
        <v>1.087</v>
      </c>
      <c r="E143" t="s">
        <v>406</v>
      </c>
      <c r="G143" t="s">
        <v>407</v>
      </c>
      <c r="H143" t="s">
        <v>408</v>
      </c>
      <c r="I143" t="s">
        <v>409</v>
      </c>
      <c r="K143">
        <v>19000180</v>
      </c>
      <c r="L143">
        <v>190350085</v>
      </c>
      <c r="M143" s="288">
        <v>45324</v>
      </c>
      <c r="N143">
        <v>4</v>
      </c>
      <c r="O143">
        <v>2019</v>
      </c>
      <c r="P143" t="s">
        <v>517</v>
      </c>
      <c r="Q143">
        <v>5</v>
      </c>
      <c r="R143" t="s">
        <v>541</v>
      </c>
      <c r="S143" t="s">
        <v>497</v>
      </c>
      <c r="T143">
        <v>0</v>
      </c>
      <c r="U143">
        <v>3</v>
      </c>
      <c r="W143" t="s">
        <v>730</v>
      </c>
      <c r="X143" t="s">
        <v>414</v>
      </c>
      <c r="Y143" t="s">
        <v>503</v>
      </c>
      <c r="Z143" t="s">
        <v>519</v>
      </c>
      <c r="AA143" t="s">
        <v>561</v>
      </c>
      <c r="AC143" t="s">
        <v>460</v>
      </c>
      <c r="AD143" t="s">
        <v>419</v>
      </c>
      <c r="AE143" t="s">
        <v>490</v>
      </c>
      <c r="AG143" t="s">
        <v>479</v>
      </c>
      <c r="AH143" t="s">
        <v>529</v>
      </c>
      <c r="AI143" t="s">
        <v>731</v>
      </c>
      <c r="AJ143" t="s">
        <v>462</v>
      </c>
      <c r="AK143" t="s">
        <v>508</v>
      </c>
      <c r="AL143" t="s">
        <v>566</v>
      </c>
      <c r="AM143">
        <v>61</v>
      </c>
      <c r="AN143" t="s">
        <v>434</v>
      </c>
      <c r="AO143" t="s">
        <v>435</v>
      </c>
      <c r="AP143" t="s">
        <v>436</v>
      </c>
      <c r="AT143" t="s">
        <v>426</v>
      </c>
      <c r="AU143" t="s">
        <v>427</v>
      </c>
      <c r="AV143">
        <v>55</v>
      </c>
      <c r="AW143" t="s">
        <v>428</v>
      </c>
      <c r="AX143" t="s">
        <v>482</v>
      </c>
      <c r="AY143" t="s">
        <v>731</v>
      </c>
      <c r="AZ143" t="s">
        <v>462</v>
      </c>
      <c r="BA143" t="s">
        <v>508</v>
      </c>
      <c r="BB143" t="s">
        <v>566</v>
      </c>
      <c r="BC143">
        <v>28</v>
      </c>
      <c r="BD143" t="s">
        <v>434</v>
      </c>
      <c r="BE143" t="s">
        <v>435</v>
      </c>
      <c r="BF143" t="s">
        <v>436</v>
      </c>
      <c r="BJ143" t="s">
        <v>426</v>
      </c>
      <c r="BK143" t="s">
        <v>427</v>
      </c>
      <c r="BL143">
        <v>55</v>
      </c>
      <c r="BM143" t="s">
        <v>428</v>
      </c>
      <c r="BN143" t="s">
        <v>482</v>
      </c>
      <c r="BO143" t="s">
        <v>430</v>
      </c>
      <c r="BP143" t="s">
        <v>462</v>
      </c>
      <c r="BQ143" t="s">
        <v>508</v>
      </c>
      <c r="BR143" t="s">
        <v>453</v>
      </c>
      <c r="BS143">
        <v>28</v>
      </c>
      <c r="BT143" t="s">
        <v>434</v>
      </c>
      <c r="BU143" t="s">
        <v>435</v>
      </c>
      <c r="BV143" t="s">
        <v>464</v>
      </c>
      <c r="BZ143" t="s">
        <v>426</v>
      </c>
      <c r="CA143" t="s">
        <v>427</v>
      </c>
      <c r="CB143">
        <v>55</v>
      </c>
      <c r="CC143" t="s">
        <v>428</v>
      </c>
      <c r="CD143" t="s">
        <v>482</v>
      </c>
      <c r="CU143">
        <v>519763.80800000002</v>
      </c>
      <c r="CV143">
        <v>4945358.5154999997</v>
      </c>
      <c r="CW143">
        <v>44.661326430000003</v>
      </c>
      <c r="CX143" s="287">
        <v>-92.750710780000006</v>
      </c>
      <c r="CY143">
        <v>43500.243055555555</v>
      </c>
      <c r="CZ143" t="s">
        <v>438</v>
      </c>
      <c r="DA143" t="s">
        <v>439</v>
      </c>
      <c r="DB143" t="s">
        <v>440</v>
      </c>
      <c r="DC143" s="15" t="s">
        <v>441</v>
      </c>
      <c r="DD143" t="s">
        <v>732</v>
      </c>
    </row>
    <row r="144" spans="1:108" x14ac:dyDescent="0.25">
      <c r="A144">
        <v>682662</v>
      </c>
      <c r="B144" t="s">
        <v>405</v>
      </c>
      <c r="C144">
        <v>68</v>
      </c>
      <c r="D144">
        <v>1.0900000000000001</v>
      </c>
      <c r="E144" t="s">
        <v>406</v>
      </c>
      <c r="G144" t="s">
        <v>407</v>
      </c>
      <c r="H144" t="s">
        <v>408</v>
      </c>
      <c r="I144" t="s">
        <v>409</v>
      </c>
      <c r="K144">
        <v>19000179</v>
      </c>
      <c r="L144">
        <v>190340134</v>
      </c>
      <c r="M144" s="288">
        <v>45324</v>
      </c>
      <c r="N144">
        <v>3</v>
      </c>
      <c r="O144">
        <v>2019</v>
      </c>
      <c r="P144" t="s">
        <v>410</v>
      </c>
      <c r="Q144">
        <v>22</v>
      </c>
      <c r="R144" t="s">
        <v>541</v>
      </c>
      <c r="S144" t="s">
        <v>411</v>
      </c>
      <c r="T144">
        <v>0</v>
      </c>
      <c r="U144">
        <v>1</v>
      </c>
      <c r="W144" t="s">
        <v>446</v>
      </c>
      <c r="X144" t="s">
        <v>470</v>
      </c>
      <c r="Y144" t="s">
        <v>503</v>
      </c>
      <c r="Z144" t="s">
        <v>519</v>
      </c>
      <c r="AA144" t="s">
        <v>561</v>
      </c>
      <c r="AB144" t="s">
        <v>720</v>
      </c>
      <c r="AC144" t="s">
        <v>460</v>
      </c>
      <c r="AD144" t="s">
        <v>419</v>
      </c>
      <c r="AE144" t="s">
        <v>490</v>
      </c>
      <c r="AG144" t="s">
        <v>479</v>
      </c>
      <c r="AH144" t="s">
        <v>451</v>
      </c>
      <c r="AI144" t="s">
        <v>430</v>
      </c>
      <c r="AJ144" t="s">
        <v>462</v>
      </c>
      <c r="AK144" t="s">
        <v>508</v>
      </c>
      <c r="AL144" t="s">
        <v>624</v>
      </c>
      <c r="AM144">
        <v>53</v>
      </c>
      <c r="AN144" t="s">
        <v>434</v>
      </c>
      <c r="AO144" t="s">
        <v>435</v>
      </c>
      <c r="AP144" t="s">
        <v>464</v>
      </c>
      <c r="AT144" t="s">
        <v>426</v>
      </c>
      <c r="AU144" t="s">
        <v>427</v>
      </c>
      <c r="AV144">
        <v>55</v>
      </c>
      <c r="AW144" t="s">
        <v>551</v>
      </c>
      <c r="AX144" t="s">
        <v>482</v>
      </c>
      <c r="CU144">
        <v>519768.0318</v>
      </c>
      <c r="CV144">
        <v>4945358.4664000003</v>
      </c>
      <c r="CW144">
        <v>44.661325869999999</v>
      </c>
      <c r="CX144" s="287">
        <v>-92.750657500000003</v>
      </c>
      <c r="CY144">
        <v>43499.927083333336</v>
      </c>
      <c r="CZ144" t="s">
        <v>438</v>
      </c>
      <c r="DA144" t="s">
        <v>439</v>
      </c>
      <c r="DB144" t="s">
        <v>440</v>
      </c>
      <c r="DC144" t="s">
        <v>441</v>
      </c>
      <c r="DD144" t="s">
        <v>733</v>
      </c>
    </row>
    <row r="145" spans="1:108" x14ac:dyDescent="0.25">
      <c r="A145">
        <v>1079841</v>
      </c>
      <c r="B145" t="s">
        <v>405</v>
      </c>
      <c r="C145">
        <v>68</v>
      </c>
      <c r="D145">
        <v>1.1020000000000001</v>
      </c>
      <c r="E145" t="s">
        <v>406</v>
      </c>
      <c r="G145" t="s">
        <v>407</v>
      </c>
      <c r="H145" t="s">
        <v>408</v>
      </c>
      <c r="I145" t="s">
        <v>409</v>
      </c>
      <c r="K145">
        <v>23000140</v>
      </c>
      <c r="L145">
        <v>230370170</v>
      </c>
      <c r="M145" s="288">
        <v>45324</v>
      </c>
      <c r="N145">
        <v>6</v>
      </c>
      <c r="O145">
        <v>2023</v>
      </c>
      <c r="P145" t="s">
        <v>517</v>
      </c>
      <c r="Q145">
        <v>20</v>
      </c>
      <c r="R145" t="s">
        <v>484</v>
      </c>
      <c r="S145" t="s">
        <v>497</v>
      </c>
      <c r="T145">
        <v>0</v>
      </c>
      <c r="U145">
        <v>5</v>
      </c>
      <c r="V145" t="s">
        <v>529</v>
      </c>
      <c r="W145" t="s">
        <v>413</v>
      </c>
      <c r="X145" t="s">
        <v>414</v>
      </c>
      <c r="Y145" t="s">
        <v>503</v>
      </c>
      <c r="Z145" t="s">
        <v>540</v>
      </c>
      <c r="AA145" t="s">
        <v>449</v>
      </c>
      <c r="AC145" t="s">
        <v>460</v>
      </c>
      <c r="AD145" t="s">
        <v>419</v>
      </c>
      <c r="AE145" t="s">
        <v>477</v>
      </c>
      <c r="AG145" t="s">
        <v>479</v>
      </c>
      <c r="AH145" t="s">
        <v>529</v>
      </c>
      <c r="AI145" t="s">
        <v>430</v>
      </c>
      <c r="AJ145" t="s">
        <v>462</v>
      </c>
      <c r="AK145" t="s">
        <v>508</v>
      </c>
      <c r="AL145" t="s">
        <v>566</v>
      </c>
      <c r="AM145">
        <v>41</v>
      </c>
      <c r="AN145" t="s">
        <v>434</v>
      </c>
      <c r="AO145" t="s">
        <v>435</v>
      </c>
      <c r="AP145" t="s">
        <v>436</v>
      </c>
      <c r="AT145" t="s">
        <v>426</v>
      </c>
      <c r="AU145" t="s">
        <v>427</v>
      </c>
      <c r="AV145">
        <v>55</v>
      </c>
      <c r="AW145" t="s">
        <v>520</v>
      </c>
      <c r="AX145" t="s">
        <v>482</v>
      </c>
      <c r="AY145" t="s">
        <v>430</v>
      </c>
      <c r="AZ145" t="s">
        <v>462</v>
      </c>
      <c r="BA145" t="s">
        <v>508</v>
      </c>
      <c r="BB145" t="s">
        <v>529</v>
      </c>
      <c r="BC145">
        <v>43</v>
      </c>
      <c r="BD145" t="s">
        <v>454</v>
      </c>
      <c r="BE145" t="s">
        <v>435</v>
      </c>
      <c r="BF145" t="s">
        <v>559</v>
      </c>
      <c r="BJ145" t="s">
        <v>426</v>
      </c>
      <c r="BK145" t="s">
        <v>427</v>
      </c>
      <c r="BL145">
        <v>55</v>
      </c>
      <c r="BM145" t="s">
        <v>520</v>
      </c>
      <c r="BN145" t="s">
        <v>482</v>
      </c>
      <c r="BO145" t="s">
        <v>430</v>
      </c>
      <c r="BP145" t="s">
        <v>462</v>
      </c>
      <c r="BQ145" t="s">
        <v>508</v>
      </c>
      <c r="BR145" t="s">
        <v>453</v>
      </c>
      <c r="BS145">
        <v>28</v>
      </c>
      <c r="BT145" t="s">
        <v>434</v>
      </c>
      <c r="BU145" t="s">
        <v>435</v>
      </c>
      <c r="BV145" t="s">
        <v>559</v>
      </c>
      <c r="BZ145" t="s">
        <v>426</v>
      </c>
      <c r="CA145" t="s">
        <v>427</v>
      </c>
      <c r="CB145">
        <v>55</v>
      </c>
      <c r="CC145" t="s">
        <v>520</v>
      </c>
      <c r="CD145" t="s">
        <v>482</v>
      </c>
      <c r="CE145" t="s">
        <v>430</v>
      </c>
      <c r="CF145" t="s">
        <v>462</v>
      </c>
      <c r="CG145" t="s">
        <v>508</v>
      </c>
      <c r="CH145" t="s">
        <v>453</v>
      </c>
      <c r="CI145">
        <v>20</v>
      </c>
      <c r="CJ145" t="s">
        <v>434</v>
      </c>
      <c r="CK145" t="s">
        <v>435</v>
      </c>
      <c r="CL145" t="s">
        <v>559</v>
      </c>
      <c r="CP145" t="s">
        <v>426</v>
      </c>
      <c r="CQ145" t="s">
        <v>427</v>
      </c>
      <c r="CR145">
        <v>55</v>
      </c>
      <c r="CS145" t="s">
        <v>520</v>
      </c>
      <c r="CT145" t="s">
        <v>482</v>
      </c>
      <c r="CU145">
        <v>519787.53120000003</v>
      </c>
      <c r="CV145">
        <v>4945358.2394000003</v>
      </c>
      <c r="CW145">
        <v>44.661323289999999</v>
      </c>
      <c r="CX145" s="287">
        <v>-92.750411549999995</v>
      </c>
      <c r="CY145">
        <v>44963.86041666667</v>
      </c>
      <c r="CZ145" t="s">
        <v>438</v>
      </c>
      <c r="DA145" t="s">
        <v>439</v>
      </c>
      <c r="DB145" t="s">
        <v>440</v>
      </c>
      <c r="DC145" t="s">
        <v>441</v>
      </c>
      <c r="DD145" t="s">
        <v>734</v>
      </c>
    </row>
    <row r="146" spans="1:108" x14ac:dyDescent="0.25">
      <c r="A146">
        <v>802678</v>
      </c>
      <c r="B146" t="s">
        <v>405</v>
      </c>
      <c r="C146">
        <v>68</v>
      </c>
      <c r="D146">
        <v>1.135</v>
      </c>
      <c r="E146" t="s">
        <v>406</v>
      </c>
      <c r="G146" t="s">
        <v>407</v>
      </c>
      <c r="H146" t="s">
        <v>408</v>
      </c>
      <c r="I146" t="s">
        <v>409</v>
      </c>
      <c r="K146">
        <v>20000351</v>
      </c>
      <c r="L146">
        <v>200660076</v>
      </c>
      <c r="M146" s="288">
        <v>45354</v>
      </c>
      <c r="N146">
        <v>6</v>
      </c>
      <c r="O146">
        <v>2020</v>
      </c>
      <c r="P146" t="s">
        <v>501</v>
      </c>
      <c r="Q146">
        <v>15</v>
      </c>
      <c r="R146" t="s">
        <v>496</v>
      </c>
      <c r="S146" t="s">
        <v>411</v>
      </c>
      <c r="T146">
        <v>0</v>
      </c>
      <c r="U146">
        <v>1</v>
      </c>
      <c r="W146" t="s">
        <v>518</v>
      </c>
      <c r="X146" t="s">
        <v>414</v>
      </c>
      <c r="Y146" t="s">
        <v>503</v>
      </c>
      <c r="Z146" t="s">
        <v>416</v>
      </c>
      <c r="AA146" t="s">
        <v>449</v>
      </c>
      <c r="AC146" t="s">
        <v>450</v>
      </c>
      <c r="AD146" t="s">
        <v>419</v>
      </c>
      <c r="AE146" t="s">
        <v>477</v>
      </c>
      <c r="AG146" t="s">
        <v>479</v>
      </c>
      <c r="AH146" t="s">
        <v>480</v>
      </c>
      <c r="AI146" t="s">
        <v>430</v>
      </c>
      <c r="AJ146" t="s">
        <v>431</v>
      </c>
      <c r="AK146" t="s">
        <v>424</v>
      </c>
      <c r="AL146" t="s">
        <v>453</v>
      </c>
      <c r="AM146">
        <v>63</v>
      </c>
      <c r="AN146" t="s">
        <v>454</v>
      </c>
      <c r="AO146" t="s">
        <v>435</v>
      </c>
      <c r="AP146" t="s">
        <v>436</v>
      </c>
      <c r="AT146" t="s">
        <v>426</v>
      </c>
      <c r="AU146" t="s">
        <v>427</v>
      </c>
      <c r="AV146">
        <v>55</v>
      </c>
      <c r="AW146" t="s">
        <v>551</v>
      </c>
      <c r="AX146" t="s">
        <v>429</v>
      </c>
      <c r="CU146">
        <v>519840.40259999997</v>
      </c>
      <c r="CV146">
        <v>4945350.5394000001</v>
      </c>
      <c r="CW146">
        <v>44.661252509999997</v>
      </c>
      <c r="CX146" s="287">
        <v>-92.749744949999993</v>
      </c>
      <c r="CY146">
        <v>43896.638888888891</v>
      </c>
      <c r="CZ146" t="s">
        <v>438</v>
      </c>
      <c r="DA146" t="s">
        <v>439</v>
      </c>
      <c r="DB146" t="s">
        <v>440</v>
      </c>
      <c r="DC146" s="15" t="s">
        <v>441</v>
      </c>
      <c r="DD146" t="s">
        <v>735</v>
      </c>
    </row>
    <row r="147" spans="1:108" x14ac:dyDescent="0.25">
      <c r="A147">
        <v>885379</v>
      </c>
      <c r="B147" t="s">
        <v>405</v>
      </c>
      <c r="C147">
        <v>68</v>
      </c>
      <c r="D147">
        <v>1.2769999999999999</v>
      </c>
      <c r="E147" t="s">
        <v>406</v>
      </c>
      <c r="G147" t="s">
        <v>407</v>
      </c>
      <c r="H147" t="s">
        <v>408</v>
      </c>
      <c r="I147" t="s">
        <v>409</v>
      </c>
      <c r="K147">
        <v>21000064</v>
      </c>
      <c r="L147">
        <v>210190191</v>
      </c>
      <c r="M147" s="288">
        <v>45292</v>
      </c>
      <c r="N147">
        <v>19</v>
      </c>
      <c r="O147">
        <v>2021</v>
      </c>
      <c r="P147" t="s">
        <v>468</v>
      </c>
      <c r="Q147">
        <v>17</v>
      </c>
      <c r="R147" t="s">
        <v>484</v>
      </c>
      <c r="S147" t="s">
        <v>411</v>
      </c>
      <c r="T147">
        <v>0</v>
      </c>
      <c r="U147">
        <v>1</v>
      </c>
      <c r="W147" t="s">
        <v>550</v>
      </c>
      <c r="X147" t="s">
        <v>414</v>
      </c>
      <c r="Y147" t="s">
        <v>503</v>
      </c>
      <c r="Z147" t="s">
        <v>416</v>
      </c>
      <c r="AA147" t="s">
        <v>504</v>
      </c>
      <c r="AB147" t="s">
        <v>562</v>
      </c>
      <c r="AC147" t="s">
        <v>472</v>
      </c>
      <c r="AD147" t="s">
        <v>419</v>
      </c>
      <c r="AE147" t="s">
        <v>477</v>
      </c>
      <c r="AG147" t="s">
        <v>479</v>
      </c>
      <c r="AH147" t="s">
        <v>451</v>
      </c>
      <c r="AI147" t="s">
        <v>430</v>
      </c>
      <c r="AJ147" t="s">
        <v>462</v>
      </c>
      <c r="AK147" t="s">
        <v>424</v>
      </c>
      <c r="AL147" t="s">
        <v>453</v>
      </c>
      <c r="AM147">
        <v>25</v>
      </c>
      <c r="AN147" t="s">
        <v>434</v>
      </c>
      <c r="AO147" t="s">
        <v>435</v>
      </c>
      <c r="AP147" t="s">
        <v>464</v>
      </c>
      <c r="AT147" t="s">
        <v>426</v>
      </c>
      <c r="AU147" t="s">
        <v>427</v>
      </c>
      <c r="AV147">
        <v>45</v>
      </c>
      <c r="AW147" t="s">
        <v>520</v>
      </c>
      <c r="AX147" t="s">
        <v>567</v>
      </c>
      <c r="CU147">
        <v>520062.44099999999</v>
      </c>
      <c r="CV147">
        <v>4945306</v>
      </c>
      <c r="CW147">
        <v>44.660845379999998</v>
      </c>
      <c r="CX147" s="287">
        <v>-92.746945980000007</v>
      </c>
      <c r="CY147">
        <v>44215.722222222219</v>
      </c>
      <c r="CZ147" t="s">
        <v>438</v>
      </c>
      <c r="DA147" t="s">
        <v>439</v>
      </c>
      <c r="DB147" t="s">
        <v>440</v>
      </c>
      <c r="DC147" t="s">
        <v>441</v>
      </c>
      <c r="DD147" t="s">
        <v>736</v>
      </c>
    </row>
    <row r="148" spans="1:108" ht="15.75" customHeight="1" x14ac:dyDescent="0.25">
      <c r="A148">
        <v>679239</v>
      </c>
      <c r="B148" t="s">
        <v>405</v>
      </c>
      <c r="C148">
        <v>68</v>
      </c>
      <c r="D148">
        <v>1.367</v>
      </c>
      <c r="E148" t="s">
        <v>406</v>
      </c>
      <c r="G148" t="s">
        <v>407</v>
      </c>
      <c r="H148" t="s">
        <v>408</v>
      </c>
      <c r="I148" t="s">
        <v>409</v>
      </c>
      <c r="K148">
        <v>19000143</v>
      </c>
      <c r="L148">
        <v>190260067</v>
      </c>
      <c r="M148" s="288">
        <v>45292</v>
      </c>
      <c r="N148">
        <v>26</v>
      </c>
      <c r="O148">
        <v>2019</v>
      </c>
      <c r="P148" t="s">
        <v>458</v>
      </c>
      <c r="Q148">
        <v>9</v>
      </c>
      <c r="R148" t="s">
        <v>541</v>
      </c>
      <c r="S148" t="s">
        <v>411</v>
      </c>
      <c r="T148">
        <v>0</v>
      </c>
      <c r="U148">
        <v>1</v>
      </c>
      <c r="W148" t="s">
        <v>446</v>
      </c>
      <c r="X148" t="s">
        <v>476</v>
      </c>
      <c r="Y148" t="s">
        <v>503</v>
      </c>
      <c r="Z148" t="s">
        <v>416</v>
      </c>
      <c r="AA148" t="s">
        <v>472</v>
      </c>
      <c r="AC148" t="s">
        <v>460</v>
      </c>
      <c r="AD148" t="s">
        <v>419</v>
      </c>
      <c r="AE148" t="s">
        <v>490</v>
      </c>
      <c r="AG148" t="s">
        <v>479</v>
      </c>
      <c r="AH148" t="s">
        <v>451</v>
      </c>
      <c r="AI148" t="s">
        <v>430</v>
      </c>
      <c r="AJ148" t="s">
        <v>462</v>
      </c>
      <c r="AK148" t="s">
        <v>508</v>
      </c>
      <c r="AL148" t="s">
        <v>453</v>
      </c>
      <c r="AM148">
        <v>33</v>
      </c>
      <c r="AN148" t="s">
        <v>454</v>
      </c>
      <c r="AO148" t="s">
        <v>435</v>
      </c>
      <c r="AP148" t="s">
        <v>553</v>
      </c>
      <c r="AT148" t="s">
        <v>426</v>
      </c>
      <c r="AU148" t="s">
        <v>427</v>
      </c>
      <c r="AV148">
        <v>45</v>
      </c>
      <c r="AW148" t="s">
        <v>428</v>
      </c>
      <c r="AX148" t="s">
        <v>482</v>
      </c>
      <c r="CU148">
        <v>520204.78989999997</v>
      </c>
      <c r="CV148">
        <v>4945329.1601999998</v>
      </c>
      <c r="CW148">
        <v>44.66104988</v>
      </c>
      <c r="CX148" s="287">
        <v>-92.745149530000006</v>
      </c>
      <c r="CY148">
        <v>43491.402777777781</v>
      </c>
      <c r="CZ148" t="s">
        <v>438</v>
      </c>
      <c r="DA148" t="s">
        <v>439</v>
      </c>
      <c r="DB148" t="s">
        <v>440</v>
      </c>
      <c r="DC148" t="s">
        <v>441</v>
      </c>
      <c r="DD148" t="s">
        <v>737</v>
      </c>
    </row>
    <row r="149" spans="1:108" ht="15.75" customHeight="1" x14ac:dyDescent="0.25">
      <c r="A149">
        <v>682871</v>
      </c>
      <c r="B149" t="s">
        <v>405</v>
      </c>
      <c r="C149">
        <v>68</v>
      </c>
      <c r="D149">
        <v>1.45</v>
      </c>
      <c r="E149" t="s">
        <v>406</v>
      </c>
      <c r="G149" t="s">
        <v>407</v>
      </c>
      <c r="H149" t="s">
        <v>408</v>
      </c>
      <c r="I149" t="s">
        <v>409</v>
      </c>
      <c r="K149">
        <v>19000181</v>
      </c>
      <c r="L149">
        <v>190350093</v>
      </c>
      <c r="M149" s="288">
        <v>45324</v>
      </c>
      <c r="N149">
        <v>4</v>
      </c>
      <c r="O149">
        <v>2019</v>
      </c>
      <c r="P149" t="s">
        <v>517</v>
      </c>
      <c r="Q149">
        <v>5</v>
      </c>
      <c r="R149" t="s">
        <v>541</v>
      </c>
      <c r="S149" t="s">
        <v>411</v>
      </c>
      <c r="T149">
        <v>0</v>
      </c>
      <c r="U149">
        <v>2</v>
      </c>
      <c r="V149" t="s">
        <v>486</v>
      </c>
      <c r="W149" t="s">
        <v>413</v>
      </c>
      <c r="X149" t="s">
        <v>414</v>
      </c>
      <c r="Y149" t="s">
        <v>529</v>
      </c>
      <c r="Z149" t="s">
        <v>519</v>
      </c>
      <c r="AA149" t="s">
        <v>561</v>
      </c>
      <c r="AB149" t="s">
        <v>504</v>
      </c>
      <c r="AC149" t="s">
        <v>460</v>
      </c>
      <c r="AD149" t="s">
        <v>419</v>
      </c>
      <c r="AE149" t="s">
        <v>490</v>
      </c>
      <c r="AF149" t="s">
        <v>420</v>
      </c>
      <c r="AG149" t="s">
        <v>479</v>
      </c>
      <c r="AH149" t="s">
        <v>486</v>
      </c>
      <c r="AI149" t="s">
        <v>430</v>
      </c>
      <c r="AJ149" t="s">
        <v>465</v>
      </c>
      <c r="AK149" t="s">
        <v>508</v>
      </c>
      <c r="AL149" t="s">
        <v>453</v>
      </c>
      <c r="AM149">
        <v>35</v>
      </c>
      <c r="AN149" t="s">
        <v>434</v>
      </c>
      <c r="AO149" t="s">
        <v>435</v>
      </c>
      <c r="AP149" t="s">
        <v>436</v>
      </c>
      <c r="AT149" t="s">
        <v>426</v>
      </c>
      <c r="AU149" t="s">
        <v>427</v>
      </c>
      <c r="AV149">
        <v>45</v>
      </c>
      <c r="AW149" t="s">
        <v>428</v>
      </c>
      <c r="AX149" t="s">
        <v>482</v>
      </c>
      <c r="AY149" t="s">
        <v>430</v>
      </c>
      <c r="AZ149" t="s">
        <v>431</v>
      </c>
      <c r="BA149" t="s">
        <v>424</v>
      </c>
      <c r="BB149" t="s">
        <v>529</v>
      </c>
      <c r="BC149">
        <v>62</v>
      </c>
      <c r="BD149" t="s">
        <v>454</v>
      </c>
      <c r="BE149" t="s">
        <v>435</v>
      </c>
      <c r="BF149" t="s">
        <v>553</v>
      </c>
      <c r="BJ149" t="s">
        <v>426</v>
      </c>
      <c r="BK149" t="s">
        <v>427</v>
      </c>
      <c r="BL149">
        <v>45</v>
      </c>
      <c r="BM149" t="s">
        <v>428</v>
      </c>
      <c r="BN149" t="s">
        <v>567</v>
      </c>
      <c r="CU149">
        <v>520327.12339999998</v>
      </c>
      <c r="CV149">
        <v>4945381.3143999996</v>
      </c>
      <c r="CW149">
        <v>44.661515940000001</v>
      </c>
      <c r="CX149" s="287">
        <v>-92.743604399999995</v>
      </c>
      <c r="CY149">
        <v>43500.211805555555</v>
      </c>
      <c r="CZ149" t="s">
        <v>438</v>
      </c>
      <c r="DA149" t="s">
        <v>439</v>
      </c>
      <c r="DB149" t="s">
        <v>440</v>
      </c>
      <c r="DC149" s="15" t="s">
        <v>441</v>
      </c>
      <c r="DD149" t="s">
        <v>738</v>
      </c>
    </row>
    <row r="150" spans="1:108" ht="15.75" customHeight="1" x14ac:dyDescent="0.25">
      <c r="A150">
        <v>783337</v>
      </c>
      <c r="B150" t="s">
        <v>405</v>
      </c>
      <c r="C150">
        <v>68</v>
      </c>
      <c r="D150">
        <v>1.464</v>
      </c>
      <c r="E150" t="s">
        <v>406</v>
      </c>
      <c r="G150" t="s">
        <v>407</v>
      </c>
      <c r="H150" t="s">
        <v>408</v>
      </c>
      <c r="I150" t="s">
        <v>409</v>
      </c>
      <c r="K150">
        <v>20000139</v>
      </c>
      <c r="L150">
        <v>200250010</v>
      </c>
      <c r="M150" s="288">
        <v>45292</v>
      </c>
      <c r="N150">
        <v>25</v>
      </c>
      <c r="O150">
        <v>2020</v>
      </c>
      <c r="P150" t="s">
        <v>458</v>
      </c>
      <c r="Q150">
        <v>7</v>
      </c>
      <c r="R150" t="s">
        <v>496</v>
      </c>
      <c r="S150" t="s">
        <v>497</v>
      </c>
      <c r="T150">
        <v>0</v>
      </c>
      <c r="U150">
        <v>1</v>
      </c>
      <c r="W150" t="s">
        <v>523</v>
      </c>
      <c r="X150" t="s">
        <v>524</v>
      </c>
      <c r="Y150" t="s">
        <v>503</v>
      </c>
      <c r="Z150" t="s">
        <v>416</v>
      </c>
      <c r="AA150" t="s">
        <v>472</v>
      </c>
      <c r="AC150" t="s">
        <v>460</v>
      </c>
      <c r="AD150" t="s">
        <v>419</v>
      </c>
      <c r="AE150" t="s">
        <v>477</v>
      </c>
      <c r="AG150" t="s">
        <v>479</v>
      </c>
      <c r="AH150" t="s">
        <v>451</v>
      </c>
      <c r="AI150" t="s">
        <v>430</v>
      </c>
      <c r="AJ150" t="s">
        <v>462</v>
      </c>
      <c r="AK150" t="s">
        <v>424</v>
      </c>
      <c r="AL150" t="s">
        <v>453</v>
      </c>
      <c r="AM150">
        <v>81</v>
      </c>
      <c r="AN150" t="s">
        <v>434</v>
      </c>
      <c r="AO150" t="s">
        <v>435</v>
      </c>
      <c r="AP150" t="s">
        <v>553</v>
      </c>
      <c r="AT150" t="s">
        <v>426</v>
      </c>
      <c r="AU150" t="s">
        <v>427</v>
      </c>
      <c r="AW150" t="s">
        <v>428</v>
      </c>
      <c r="AX150" t="s">
        <v>482</v>
      </c>
      <c r="CU150">
        <v>520344.87280000001</v>
      </c>
      <c r="CV150">
        <v>4945394.6859999998</v>
      </c>
      <c r="CW150">
        <v>44.66163581</v>
      </c>
      <c r="CX150" s="287">
        <v>-92.74337998</v>
      </c>
      <c r="CY150">
        <v>43855.315972222219</v>
      </c>
      <c r="CZ150" t="s">
        <v>438</v>
      </c>
      <c r="DA150" t="s">
        <v>439</v>
      </c>
      <c r="DB150" t="s">
        <v>440</v>
      </c>
      <c r="DC150" s="15" t="s">
        <v>441</v>
      </c>
      <c r="DD150" t="s">
        <v>739</v>
      </c>
    </row>
    <row r="151" spans="1:108" ht="15.75" customHeight="1" x14ac:dyDescent="0.25">
      <c r="A151">
        <v>766615</v>
      </c>
      <c r="B151" t="s">
        <v>405</v>
      </c>
      <c r="C151">
        <v>68</v>
      </c>
      <c r="D151">
        <v>1.488</v>
      </c>
      <c r="E151" t="s">
        <v>406</v>
      </c>
      <c r="G151" t="s">
        <v>407</v>
      </c>
      <c r="H151" t="s">
        <v>408</v>
      </c>
      <c r="I151" t="s">
        <v>409</v>
      </c>
      <c r="K151">
        <v>19001777</v>
      </c>
      <c r="L151">
        <v>193330247</v>
      </c>
      <c r="M151" s="288">
        <v>45607</v>
      </c>
      <c r="N151">
        <v>29</v>
      </c>
      <c r="O151">
        <v>2019</v>
      </c>
      <c r="P151" t="s">
        <v>501</v>
      </c>
      <c r="Q151">
        <v>23</v>
      </c>
      <c r="R151" t="s">
        <v>541</v>
      </c>
      <c r="S151" t="s">
        <v>411</v>
      </c>
      <c r="T151">
        <v>0</v>
      </c>
      <c r="U151">
        <v>1</v>
      </c>
      <c r="W151" t="s">
        <v>523</v>
      </c>
      <c r="X151" t="s">
        <v>414</v>
      </c>
      <c r="Y151" t="s">
        <v>503</v>
      </c>
      <c r="Z151" t="s">
        <v>615</v>
      </c>
      <c r="AA151" t="s">
        <v>472</v>
      </c>
      <c r="AC151" t="s">
        <v>472</v>
      </c>
      <c r="AD151" t="s">
        <v>419</v>
      </c>
      <c r="AE151" t="s">
        <v>477</v>
      </c>
      <c r="AG151" t="s">
        <v>479</v>
      </c>
      <c r="AH151" t="s">
        <v>451</v>
      </c>
      <c r="AI151" t="s">
        <v>430</v>
      </c>
      <c r="AJ151" t="s">
        <v>431</v>
      </c>
      <c r="AK151" t="s">
        <v>508</v>
      </c>
      <c r="AL151" t="s">
        <v>453</v>
      </c>
      <c r="AM151">
        <v>55</v>
      </c>
      <c r="AN151" t="s">
        <v>454</v>
      </c>
      <c r="AO151" t="s">
        <v>435</v>
      </c>
      <c r="AP151" t="s">
        <v>436</v>
      </c>
      <c r="AT151" t="s">
        <v>426</v>
      </c>
      <c r="AU151" t="s">
        <v>427</v>
      </c>
      <c r="AV151">
        <v>45</v>
      </c>
      <c r="AW151" t="s">
        <v>551</v>
      </c>
      <c r="AX151" t="s">
        <v>482</v>
      </c>
      <c r="CU151">
        <v>520376.2023</v>
      </c>
      <c r="CV151">
        <v>4945418.2883000001</v>
      </c>
      <c r="CW151">
        <v>44.661847399999999</v>
      </c>
      <c r="CX151" s="287">
        <v>-92.742983859999995</v>
      </c>
      <c r="CY151">
        <v>43798.961805555555</v>
      </c>
      <c r="CZ151" t="s">
        <v>438</v>
      </c>
      <c r="DA151" t="s">
        <v>439</v>
      </c>
      <c r="DB151" t="s">
        <v>440</v>
      </c>
      <c r="DC151" s="15" t="s">
        <v>441</v>
      </c>
      <c r="DD151" t="s">
        <v>740</v>
      </c>
    </row>
  </sheetData>
  <conditionalFormatting sqref="A2:A8">
    <cfRule type="duplicateValues" dxfId="2" priority="3"/>
  </conditionalFormatting>
  <conditionalFormatting sqref="A14">
    <cfRule type="duplicateValues" dxfId="1" priority="2"/>
  </conditionalFormatting>
  <conditionalFormatting sqref="A148:A151">
    <cfRule type="duplicateValues" dxfId="0"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172D-4DF9-42FE-8363-385184F98D3B}">
  <sheetPr>
    <tabColor theme="0" tint="-0.499984740745262"/>
  </sheetPr>
  <dimension ref="A3:H26"/>
  <sheetViews>
    <sheetView view="pageBreakPreview" zoomScaleNormal="100" zoomScaleSheetLayoutView="100" workbookViewId="0"/>
  </sheetViews>
  <sheetFormatPr defaultRowHeight="15" x14ac:dyDescent="0.25"/>
  <cols>
    <col min="1" max="1" width="12.5703125" customWidth="1"/>
    <col min="2" max="2" width="17.85546875" customWidth="1"/>
    <col min="3" max="4" width="18.85546875" customWidth="1"/>
    <col min="5" max="6" width="17.140625" customWidth="1"/>
  </cols>
  <sheetData>
    <row r="3" spans="1:8" ht="15.75" thickBot="1" x14ac:dyDescent="0.3">
      <c r="B3" s="1" t="s">
        <v>907</v>
      </c>
      <c r="H3" s="1" t="s">
        <v>909</v>
      </c>
    </row>
    <row r="4" spans="1:8" ht="30.75" thickBot="1" x14ac:dyDescent="0.3">
      <c r="B4" s="305" t="s">
        <v>0</v>
      </c>
      <c r="C4" s="303" t="s">
        <v>202</v>
      </c>
      <c r="D4" s="304" t="s">
        <v>45</v>
      </c>
      <c r="E4" s="303" t="s">
        <v>203</v>
      </c>
      <c r="F4" s="302" t="s">
        <v>57</v>
      </c>
    </row>
    <row r="5" spans="1:8" x14ac:dyDescent="0.25">
      <c r="A5" s="536" t="s">
        <v>292</v>
      </c>
      <c r="B5" s="377">
        <f>'BCA Summary '!C7</f>
        <v>2027</v>
      </c>
      <c r="C5" s="378">
        <f>'Travel Time_Construction'!C7</f>
        <v>248808.33333333349</v>
      </c>
      <c r="D5" s="379">
        <f>'Travel Time_Construction'!H7</f>
        <v>272199.18891293887</v>
      </c>
      <c r="E5" s="378">
        <f>VOC_Construction!C6</f>
        <v>14501971.428571433</v>
      </c>
      <c r="F5" s="380">
        <f>VOC_Construction!G6</f>
        <v>15013805.714285713</v>
      </c>
    </row>
    <row r="6" spans="1:8" ht="15.75" thickBot="1" x14ac:dyDescent="0.3">
      <c r="A6" s="537"/>
      <c r="B6" s="381">
        <f>'BCA Summary '!C8</f>
        <v>2028</v>
      </c>
      <c r="C6" s="382">
        <f>'Travel Time_Construction'!C8</f>
        <v>250633.33333333349</v>
      </c>
      <c r="D6" s="383">
        <f>'Travel Time_Construction'!H8</f>
        <v>297758.1866281862</v>
      </c>
      <c r="E6" s="382">
        <f>VOC_Construction!C7</f>
        <v>14608342.857142866</v>
      </c>
      <c r="F6" s="384">
        <f>VOC_Construction!G7</f>
        <v>15639519.999999987</v>
      </c>
    </row>
    <row r="7" spans="1:8" x14ac:dyDescent="0.25">
      <c r="A7" s="445" t="s">
        <v>908</v>
      </c>
      <c r="B7" s="377">
        <f>'BCA Summary '!C9</f>
        <v>2029</v>
      </c>
      <c r="C7" s="378">
        <f>'Travel Time Savings'!E6</f>
        <v>252458.33333333349</v>
      </c>
      <c r="D7" s="379">
        <f>'Travel Time Savings'!G6</f>
        <v>252458.33333333349</v>
      </c>
      <c r="E7" s="378">
        <f>'VOC Savings'!E6</f>
        <v>14714714.285714298</v>
      </c>
      <c r="F7" s="380">
        <f>'VOC Savings'!G6</f>
        <v>14714714.285714298</v>
      </c>
    </row>
    <row r="8" spans="1:8" x14ac:dyDescent="0.25">
      <c r="A8" s="463"/>
      <c r="B8" s="385">
        <f>'BCA Summary '!C10</f>
        <v>2030</v>
      </c>
      <c r="C8" s="386">
        <f>'Travel Time Savings'!E7</f>
        <v>254283.33333333349</v>
      </c>
      <c r="D8" s="387">
        <f>'Travel Time Savings'!G7</f>
        <v>254283.33333333349</v>
      </c>
      <c r="E8" s="386">
        <f>'VOC Savings'!E7</f>
        <v>14821085.714285731</v>
      </c>
      <c r="F8" s="388">
        <f>'VOC Savings'!G7</f>
        <v>14821085.714285731</v>
      </c>
    </row>
    <row r="9" spans="1:8" x14ac:dyDescent="0.25">
      <c r="A9" s="463"/>
      <c r="B9" s="385">
        <f>'BCA Summary '!C11</f>
        <v>2031</v>
      </c>
      <c r="C9" s="386">
        <f>'Travel Time Savings'!E8</f>
        <v>256108.33333333349</v>
      </c>
      <c r="D9" s="387">
        <f>'Travel Time Savings'!G8</f>
        <v>256108.33333333349</v>
      </c>
      <c r="E9" s="386">
        <f>'VOC Savings'!E8</f>
        <v>14927457.142857134</v>
      </c>
      <c r="F9" s="388">
        <f>'VOC Savings'!G8</f>
        <v>14927457.142857134</v>
      </c>
    </row>
    <row r="10" spans="1:8" x14ac:dyDescent="0.25">
      <c r="A10" s="463"/>
      <c r="B10" s="385">
        <f>'BCA Summary '!C12</f>
        <v>2032</v>
      </c>
      <c r="C10" s="386">
        <f>'Travel Time Savings'!E9</f>
        <v>257933.33333333349</v>
      </c>
      <c r="D10" s="387">
        <f>'Travel Time Savings'!G9</f>
        <v>257933.33333333349</v>
      </c>
      <c r="E10" s="386">
        <f>'VOC Savings'!E9</f>
        <v>15033828.571428567</v>
      </c>
      <c r="F10" s="388">
        <f>'VOC Savings'!G9</f>
        <v>15033828.571428567</v>
      </c>
    </row>
    <row r="11" spans="1:8" x14ac:dyDescent="0.25">
      <c r="A11" s="463"/>
      <c r="B11" s="385">
        <f>'BCA Summary '!C13</f>
        <v>2033</v>
      </c>
      <c r="C11" s="386">
        <f>'Travel Time Savings'!E10</f>
        <v>259758.33333333349</v>
      </c>
      <c r="D11" s="387">
        <f>'Travel Time Savings'!G10</f>
        <v>259758.33333333349</v>
      </c>
      <c r="E11" s="386">
        <f>'VOC Savings'!E10</f>
        <v>15140200</v>
      </c>
      <c r="F11" s="388">
        <f>'VOC Savings'!G10</f>
        <v>15140200</v>
      </c>
    </row>
    <row r="12" spans="1:8" x14ac:dyDescent="0.25">
      <c r="A12" s="463"/>
      <c r="B12" s="385">
        <f>'BCA Summary '!C14</f>
        <v>2034</v>
      </c>
      <c r="C12" s="386">
        <f>'Travel Time Savings'!E11</f>
        <v>261583.33333333349</v>
      </c>
      <c r="D12" s="387">
        <f>'Travel Time Savings'!G11</f>
        <v>261583.33333333349</v>
      </c>
      <c r="E12" s="386">
        <f>'VOC Savings'!E11</f>
        <v>15246571.428571433</v>
      </c>
      <c r="F12" s="388">
        <f>'VOC Savings'!G11</f>
        <v>15246571.428571433</v>
      </c>
    </row>
    <row r="13" spans="1:8" x14ac:dyDescent="0.25">
      <c r="A13" s="463"/>
      <c r="B13" s="385">
        <f>'BCA Summary '!C15</f>
        <v>2035</v>
      </c>
      <c r="C13" s="386">
        <f>'Travel Time Savings'!E12</f>
        <v>263408.33333333349</v>
      </c>
      <c r="D13" s="387">
        <f>'Travel Time Savings'!G12</f>
        <v>263408.33333333349</v>
      </c>
      <c r="E13" s="386">
        <f>'VOC Savings'!E12</f>
        <v>15352942.857142866</v>
      </c>
      <c r="F13" s="388">
        <f>'VOC Savings'!G12</f>
        <v>15352942.857142866</v>
      </c>
    </row>
    <row r="14" spans="1:8" x14ac:dyDescent="0.25">
      <c r="A14" s="463"/>
      <c r="B14" s="385">
        <f>'BCA Summary '!C16</f>
        <v>2036</v>
      </c>
      <c r="C14" s="386">
        <f>'Travel Time Savings'!E13</f>
        <v>265233.33333333349</v>
      </c>
      <c r="D14" s="387">
        <f>'Travel Time Savings'!G13</f>
        <v>265233.33333333349</v>
      </c>
      <c r="E14" s="386">
        <f>'VOC Savings'!E13</f>
        <v>15459314.285714298</v>
      </c>
      <c r="F14" s="388">
        <f>'VOC Savings'!G13</f>
        <v>15459314.285714298</v>
      </c>
    </row>
    <row r="15" spans="1:8" x14ac:dyDescent="0.25">
      <c r="A15" s="463"/>
      <c r="B15" s="385">
        <f>'BCA Summary '!C17</f>
        <v>2037</v>
      </c>
      <c r="C15" s="386">
        <f>'Travel Time Savings'!E14</f>
        <v>267058.33333333349</v>
      </c>
      <c r="D15" s="387">
        <f>'Travel Time Savings'!G14</f>
        <v>267058.33333333349</v>
      </c>
      <c r="E15" s="386">
        <f>'VOC Savings'!E14</f>
        <v>15565685.714285731</v>
      </c>
      <c r="F15" s="388">
        <f>'VOC Savings'!G14</f>
        <v>15565685.714285731</v>
      </c>
    </row>
    <row r="16" spans="1:8" x14ac:dyDescent="0.25">
      <c r="A16" s="463"/>
      <c r="B16" s="385">
        <f>'BCA Summary '!C18</f>
        <v>2038</v>
      </c>
      <c r="C16" s="386">
        <f>'Travel Time Savings'!E15</f>
        <v>268883.33333333349</v>
      </c>
      <c r="D16" s="387">
        <f>'Travel Time Savings'!G15</f>
        <v>268883.33333333349</v>
      </c>
      <c r="E16" s="386">
        <f>'VOC Savings'!E15</f>
        <v>15672057.142857134</v>
      </c>
      <c r="F16" s="388">
        <f>'VOC Savings'!G15</f>
        <v>15672057.142857134</v>
      </c>
    </row>
    <row r="17" spans="1:8" x14ac:dyDescent="0.25">
      <c r="A17" s="463"/>
      <c r="B17" s="385">
        <f>'BCA Summary '!C19</f>
        <v>2039</v>
      </c>
      <c r="C17" s="386">
        <f>'Travel Time Savings'!E16</f>
        <v>270708.33333333349</v>
      </c>
      <c r="D17" s="387">
        <f>'Travel Time Savings'!G16</f>
        <v>270708.33333333349</v>
      </c>
      <c r="E17" s="386">
        <f>'VOC Savings'!E16</f>
        <v>15778428.571428567</v>
      </c>
      <c r="F17" s="388">
        <f>'VOC Savings'!G16</f>
        <v>15778428.571428567</v>
      </c>
    </row>
    <row r="18" spans="1:8" x14ac:dyDescent="0.25">
      <c r="A18" s="463"/>
      <c r="B18" s="385">
        <f>'BCA Summary '!C20</f>
        <v>2040</v>
      </c>
      <c r="C18" s="386">
        <f>'Travel Time Savings'!E17</f>
        <v>352995.55555555597</v>
      </c>
      <c r="D18" s="387">
        <f>'Travel Time Savings'!G17</f>
        <v>272533.33333333349</v>
      </c>
      <c r="E18" s="386">
        <f>'VOC Savings'!E17</f>
        <v>17753600</v>
      </c>
      <c r="F18" s="388">
        <f>'VOC Savings'!G17</f>
        <v>15884800</v>
      </c>
    </row>
    <row r="19" spans="1:8" x14ac:dyDescent="0.25">
      <c r="A19" s="463"/>
      <c r="B19" s="385">
        <f>'BCA Summary '!C21</f>
        <v>2041</v>
      </c>
      <c r="C19" s="386">
        <f>'Travel Time Savings'!E18</f>
        <v>355359.36507936474</v>
      </c>
      <c r="D19" s="387">
        <f>'Travel Time Savings'!G18</f>
        <v>274358.33333333349</v>
      </c>
      <c r="E19" s="386">
        <f>'VOC Savings'!E18</f>
        <v>17872485.714285702</v>
      </c>
      <c r="F19" s="388">
        <f>'VOC Savings'!G18</f>
        <v>15991171.428571433</v>
      </c>
      <c r="H19" s="1" t="s">
        <v>910</v>
      </c>
    </row>
    <row r="20" spans="1:8" x14ac:dyDescent="0.25">
      <c r="A20" s="463"/>
      <c r="B20" s="385">
        <f>'BCA Summary '!C22</f>
        <v>2042</v>
      </c>
      <c r="C20" s="386">
        <f>'Travel Time Savings'!E19</f>
        <v>357723.17460317444</v>
      </c>
      <c r="D20" s="387">
        <f>'Travel Time Savings'!G19</f>
        <v>276183.33333333349</v>
      </c>
      <c r="E20" s="386">
        <f>'VOC Savings'!E19</f>
        <v>17991371.428571403</v>
      </c>
      <c r="F20" s="388">
        <f>'VOC Savings'!G19</f>
        <v>16097542.857142866</v>
      </c>
    </row>
    <row r="21" spans="1:8" x14ac:dyDescent="0.25">
      <c r="A21" s="463"/>
      <c r="B21" s="385">
        <f>'BCA Summary '!C23</f>
        <v>2043</v>
      </c>
      <c r="C21" s="386">
        <f>'Travel Time Savings'!E20</f>
        <v>360086.98412698414</v>
      </c>
      <c r="D21" s="387">
        <f>'Travel Time Savings'!G20</f>
        <v>278008.33333333349</v>
      </c>
      <c r="E21" s="386">
        <f>'VOC Savings'!E20</f>
        <v>18110257.142857134</v>
      </c>
      <c r="F21" s="388">
        <f>'VOC Savings'!G20</f>
        <v>16203914.285714298</v>
      </c>
    </row>
    <row r="22" spans="1:8" x14ac:dyDescent="0.25">
      <c r="A22" s="463"/>
      <c r="B22" s="385">
        <f>'BCA Summary '!C24</f>
        <v>2044</v>
      </c>
      <c r="C22" s="386">
        <f>'Travel Time Savings'!E21</f>
        <v>362450.79365079384</v>
      </c>
      <c r="D22" s="387">
        <f>'Travel Time Savings'!G21</f>
        <v>279833.33333333349</v>
      </c>
      <c r="E22" s="386">
        <f>'VOC Savings'!E21</f>
        <v>18229142.857142836</v>
      </c>
      <c r="F22" s="388">
        <f>'VOC Savings'!G21</f>
        <v>16310285.714285731</v>
      </c>
    </row>
    <row r="23" spans="1:8" x14ac:dyDescent="0.25">
      <c r="A23" s="463"/>
      <c r="B23" s="385">
        <f>'BCA Summary '!C25</f>
        <v>2045</v>
      </c>
      <c r="C23" s="386">
        <f>'Travel Time Savings'!E22</f>
        <v>364814.60317460354</v>
      </c>
      <c r="D23" s="387">
        <f>'Travel Time Savings'!G22</f>
        <v>281658.33333333349</v>
      </c>
      <c r="E23" s="386">
        <f>'VOC Savings'!E22</f>
        <v>18348028.571428567</v>
      </c>
      <c r="F23" s="388">
        <f>'VOC Savings'!G22</f>
        <v>16416657.142857134</v>
      </c>
    </row>
    <row r="24" spans="1:8" x14ac:dyDescent="0.25">
      <c r="A24" s="463"/>
      <c r="B24" s="385">
        <f>'BCA Summary '!C26</f>
        <v>2046</v>
      </c>
      <c r="C24" s="386">
        <f>'Travel Time Savings'!E23</f>
        <v>367178.41269841231</v>
      </c>
      <c r="D24" s="387">
        <f>'Travel Time Savings'!G23</f>
        <v>283483.33333333349</v>
      </c>
      <c r="E24" s="386">
        <f>'VOC Savings'!E23</f>
        <v>18466914.285714269</v>
      </c>
      <c r="F24" s="388">
        <f>'VOC Savings'!G23</f>
        <v>16523028.571428567</v>
      </c>
    </row>
    <row r="25" spans="1:8" x14ac:dyDescent="0.25">
      <c r="A25" s="463"/>
      <c r="B25" s="385">
        <f>'BCA Summary '!C27</f>
        <v>2047</v>
      </c>
      <c r="C25" s="386">
        <f>'Travel Time Savings'!E24</f>
        <v>369542.22222222202</v>
      </c>
      <c r="D25" s="387">
        <f>'Travel Time Savings'!G24</f>
        <v>285308.33333333349</v>
      </c>
      <c r="E25" s="386">
        <f>'VOC Savings'!E24</f>
        <v>18585800</v>
      </c>
      <c r="F25" s="388">
        <f>'VOC Savings'!G24</f>
        <v>16629400</v>
      </c>
    </row>
    <row r="26" spans="1:8" ht="15.75" thickBot="1" x14ac:dyDescent="0.3">
      <c r="A26" s="446"/>
      <c r="B26" s="381">
        <f>'BCA Summary '!C28</f>
        <v>2048</v>
      </c>
      <c r="C26" s="382">
        <f>'Travel Time Savings'!E25</f>
        <v>371906.03174603172</v>
      </c>
      <c r="D26" s="383">
        <f>'Travel Time Savings'!G25</f>
        <v>287133.33333333349</v>
      </c>
      <c r="E26" s="382">
        <f>'VOC Savings'!E25</f>
        <v>18704685.714285702</v>
      </c>
      <c r="F26" s="384">
        <f>'VOC Savings'!G25</f>
        <v>16735771.428571433</v>
      </c>
    </row>
  </sheetData>
  <mergeCells count="2">
    <mergeCell ref="A5:A6"/>
    <mergeCell ref="A7:A26"/>
  </mergeCells>
  <pageMargins left="0.7" right="0.7" top="0.75" bottom="0.75" header="0.3" footer="0.3"/>
  <pageSetup scale="46" orientation="portrait" r:id="rId1"/>
  <colBreaks count="1" manualBreakCount="1">
    <brk id="16" min="1" max="3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D02C3-7C09-4DC1-B79E-211FAB492AC5}">
  <sheetPr>
    <tabColor theme="0" tint="-0.499984740745262"/>
  </sheetPr>
  <dimension ref="A1:G49"/>
  <sheetViews>
    <sheetView workbookViewId="0"/>
  </sheetViews>
  <sheetFormatPr defaultRowHeight="15" x14ac:dyDescent="0.25"/>
  <cols>
    <col min="2" max="2" width="56.85546875" customWidth="1"/>
    <col min="3" max="3" width="14" customWidth="1"/>
    <col min="4" max="4" width="16.85546875" customWidth="1"/>
    <col min="5" max="5" width="16.28515625" customWidth="1"/>
    <col min="6" max="6" width="18.28515625" customWidth="1"/>
    <col min="7" max="7" width="27.5703125" customWidth="1"/>
  </cols>
  <sheetData>
    <row r="1" spans="1:7" ht="26.25" x14ac:dyDescent="0.4">
      <c r="B1" s="392" t="s">
        <v>1013</v>
      </c>
    </row>
    <row r="2" spans="1:7" ht="21" x14ac:dyDescent="0.35">
      <c r="B2" s="393" t="s">
        <v>954</v>
      </c>
    </row>
    <row r="3" spans="1:7" ht="21" x14ac:dyDescent="0.35">
      <c r="B3" s="393" t="s">
        <v>955</v>
      </c>
    </row>
    <row r="5" spans="1:7" ht="18.75" x14ac:dyDescent="0.3">
      <c r="B5" s="394" t="s">
        <v>956</v>
      </c>
    </row>
    <row r="7" spans="1:7" x14ac:dyDescent="0.25">
      <c r="B7" s="307" t="s">
        <v>957</v>
      </c>
      <c r="C7" s="307" t="s">
        <v>958</v>
      </c>
      <c r="D7" s="307" t="s">
        <v>959</v>
      </c>
      <c r="E7" s="307" t="s">
        <v>960</v>
      </c>
      <c r="F7" s="307" t="s">
        <v>961</v>
      </c>
      <c r="G7" s="307" t="s">
        <v>962</v>
      </c>
    </row>
    <row r="8" spans="1:7" x14ac:dyDescent="0.25">
      <c r="B8" s="307"/>
      <c r="C8" s="307"/>
      <c r="D8" s="307"/>
      <c r="E8" s="307"/>
      <c r="F8" s="307"/>
      <c r="G8" s="307"/>
    </row>
    <row r="9" spans="1:7" x14ac:dyDescent="0.25">
      <c r="B9" s="307"/>
      <c r="C9" s="307"/>
      <c r="D9" s="307"/>
      <c r="E9" s="307"/>
      <c r="F9" s="307"/>
      <c r="G9" s="307"/>
    </row>
    <row r="10" spans="1:7" x14ac:dyDescent="0.25">
      <c r="A10">
        <v>6</v>
      </c>
      <c r="B10" t="s">
        <v>963</v>
      </c>
      <c r="C10">
        <v>1</v>
      </c>
      <c r="D10" t="s">
        <v>964</v>
      </c>
      <c r="E10" s="313">
        <v>1875000</v>
      </c>
      <c r="F10" s="313">
        <f t="shared" ref="F10:F11" si="0">E10*C10</f>
        <v>1875000</v>
      </c>
      <c r="G10" t="s">
        <v>965</v>
      </c>
    </row>
    <row r="11" spans="1:7" x14ac:dyDescent="0.25">
      <c r="A11">
        <v>6</v>
      </c>
      <c r="B11" t="s">
        <v>966</v>
      </c>
      <c r="C11">
        <v>1</v>
      </c>
      <c r="D11" t="s">
        <v>964</v>
      </c>
      <c r="E11" s="395">
        <v>50000</v>
      </c>
      <c r="F11" s="313">
        <f t="shared" si="0"/>
        <v>50000</v>
      </c>
      <c r="G11" t="s">
        <v>967</v>
      </c>
    </row>
    <row r="12" spans="1:7" x14ac:dyDescent="0.25">
      <c r="A12">
        <v>6</v>
      </c>
      <c r="B12" t="s">
        <v>968</v>
      </c>
      <c r="C12" s="313">
        <v>344960</v>
      </c>
      <c r="D12" t="s">
        <v>969</v>
      </c>
      <c r="E12">
        <v>14</v>
      </c>
      <c r="F12" s="313">
        <f>E12*C12</f>
        <v>4829440</v>
      </c>
    </row>
    <row r="13" spans="1:7" x14ac:dyDescent="0.25">
      <c r="A13">
        <v>4</v>
      </c>
      <c r="B13" t="s">
        <v>970</v>
      </c>
      <c r="C13" s="313">
        <v>172480</v>
      </c>
      <c r="D13" t="s">
        <v>969</v>
      </c>
      <c r="E13">
        <v>6.55</v>
      </c>
      <c r="F13" s="313">
        <f t="shared" ref="F13:F23" si="1">E13*C13</f>
        <v>1129744</v>
      </c>
    </row>
    <row r="14" spans="1:7" x14ac:dyDescent="0.25">
      <c r="A14">
        <v>4</v>
      </c>
      <c r="B14" t="s">
        <v>971</v>
      </c>
      <c r="C14" s="313">
        <v>104036</v>
      </c>
      <c r="D14" t="s">
        <v>969</v>
      </c>
      <c r="E14">
        <v>12</v>
      </c>
      <c r="F14" s="313">
        <f t="shared" si="1"/>
        <v>1248432</v>
      </c>
    </row>
    <row r="15" spans="1:7" x14ac:dyDescent="0.25">
      <c r="A15">
        <v>4</v>
      </c>
      <c r="B15" t="s">
        <v>972</v>
      </c>
      <c r="C15" s="313">
        <v>93084</v>
      </c>
      <c r="D15" t="s">
        <v>969</v>
      </c>
      <c r="E15">
        <v>22.5</v>
      </c>
      <c r="F15" s="313">
        <v>2093580</v>
      </c>
    </row>
    <row r="16" spans="1:7" x14ac:dyDescent="0.25">
      <c r="A16">
        <v>5</v>
      </c>
      <c r="B16" t="s">
        <v>973</v>
      </c>
      <c r="C16" s="313">
        <v>197120</v>
      </c>
      <c r="D16" t="s">
        <v>974</v>
      </c>
      <c r="E16">
        <v>48</v>
      </c>
      <c r="F16" s="313">
        <f t="shared" si="1"/>
        <v>9461760</v>
      </c>
      <c r="G16" t="s">
        <v>975</v>
      </c>
    </row>
    <row r="17" spans="1:7" x14ac:dyDescent="0.25">
      <c r="A17">
        <v>5</v>
      </c>
      <c r="B17" t="s">
        <v>976</v>
      </c>
      <c r="C17" s="313">
        <v>49280</v>
      </c>
      <c r="D17" t="s">
        <v>974</v>
      </c>
      <c r="E17">
        <v>31.5</v>
      </c>
      <c r="F17" s="313">
        <f t="shared" si="1"/>
        <v>1552320</v>
      </c>
      <c r="G17" t="s">
        <v>977</v>
      </c>
    </row>
    <row r="18" spans="1:7" x14ac:dyDescent="0.25">
      <c r="A18">
        <v>5</v>
      </c>
      <c r="B18" t="s">
        <v>978</v>
      </c>
      <c r="C18" s="313">
        <v>41067</v>
      </c>
      <c r="D18" t="s">
        <v>974</v>
      </c>
      <c r="E18">
        <v>13</v>
      </c>
      <c r="F18" s="313">
        <f t="shared" si="1"/>
        <v>533871</v>
      </c>
      <c r="G18" t="s">
        <v>979</v>
      </c>
    </row>
    <row r="19" spans="1:7" x14ac:dyDescent="0.25">
      <c r="A19">
        <v>5</v>
      </c>
      <c r="B19" t="s">
        <v>980</v>
      </c>
      <c r="C19" s="313">
        <v>38</v>
      </c>
      <c r="D19" t="s">
        <v>981</v>
      </c>
      <c r="E19">
        <v>2150</v>
      </c>
      <c r="F19" s="313">
        <f t="shared" si="1"/>
        <v>81700</v>
      </c>
    </row>
    <row r="21" spans="1:7" x14ac:dyDescent="0.25">
      <c r="A21">
        <v>3</v>
      </c>
      <c r="B21" s="1" t="s">
        <v>982</v>
      </c>
      <c r="C21" s="313">
        <v>7</v>
      </c>
      <c r="D21" t="s">
        <v>983</v>
      </c>
      <c r="E21" s="313">
        <v>105000</v>
      </c>
      <c r="F21" s="313">
        <f t="shared" si="1"/>
        <v>735000</v>
      </c>
    </row>
    <row r="23" spans="1:7" x14ac:dyDescent="0.25">
      <c r="A23">
        <v>2</v>
      </c>
      <c r="B23" s="1" t="s">
        <v>984</v>
      </c>
      <c r="C23" s="313">
        <v>4</v>
      </c>
      <c r="D23" t="s">
        <v>981</v>
      </c>
      <c r="E23" s="313">
        <v>621500</v>
      </c>
      <c r="F23" s="313">
        <f t="shared" si="1"/>
        <v>2486000</v>
      </c>
    </row>
    <row r="25" spans="1:7" x14ac:dyDescent="0.25">
      <c r="B25" s="1" t="s">
        <v>985</v>
      </c>
    </row>
    <row r="26" spans="1:7" x14ac:dyDescent="0.25">
      <c r="A26">
        <v>5</v>
      </c>
      <c r="B26" t="s">
        <v>986</v>
      </c>
      <c r="C26">
        <v>7</v>
      </c>
      <c r="D26" t="s">
        <v>983</v>
      </c>
      <c r="E26" s="313">
        <v>84000</v>
      </c>
      <c r="F26" s="313">
        <f t="shared" ref="F26:F27" si="2">E26*C26</f>
        <v>588000</v>
      </c>
    </row>
    <row r="27" spans="1:7" x14ac:dyDescent="0.25">
      <c r="A27">
        <v>5</v>
      </c>
      <c r="B27" t="s">
        <v>987</v>
      </c>
      <c r="C27">
        <v>7</v>
      </c>
      <c r="D27" t="s">
        <v>983</v>
      </c>
      <c r="E27" s="313">
        <v>58000</v>
      </c>
      <c r="F27" s="313">
        <f t="shared" si="2"/>
        <v>406000</v>
      </c>
    </row>
    <row r="29" spans="1:7" x14ac:dyDescent="0.25">
      <c r="B29" s="1" t="s">
        <v>988</v>
      </c>
    </row>
    <row r="30" spans="1:7" x14ac:dyDescent="0.25">
      <c r="A30">
        <v>6</v>
      </c>
      <c r="B30" t="s">
        <v>989</v>
      </c>
      <c r="C30">
        <v>1</v>
      </c>
      <c r="D30" t="s">
        <v>964</v>
      </c>
      <c r="E30" s="313">
        <v>850000</v>
      </c>
      <c r="F30" s="313">
        <f t="shared" ref="F30:F35" si="3">E30*C30</f>
        <v>850000</v>
      </c>
    </row>
    <row r="31" spans="1:7" x14ac:dyDescent="0.25">
      <c r="A31">
        <v>6</v>
      </c>
      <c r="B31" t="s">
        <v>990</v>
      </c>
      <c r="C31">
        <v>1</v>
      </c>
      <c r="D31" t="s">
        <v>964</v>
      </c>
      <c r="E31" s="313">
        <v>100000</v>
      </c>
      <c r="F31" s="313">
        <f t="shared" si="3"/>
        <v>100000</v>
      </c>
    </row>
    <row r="32" spans="1:7" x14ac:dyDescent="0.25">
      <c r="A32">
        <v>6</v>
      </c>
      <c r="B32" s="540" t="s">
        <v>1009</v>
      </c>
      <c r="C32" s="540">
        <v>2</v>
      </c>
      <c r="D32" s="540" t="s">
        <v>981</v>
      </c>
      <c r="E32" s="541">
        <v>75000</v>
      </c>
      <c r="F32" s="541">
        <f t="shared" si="3"/>
        <v>150000</v>
      </c>
    </row>
    <row r="33" spans="1:7" x14ac:dyDescent="0.25">
      <c r="A33">
        <v>6</v>
      </c>
      <c r="B33" s="540" t="s">
        <v>1010</v>
      </c>
      <c r="C33" s="540">
        <v>1</v>
      </c>
      <c r="D33" s="540" t="s">
        <v>964</v>
      </c>
      <c r="E33" s="541">
        <v>150000</v>
      </c>
      <c r="F33" s="541">
        <f t="shared" si="3"/>
        <v>150000</v>
      </c>
    </row>
    <row r="34" spans="1:7" x14ac:dyDescent="0.25">
      <c r="A34">
        <v>5</v>
      </c>
      <c r="B34" s="540" t="s">
        <v>1011</v>
      </c>
      <c r="C34" s="540">
        <v>1000</v>
      </c>
      <c r="D34" s="540" t="s">
        <v>981</v>
      </c>
      <c r="E34" s="541">
        <v>50</v>
      </c>
      <c r="F34" s="541">
        <f t="shared" si="3"/>
        <v>50000</v>
      </c>
    </row>
    <row r="35" spans="1:7" x14ac:dyDescent="0.25">
      <c r="A35">
        <v>5</v>
      </c>
      <c r="B35" s="540" t="s">
        <v>1012</v>
      </c>
      <c r="C35" s="540">
        <v>3</v>
      </c>
      <c r="D35" s="540" t="s">
        <v>981</v>
      </c>
      <c r="E35" s="541">
        <v>33333.33</v>
      </c>
      <c r="F35" s="541">
        <f t="shared" si="3"/>
        <v>99999.99</v>
      </c>
    </row>
    <row r="36" spans="1:7" x14ac:dyDescent="0.25">
      <c r="E36" s="313"/>
      <c r="F36" s="313"/>
    </row>
    <row r="37" spans="1:7" x14ac:dyDescent="0.25">
      <c r="E37" s="14" t="s">
        <v>998</v>
      </c>
      <c r="F37" s="313">
        <f>SUM(F8:F36)</f>
        <v>28470846.989999998</v>
      </c>
    </row>
    <row r="39" spans="1:7" x14ac:dyDescent="0.25">
      <c r="A39">
        <v>6</v>
      </c>
      <c r="B39" s="1" t="s">
        <v>993</v>
      </c>
      <c r="C39">
        <v>1</v>
      </c>
      <c r="E39" s="313">
        <v>750000</v>
      </c>
      <c r="F39" s="313">
        <f t="shared" ref="F39:F43" si="4">E39*C39</f>
        <v>750000</v>
      </c>
      <c r="G39" s="538" t="s">
        <v>1018</v>
      </c>
    </row>
    <row r="40" spans="1:7" x14ac:dyDescent="0.25">
      <c r="B40" s="1"/>
      <c r="E40" s="313"/>
      <c r="F40" s="313"/>
      <c r="G40" s="307"/>
    </row>
    <row r="41" spans="1:7" x14ac:dyDescent="0.25">
      <c r="A41">
        <v>6</v>
      </c>
      <c r="B41" s="1" t="s">
        <v>997</v>
      </c>
      <c r="C41">
        <v>1</v>
      </c>
      <c r="E41" s="313">
        <v>1350000</v>
      </c>
      <c r="F41" s="313">
        <f t="shared" ref="F41" si="5">E41*C41</f>
        <v>1350000</v>
      </c>
      <c r="G41" s="307"/>
    </row>
    <row r="42" spans="1:7" x14ac:dyDescent="0.25">
      <c r="B42" s="1"/>
      <c r="E42" s="313"/>
      <c r="F42" s="313"/>
      <c r="G42" s="307"/>
    </row>
    <row r="43" spans="1:7" x14ac:dyDescent="0.25">
      <c r="A43">
        <v>1</v>
      </c>
      <c r="B43" s="1" t="s">
        <v>994</v>
      </c>
      <c r="C43">
        <v>1</v>
      </c>
      <c r="E43" s="313">
        <v>1500000</v>
      </c>
      <c r="F43" s="313">
        <f t="shared" si="4"/>
        <v>1500000</v>
      </c>
      <c r="G43" s="307"/>
    </row>
    <row r="44" spans="1:7" x14ac:dyDescent="0.25">
      <c r="B44" s="1"/>
      <c r="E44" s="313"/>
      <c r="F44" s="313"/>
      <c r="G44" s="307"/>
    </row>
    <row r="45" spans="1:7" x14ac:dyDescent="0.25">
      <c r="B45" s="1"/>
      <c r="E45" s="313"/>
      <c r="G45" s="307"/>
    </row>
    <row r="46" spans="1:7" x14ac:dyDescent="0.25">
      <c r="B46" s="1" t="s">
        <v>991</v>
      </c>
      <c r="E46" s="14" t="s">
        <v>999</v>
      </c>
      <c r="F46" s="313">
        <f>SUM(F38:F44)</f>
        <v>3600000</v>
      </c>
    </row>
    <row r="47" spans="1:7" x14ac:dyDescent="0.25">
      <c r="A47">
        <v>6</v>
      </c>
      <c r="B47" t="s">
        <v>996</v>
      </c>
      <c r="C47" s="402" t="s">
        <v>1021</v>
      </c>
      <c r="D47" t="s">
        <v>1020</v>
      </c>
      <c r="F47" s="313">
        <v>2698690.7445130553</v>
      </c>
    </row>
    <row r="48" spans="1:7" x14ac:dyDescent="0.25">
      <c r="B48" s="307" t="s">
        <v>992</v>
      </c>
      <c r="F48" s="396">
        <f>F46+F47+F37</f>
        <v>34769537.734513052</v>
      </c>
    </row>
    <row r="49" spans="6:6" x14ac:dyDescent="0.25">
      <c r="F49" s="12" t="s">
        <v>1022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26</vt:i4>
      </vt:variant>
    </vt:vector>
  </HeadingPairs>
  <TitlesOfParts>
    <vt:vector size="44" baseType="lpstr">
      <vt:lpstr>Assumptions</vt:lpstr>
      <vt:lpstr>BCA Summary </vt:lpstr>
      <vt:lpstr>Travel Time Savings</vt:lpstr>
      <vt:lpstr>Travel Time_Construction</vt:lpstr>
      <vt:lpstr>VOC Savings</vt:lpstr>
      <vt:lpstr>VOC_Construction</vt:lpstr>
      <vt:lpstr>Air Quality</vt:lpstr>
      <vt:lpstr>Corridor Safety Improvement</vt:lpstr>
      <vt:lpstr>Intersection Safety Improvement</vt:lpstr>
      <vt:lpstr>Construction Safety Improvement</vt:lpstr>
      <vt:lpstr>Quality of Life Benefits </vt:lpstr>
      <vt:lpstr>O&amp;M + Rehab</vt:lpstr>
      <vt:lpstr>Capital Cost + RCV</vt:lpstr>
      <vt:lpstr>Traffic Volume and Route Data</vt:lpstr>
      <vt:lpstr>Network Crash Calcs</vt:lpstr>
      <vt:lpstr>Crash Data</vt:lpstr>
      <vt:lpstr>Annual Traffic Data</vt:lpstr>
      <vt:lpstr>Cost Data</vt:lpstr>
      <vt:lpstr>PeakLngthE</vt:lpstr>
      <vt:lpstr>PercentAutoW</vt:lpstr>
      <vt:lpstr>PercentAutoWO</vt:lpstr>
      <vt:lpstr>PercentTrucksW</vt:lpstr>
      <vt:lpstr>PercentTrucksWO</vt:lpstr>
      <vt:lpstr>PercTruckW</vt:lpstr>
      <vt:lpstr>PerTruckE</vt:lpstr>
      <vt:lpstr>PerTruckN</vt:lpstr>
      <vt:lpstr>'Air Quality'!Print_Area</vt:lpstr>
      <vt:lpstr>'Annual Traffic Data'!Print_Area</vt:lpstr>
      <vt:lpstr>Assumptions!Print_Area</vt:lpstr>
      <vt:lpstr>'BCA Summary '!Print_Area</vt:lpstr>
      <vt:lpstr>'Capital Cost + RCV'!Print_Area</vt:lpstr>
      <vt:lpstr>'Construction Safety Improvement'!Print_Area</vt:lpstr>
      <vt:lpstr>'Corridor Safety Improvement'!Print_Area</vt:lpstr>
      <vt:lpstr>'Intersection Safety Improvement'!Print_Area</vt:lpstr>
      <vt:lpstr>'Network Crash Calcs'!Print_Area</vt:lpstr>
      <vt:lpstr>'O&amp;M + Rehab'!Print_Area</vt:lpstr>
      <vt:lpstr>'Quality of Life Benefits '!Print_Area</vt:lpstr>
      <vt:lpstr>'Traffic Volume and Route Data'!Print_Area</vt:lpstr>
      <vt:lpstr>'Travel Time Savings'!Print_Area</vt:lpstr>
      <vt:lpstr>'Travel Time_Construction'!Print_Area</vt:lpstr>
      <vt:lpstr>'VOC Savings'!Print_Area</vt:lpstr>
      <vt:lpstr>VOC_Construction!Print_Area</vt:lpstr>
      <vt:lpstr>ProjLoc</vt:lpstr>
      <vt:lpstr>Projlocation</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Gina Heim</cp:lastModifiedBy>
  <cp:lastPrinted>2023-08-13T07:06:49Z</cp:lastPrinted>
  <dcterms:created xsi:type="dcterms:W3CDTF">2013-05-17T20:57:43Z</dcterms:created>
  <dcterms:modified xsi:type="dcterms:W3CDTF">2024-02-26T15:23:48Z</dcterms:modified>
</cp:coreProperties>
</file>