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omments1.xml" ContentType="application/vnd.openxmlformats-officedocument.spreadsheetml.comments+xml"/>
  <Override PartName="/xl/drawings/drawing5.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531"/>
  <workbookPr/>
  <mc:AlternateContent xmlns:mc="http://schemas.openxmlformats.org/markup-compatibility/2006">
    <mc:Choice Requires="x15">
      <x15ac:absPath xmlns:x15ac="http://schemas.microsoft.com/office/spreadsheetml/2010/11/ac" url="K:\Trans\Grant Applications\2023 Grants\BIP\NDDOT\JULY REVISIONS\40th Ave N - Fargo\BCA\"/>
    </mc:Choice>
  </mc:AlternateContent>
  <xr:revisionPtr revIDLastSave="0" documentId="13_ncr:1_{1F41527C-72C8-4E0A-AF74-F4C1745D8DCB}" xr6:coauthVersionLast="47" xr6:coauthVersionMax="47" xr10:uidLastSave="{00000000-0000-0000-0000-000000000000}"/>
  <bookViews>
    <workbookView xWindow="-120" yWindow="-120" windowWidth="29040" windowHeight="15720" tabRatio="843" firstSheet="1" activeTab="1" xr2:uid="{88788EEE-4819-4C57-AE82-D7BA1B93AB53}"/>
  </bookViews>
  <sheets>
    <sheet name="Assumptions" sheetId="3" r:id="rId1"/>
    <sheet name="BCA Summary" sheetId="5" r:id="rId2"/>
    <sheet name="Annualized Operations" sheetId="2" r:id="rId3"/>
    <sheet name="Air Quality" sheetId="15" r:id="rId4"/>
    <sheet name="Travel Time Delay Savings" sheetId="4" r:id="rId5"/>
    <sheet name="Crash Cost Savings" sheetId="10" r:id="rId6"/>
    <sheet name="Capital Costs" sheetId="6" r:id="rId7"/>
    <sheet name="Ops and Main" sheetId="14" r:id="rId8"/>
    <sheet name="Construction Disbenefits" sheetId="19" r:id="rId9"/>
    <sheet name="Crash Data" sheetId="17" r:id="rId10"/>
    <sheet name="Cost Data" sheetId="12" r:id="rId11"/>
    <sheet name="Delay Calcs" sheetId="16" r:id="rId12"/>
    <sheet name="Tables" sheetId="18" r:id="rId13"/>
  </sheets>
  <definedNames>
    <definedName name="_Fill" localSheetId="3" hidden="1">#REF!</definedName>
    <definedName name="_Fill" localSheetId="1" hidden="1">#REF!</definedName>
    <definedName name="_Fill" localSheetId="6" hidden="1">#REF!</definedName>
    <definedName name="_Fill" hidden="1">#REF!</definedName>
    <definedName name="_Key1" localSheetId="3" hidden="1">#REF!</definedName>
    <definedName name="_Key1" localSheetId="1" hidden="1">#REF!</definedName>
    <definedName name="_Key1" localSheetId="6" hidden="1">#REF!</definedName>
    <definedName name="_Key1" hidden="1">#REF!</definedName>
    <definedName name="_Key2" localSheetId="3" hidden="1">#REF!</definedName>
    <definedName name="_Key2" localSheetId="1" hidden="1">#REF!</definedName>
    <definedName name="_Key2" localSheetId="6" hidden="1">#REF!</definedName>
    <definedName name="_Key2" hidden="1">#REF!</definedName>
    <definedName name="_Order1" hidden="1">255</definedName>
    <definedName name="_Order2" hidden="1">255</definedName>
    <definedName name="BEx3O85IKWARA6NCJOLRBRJFMEWW" localSheetId="3" hidden="1">#REF!</definedName>
    <definedName name="BEx3O85IKWARA6NCJOLRBRJFMEWW" localSheetId="1" hidden="1">#REF!</definedName>
    <definedName name="BEx3O85IKWARA6NCJOLRBRJFMEWW" localSheetId="6" hidden="1">#REF!</definedName>
    <definedName name="BEx3O85IKWARA6NCJOLRBRJFMEWW" hidden="1">#REF!</definedName>
    <definedName name="BEx5MLQZM68YQSKARVWTTPINFQ2C" localSheetId="3" hidden="1">#REF!</definedName>
    <definedName name="BEx5MLQZM68YQSKARVWTTPINFQ2C" localSheetId="1" hidden="1">#REF!</definedName>
    <definedName name="BEx5MLQZM68YQSKARVWTTPINFQ2C" localSheetId="6" hidden="1">#REF!</definedName>
    <definedName name="BEx5MLQZM68YQSKARVWTTPINFQ2C" hidden="1">#REF!</definedName>
    <definedName name="BExERWCEBKQRYWRQLYJ4UCMMKTHG" localSheetId="3" hidden="1">#REF!</definedName>
    <definedName name="BExERWCEBKQRYWRQLYJ4UCMMKTHG" hidden="1">#REF!</definedName>
    <definedName name="BExMBYPQDG9AYDQ5E8IECVFREPO6" localSheetId="3" hidden="1">#REF!</definedName>
    <definedName name="BExMBYPQDG9AYDQ5E8IECVFREPO6" hidden="1">#REF!</definedName>
    <definedName name="BExQ9ZLYHWABXAA9NJDW8ZS0UQ9P" localSheetId="3" hidden="1">#REF!</definedName>
    <definedName name="BExQ9ZLYHWABXAA9NJDW8ZS0UQ9P" hidden="1">#REF!</definedName>
    <definedName name="BExTUY9WNSJ91GV8CP0SKJTEIV82" localSheetId="3" hidden="1">#REF!</definedName>
    <definedName name="BExTUY9WNSJ91GV8CP0SKJTEIV82" hidden="1">#REF!</definedName>
    <definedName name="_xlnm.Print_Area" localSheetId="3">'Air Quality'!$B$1:$O$37</definedName>
    <definedName name="_xlnm.Print_Area" localSheetId="2">'Annualized Operations'!$B$10:$E$32</definedName>
    <definedName name="_xlnm.Print_Area" localSheetId="0">Assumptions!$B$2:$E$46</definedName>
    <definedName name="_xlnm.Print_Area" localSheetId="6">'Capital Costs'!$B$2:$F$35</definedName>
    <definedName name="_xlnm.Print_Area" localSheetId="5">'Crash Cost Savings'!$B$1:$T$25</definedName>
    <definedName name="_xlnm.Print_Area" localSheetId="7">'Ops and Main'!$B$2:$M$39</definedName>
    <definedName name="_xlnm.Print_Area" localSheetId="4">'Travel Time Delay Savings'!$B$2:$G$27</definedName>
    <definedName name="SAPBEXhrIndnt" hidden="1">"Wide"</definedName>
    <definedName name="SAPsysID" hidden="1">"708C5W7SBKP804JT78WJ0JNKI"</definedName>
    <definedName name="SAPwbID" hidden="1">"ARS"</definedName>
    <definedName name="solver_adj" localSheetId="2" hidden="1">'Annualized Operations'!$BB$49:$BB$56</definedName>
    <definedName name="solver_adj" localSheetId="8" hidden="1">'Construction Disbenefits'!$BR$48:$BR$55</definedName>
    <definedName name="solver_adj" localSheetId="11" hidden="1">'Delay Calcs'!$M$38</definedName>
    <definedName name="solver_cvg" localSheetId="2" hidden="1">0.0001</definedName>
    <definedName name="solver_cvg" localSheetId="8" hidden="1">0.0000001</definedName>
    <definedName name="solver_cvg" localSheetId="11" hidden="1">0.0001</definedName>
    <definedName name="solver_drv" localSheetId="2" hidden="1">1</definedName>
    <definedName name="solver_drv" localSheetId="8" hidden="1">1</definedName>
    <definedName name="solver_drv" localSheetId="11" hidden="1">1</definedName>
    <definedName name="solver_eng" localSheetId="2" hidden="1">1</definedName>
    <definedName name="solver_eng" localSheetId="8" hidden="1">1</definedName>
    <definedName name="solver_eng" localSheetId="11" hidden="1">1</definedName>
    <definedName name="solver_est" localSheetId="2" hidden="1">1</definedName>
    <definedName name="solver_est" localSheetId="8" hidden="1">1</definedName>
    <definedName name="solver_est" localSheetId="11" hidden="1">1</definedName>
    <definedName name="solver_itr" localSheetId="2" hidden="1">2147483647</definedName>
    <definedName name="solver_itr" localSheetId="8" hidden="1">2147483647</definedName>
    <definedName name="solver_itr" localSheetId="11" hidden="1">2147483647</definedName>
    <definedName name="solver_lhs1" localSheetId="8" hidden="1">'Construction Disbenefits'!$BR$48:$BR$51</definedName>
    <definedName name="solver_lhs1" localSheetId="11" hidden="1">'Delay Calcs'!$M$38</definedName>
    <definedName name="solver_lhs2" localSheetId="8" hidden="1">'Construction Disbenefits'!$BR$48:$BR$51</definedName>
    <definedName name="solver_lhs2" localSheetId="11" hidden="1">'Delay Calcs'!$M$41</definedName>
    <definedName name="solver_lhs3" localSheetId="8" hidden="1">'Construction Disbenefits'!$BR$52:$BR$53</definedName>
    <definedName name="solver_lhs4" localSheetId="8" hidden="1">'Construction Disbenefits'!$BR$52:$BR$53</definedName>
    <definedName name="solver_lhs5" localSheetId="8" hidden="1">'Construction Disbenefits'!$BR$52:$BR$53</definedName>
    <definedName name="solver_mip" localSheetId="2" hidden="1">2147483647</definedName>
    <definedName name="solver_mip" localSheetId="8" hidden="1">2147483647</definedName>
    <definedName name="solver_mip" localSheetId="11" hidden="1">2147483647</definedName>
    <definedName name="solver_mni" localSheetId="2" hidden="1">30</definedName>
    <definedName name="solver_mni" localSheetId="8" hidden="1">3000</definedName>
    <definedName name="solver_mni" localSheetId="11" hidden="1">30</definedName>
    <definedName name="solver_mrt" localSheetId="2" hidden="1">0.075</definedName>
    <definedName name="solver_mrt" localSheetId="8" hidden="1">0.15</definedName>
    <definedName name="solver_mrt" localSheetId="11" hidden="1">0.075</definedName>
    <definedName name="solver_msl" localSheetId="2" hidden="1">2</definedName>
    <definedName name="solver_msl" localSheetId="8" hidden="1">2</definedName>
    <definedName name="solver_msl" localSheetId="11" hidden="1">2</definedName>
    <definedName name="solver_neg" localSheetId="2" hidden="1">2</definedName>
    <definedName name="solver_neg" localSheetId="8" hidden="1">1</definedName>
    <definedName name="solver_neg" localSheetId="11" hidden="1">2</definedName>
    <definedName name="solver_nod" localSheetId="2" hidden="1">2147483647</definedName>
    <definedName name="solver_nod" localSheetId="8" hidden="1">2147483647</definedName>
    <definedName name="solver_nod" localSheetId="11" hidden="1">2147483647</definedName>
    <definedName name="solver_num" localSheetId="2" hidden="1">0</definedName>
    <definedName name="solver_num" localSheetId="8" hidden="1">4</definedName>
    <definedName name="solver_num" localSheetId="11" hidden="1">0</definedName>
    <definedName name="solver_nwt" localSheetId="2" hidden="1">1</definedName>
    <definedName name="solver_nwt" localSheetId="8" hidden="1">1</definedName>
    <definedName name="solver_nwt" localSheetId="11" hidden="1">1</definedName>
    <definedName name="solver_opt" localSheetId="2" hidden="1">'Annualized Operations'!$AZ$49</definedName>
    <definedName name="solver_opt" localSheetId="8" hidden="1">'Construction Disbenefits'!$BR$65</definedName>
    <definedName name="solver_opt" localSheetId="11" hidden="1">'Delay Calcs'!$N$36</definedName>
    <definedName name="solver_pre" localSheetId="2" hidden="1">0.000001</definedName>
    <definedName name="solver_pre" localSheetId="8" hidden="1">0.00000001</definedName>
    <definedName name="solver_pre" localSheetId="11" hidden="1">0.000001</definedName>
    <definedName name="solver_rbv" localSheetId="2" hidden="1">1</definedName>
    <definedName name="solver_rbv" localSheetId="8" hidden="1">1</definedName>
    <definedName name="solver_rbv" localSheetId="11" hidden="1">1</definedName>
    <definedName name="solver_rel1" localSheetId="8" hidden="1">1</definedName>
    <definedName name="solver_rel1" localSheetId="11" hidden="1">3</definedName>
    <definedName name="solver_rel2" localSheetId="8" hidden="1">3</definedName>
    <definedName name="solver_rel2" localSheetId="11" hidden="1">2</definedName>
    <definedName name="solver_rel3" localSheetId="8" hidden="1">1</definedName>
    <definedName name="solver_rel4" localSheetId="8" hidden="1">3</definedName>
    <definedName name="solver_rel5" localSheetId="8" hidden="1">3</definedName>
    <definedName name="solver_rhs1" localSheetId="8" hidden="1">100000</definedName>
    <definedName name="solver_rhs1" localSheetId="11" hidden="1">2</definedName>
    <definedName name="solver_rhs2" localSheetId="8" hidden="1">0</definedName>
    <definedName name="solver_rhs2" localSheetId="11" hidden="1">0</definedName>
    <definedName name="solver_rhs3" localSheetId="8" hidden="1">1</definedName>
    <definedName name="solver_rhs4" localSheetId="8" hidden="1">0</definedName>
    <definedName name="solver_rhs5" localSheetId="8" hidden="1">0</definedName>
    <definedName name="solver_rlx" localSheetId="2" hidden="1">2</definedName>
    <definedName name="solver_rlx" localSheetId="8" hidden="1">2</definedName>
    <definedName name="solver_rlx" localSheetId="11" hidden="1">2</definedName>
    <definedName name="solver_rsd" localSheetId="2" hidden="1">0</definedName>
    <definedName name="solver_rsd" localSheetId="8" hidden="1">0</definedName>
    <definedName name="solver_rsd" localSheetId="11" hidden="1">0</definedName>
    <definedName name="solver_scl" localSheetId="2" hidden="1">1</definedName>
    <definedName name="solver_scl" localSheetId="8" hidden="1">1</definedName>
    <definedName name="solver_scl" localSheetId="11" hidden="1">1</definedName>
    <definedName name="solver_sho" localSheetId="2" hidden="1">2</definedName>
    <definedName name="solver_sho" localSheetId="8" hidden="1">2</definedName>
    <definedName name="solver_sho" localSheetId="11" hidden="1">2</definedName>
    <definedName name="solver_ssz" localSheetId="2" hidden="1">100</definedName>
    <definedName name="solver_ssz" localSheetId="8" hidden="1">1000</definedName>
    <definedName name="solver_ssz" localSheetId="11" hidden="1">100</definedName>
    <definedName name="solver_tim" localSheetId="2" hidden="1">2147483647</definedName>
    <definedName name="solver_tim" localSheetId="8" hidden="1">2147483647</definedName>
    <definedName name="solver_tim" localSheetId="11" hidden="1">2147483647</definedName>
    <definedName name="solver_tol" localSheetId="2" hidden="1">0.01</definedName>
    <definedName name="solver_tol" localSheetId="8" hidden="1">0.01</definedName>
    <definedName name="solver_tol" localSheetId="11" hidden="1">0.01</definedName>
    <definedName name="solver_typ" localSheetId="2" hidden="1">2</definedName>
    <definedName name="solver_typ" localSheetId="8" hidden="1">2</definedName>
    <definedName name="solver_typ" localSheetId="11" hidden="1">2</definedName>
    <definedName name="solver_val" localSheetId="2" hidden="1">0</definedName>
    <definedName name="solver_val" localSheetId="8" hidden="1">0</definedName>
    <definedName name="solver_val" localSheetId="11" hidden="1">0</definedName>
    <definedName name="solver_ver" localSheetId="2" hidden="1">3</definedName>
    <definedName name="solver_ver" localSheetId="8" hidden="1">3</definedName>
    <definedName name="solver_ver" localSheetId="11" hidden="1">3</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35" i="6" l="1"/>
  <c r="BD29" i="19"/>
  <c r="BC40" i="19"/>
  <c r="Q23" i="19" l="1"/>
  <c r="Q22" i="19"/>
  <c r="Q20" i="19"/>
  <c r="Q18" i="19"/>
  <c r="Q17" i="19"/>
  <c r="Q16" i="19"/>
  <c r="Q19" i="19"/>
  <c r="Q49" i="19"/>
  <c r="Q50" i="19"/>
  <c r="BM48" i="19"/>
  <c r="L11" i="19"/>
  <c r="S3" i="16"/>
  <c r="I11" i="16"/>
  <c r="H11" i="16"/>
  <c r="B3" i="16"/>
  <c r="B21" i="16"/>
  <c r="E11" i="16"/>
  <c r="F11" i="16"/>
  <c r="G11" i="16" s="1"/>
  <c r="G3" i="16"/>
  <c r="B20" i="16"/>
  <c r="AV31" i="19"/>
  <c r="AV30" i="19"/>
  <c r="BG39" i="19"/>
  <c r="BG38" i="19"/>
  <c r="BG37" i="19"/>
  <c r="BM36" i="19"/>
  <c r="BG26" i="19"/>
  <c r="AK36" i="19"/>
  <c r="AT4" i="19"/>
  <c r="AP26" i="19"/>
  <c r="AU11" i="19"/>
  <c r="BH45" i="19"/>
  <c r="BH38" i="19"/>
  <c r="BN23" i="19"/>
  <c r="B8" i="19"/>
  <c r="B7" i="19" s="1"/>
  <c r="B6" i="19" s="1"/>
  <c r="BN38" i="19"/>
  <c r="AQ11" i="19" l="1"/>
  <c r="I33" i="6" l="1"/>
  <c r="I32" i="6"/>
  <c r="I34" i="6" s="1"/>
  <c r="B12" i="16" l="1"/>
  <c r="B10" i="16"/>
  <c r="F15" i="16"/>
  <c r="F20" i="16"/>
  <c r="J9" i="2"/>
  <c r="J12" i="2" s="1"/>
  <c r="H12" i="2"/>
  <c r="A4" i="16"/>
  <c r="A3" i="16"/>
  <c r="T3" i="16"/>
  <c r="U3" i="16"/>
  <c r="V3" i="16"/>
  <c r="E3" i="16" s="1"/>
  <c r="W3" i="16"/>
  <c r="X3" i="16"/>
  <c r="Q125" i="19"/>
  <c r="Q124" i="19"/>
  <c r="AC118" i="19"/>
  <c r="AC119" i="19"/>
  <c r="Q114" i="19"/>
  <c r="Q113" i="19"/>
  <c r="AC114" i="19"/>
  <c r="Q87" i="19"/>
  <c r="Q86" i="19"/>
  <c r="AC81" i="19"/>
  <c r="AC82" i="19"/>
  <c r="AC83" i="19"/>
  <c r="AC80" i="19"/>
  <c r="AC77" i="19"/>
  <c r="AC76" i="19"/>
  <c r="Q47" i="19"/>
  <c r="Q46" i="19"/>
  <c r="AC41" i="19"/>
  <c r="AC42" i="19"/>
  <c r="AC40" i="19"/>
  <c r="Q37" i="19" s="1"/>
  <c r="Q38" i="19" s="1"/>
  <c r="AB37" i="19"/>
  <c r="AC36" i="19" s="1"/>
  <c r="Q14" i="19"/>
  <c r="Q13" i="19"/>
  <c r="Q11" i="19"/>
  <c r="Q9" i="19"/>
  <c r="Q117" i="19"/>
  <c r="AT16" i="19"/>
  <c r="AI11" i="19"/>
  <c r="AK6" i="19"/>
  <c r="AO6" i="19"/>
  <c r="AQ6" i="19" s="1"/>
  <c r="AK16" i="19"/>
  <c r="AI16" i="19" s="1"/>
  <c r="AO16" i="19"/>
  <c r="AW31" i="19"/>
  <c r="AW30" i="19"/>
  <c r="BN47" i="19"/>
  <c r="BN46" i="19"/>
  <c r="BN45" i="19"/>
  <c r="BN39" i="19"/>
  <c r="BN37" i="19"/>
  <c r="BH25" i="19"/>
  <c r="BH24" i="19"/>
  <c r="BH23" i="19"/>
  <c r="BH39" i="19"/>
  <c r="BH37" i="19"/>
  <c r="BH31" i="19"/>
  <c r="BH30" i="19"/>
  <c r="BD40" i="19"/>
  <c r="BD42" i="19"/>
  <c r="BD41" i="19"/>
  <c r="AW38" i="19"/>
  <c r="AW37" i="19"/>
  <c r="AV37" i="19" s="1"/>
  <c r="AP28" i="19"/>
  <c r="AL38" i="19"/>
  <c r="AL37" i="19"/>
  <c r="AP29" i="19" l="1"/>
  <c r="AO26" i="19"/>
  <c r="BG30" i="19"/>
  <c r="AL32" i="19"/>
  <c r="AV38" i="19"/>
  <c r="BG31" i="19"/>
  <c r="AO27" i="19"/>
  <c r="AW36" i="19"/>
  <c r="BH36" i="19"/>
  <c r="BG25" i="19"/>
  <c r="BN36" i="19"/>
  <c r="BM37" i="19"/>
  <c r="BM39" i="19"/>
  <c r="BN32" i="19"/>
  <c r="BH26" i="19"/>
  <c r="BN48" i="19"/>
  <c r="BH32" i="19"/>
  <c r="AL36" i="19"/>
  <c r="BD39" i="19"/>
  <c r="AW32" i="19"/>
  <c r="F3" i="16"/>
  <c r="L3" i="16" s="1"/>
  <c r="Q115" i="19"/>
  <c r="Q116" i="19" s="1"/>
  <c r="Q118" i="19" s="1"/>
  <c r="Q119" i="19" s="1"/>
  <c r="Q121" i="19" s="1"/>
  <c r="BG24" i="19"/>
  <c r="Q84" i="19"/>
  <c r="Q85" i="19" s="1"/>
  <c r="Q89" i="19" s="1"/>
  <c r="AQ16" i="19"/>
  <c r="AQ13" i="19" s="1"/>
  <c r="AU4" i="19" s="1"/>
  <c r="AK37" i="19"/>
  <c r="Q79" i="19"/>
  <c r="AK38" i="19"/>
  <c r="BM38" i="19"/>
  <c r="Q77" i="19"/>
  <c r="Q78" i="19" s="1"/>
  <c r="BC41" i="19"/>
  <c r="BG23" i="19"/>
  <c r="BM45" i="19"/>
  <c r="AI6" i="19"/>
  <c r="AI13" i="19" s="1"/>
  <c r="AI12" i="19" s="1"/>
  <c r="BM47" i="19"/>
  <c r="Q75" i="19"/>
  <c r="Q76" i="19" s="1"/>
  <c r="AC37" i="19"/>
  <c r="Q35" i="19" s="1"/>
  <c r="Q36" i="19" s="1"/>
  <c r="Q40" i="19" s="1"/>
  <c r="Q41" i="19" s="1"/>
  <c r="Q43" i="19" s="1"/>
  <c r="AM11" i="19"/>
  <c r="BM46" i="19"/>
  <c r="BC42" i="19"/>
  <c r="AP39" i="19" l="1"/>
  <c r="BG45" i="19"/>
  <c r="BK51" i="19" s="1"/>
  <c r="BM32" i="19"/>
  <c r="BS34" i="19" s="1"/>
  <c r="BM23" i="19"/>
  <c r="Q6" i="19"/>
  <c r="AU12" i="19"/>
  <c r="AU13" i="19" s="1"/>
  <c r="AU16" i="19"/>
  <c r="AQ12" i="19"/>
  <c r="Q80" i="19"/>
  <c r="Q81" i="19" s="1"/>
  <c r="Q83" i="19" s="1"/>
  <c r="Q90" i="19" s="1"/>
  <c r="AM13" i="19"/>
  <c r="AM12" i="19" s="1"/>
  <c r="BK18" i="19" l="1"/>
  <c r="Q44" i="19"/>
  <c r="AV16" i="19"/>
  <c r="Q122" i="19"/>
  <c r="AV4" i="19"/>
  <c r="Q7" i="19"/>
  <c r="Q123" i="19" l="1"/>
  <c r="Q127" i="19" s="1"/>
  <c r="Q128" i="19" s="1"/>
  <c r="L12" i="19" s="1"/>
  <c r="Q45" i="19"/>
  <c r="Q8" i="19"/>
  <c r="Q12" i="19" s="1"/>
  <c r="K10" i="19" l="1"/>
  <c r="M10" i="19"/>
  <c r="Q15" i="19"/>
  <c r="BI46" i="2"/>
  <c r="BF40" i="2"/>
  <c r="BM45" i="2"/>
  <c r="BL33" i="2"/>
  <c r="BN40" i="2"/>
  <c r="BB38" i="2"/>
  <c r="BK40" i="2"/>
  <c r="BH32" i="2"/>
  <c r="BC32" i="2"/>
  <c r="BC46" i="2"/>
  <c r="BQ24" i="2"/>
  <c r="BU21" i="2"/>
  <c r="BU24" i="2"/>
  <c r="BU26" i="2" s="1"/>
  <c r="BP31" i="2" s="1"/>
  <c r="BQ23" i="2"/>
  <c r="BK24" i="2"/>
  <c r="BQ33" i="2"/>
  <c r="BI8" i="2"/>
  <c r="BH8" i="2"/>
  <c r="BH21" i="2"/>
  <c r="BT12" i="2"/>
  <c r="BT14" i="2"/>
  <c r="BQ32" i="2"/>
  <c r="BG15" i="2"/>
  <c r="BR30" i="2"/>
  <c r="BQ12" i="2"/>
  <c r="BR31" i="2"/>
  <c r="BR32" i="2"/>
  <c r="BR33" i="2"/>
  <c r="BR34" i="2"/>
  <c r="BQ34" i="2"/>
  <c r="BQ31" i="2"/>
  <c r="BQ30" i="2"/>
  <c r="BK14" i="2"/>
  <c r="BK12" i="2" s="1"/>
  <c r="BG9" i="2" s="1"/>
  <c r="BP30" i="2"/>
  <c r="BQ10" i="2"/>
  <c r="BP32" i="2"/>
  <c r="BU23" i="2"/>
  <c r="BU22" i="2"/>
  <c r="BT17" i="2"/>
  <c r="BT16" i="2"/>
  <c r="BT15" i="2"/>
  <c r="BQ15" i="2"/>
  <c r="BQ14" i="2"/>
  <c r="BQ13" i="2"/>
  <c r="BQ22" i="2"/>
  <c r="BQ21" i="2"/>
  <c r="BQ20" i="2"/>
  <c r="BG11" i="2"/>
  <c r="BF11" i="2"/>
  <c r="BG10" i="2"/>
  <c r="BF10" i="2"/>
  <c r="BF9" i="2"/>
  <c r="BH9" i="2" s="1"/>
  <c r="BF8" i="2"/>
  <c r="BD18" i="2"/>
  <c r="BA24" i="2"/>
  <c r="AZ18" i="2"/>
  <c r="BA9" i="2"/>
  <c r="BK26" i="2"/>
  <c r="BG8" i="2" s="1"/>
  <c r="AZ24" i="2"/>
  <c r="BK17" i="2"/>
  <c r="BK18" i="2"/>
  <c r="BK23" i="2"/>
  <c r="BK22" i="2"/>
  <c r="BK21" i="2"/>
  <c r="BH20" i="2"/>
  <c r="BA11" i="2"/>
  <c r="AY18" i="2"/>
  <c r="BD17" i="2"/>
  <c r="AZ21" i="2"/>
  <c r="AZ20" i="2"/>
  <c r="BA14" i="2"/>
  <c r="BA12" i="2"/>
  <c r="J26" i="2"/>
  <c r="R28" i="2"/>
  <c r="O27" i="2"/>
  <c r="O26" i="2"/>
  <c r="O28" i="2"/>
  <c r="O31" i="2"/>
  <c r="O30" i="2"/>
  <c r="P26" i="2"/>
  <c r="P27" i="2"/>
  <c r="N23" i="2"/>
  <c r="N22" i="2"/>
  <c r="L27" i="2"/>
  <c r="L26" i="2"/>
  <c r="O20" i="2"/>
  <c r="N20" i="2"/>
  <c r="O33" i="2"/>
  <c r="N33" i="2"/>
  <c r="J27" i="2"/>
  <c r="N11" i="2"/>
  <c r="H19" i="2" s="1"/>
  <c r="N9" i="2"/>
  <c r="O12" i="2"/>
  <c r="N13" i="2" s="1"/>
  <c r="H17" i="2"/>
  <c r="I12" i="2"/>
  <c r="E4" i="16"/>
  <c r="BP45" i="2" l="1"/>
  <c r="BD54" i="2"/>
  <c r="AY42" i="2"/>
  <c r="BP44" i="2"/>
  <c r="BD55" i="2"/>
  <c r="BP34" i="2"/>
  <c r="BH11" i="2"/>
  <c r="BH10" i="2"/>
  <c r="B23" i="18" a="1"/>
  <c r="B23" i="18"/>
  <c r="Z6" i="14"/>
  <c r="Z5" i="14"/>
  <c r="Z11" i="14"/>
  <c r="Z12" i="14"/>
  <c r="BG14" i="2" l="1"/>
  <c r="BP33" i="2" s="1"/>
  <c r="BS30" i="2" s="1"/>
  <c r="W4" i="10"/>
  <c r="J5" i="18"/>
  <c r="BI35" i="2" l="1"/>
  <c r="BI36" i="2"/>
  <c r="AZ35" i="2"/>
  <c r="AZ36" i="2"/>
  <c r="H9" i="2"/>
  <c r="Q13" i="14"/>
  <c r="R9" i="14" s="1"/>
  <c r="P13" i="14"/>
  <c r="W15" i="10"/>
  <c r="J19" i="2"/>
  <c r="J18" i="2"/>
  <c r="J17" i="2"/>
  <c r="BI37" i="2" l="1"/>
  <c r="AZ37" i="2"/>
  <c r="R8" i="14"/>
  <c r="R5" i="14"/>
  <c r="N10" i="2"/>
  <c r="J11" i="2"/>
  <c r="J10" i="2"/>
  <c r="H11" i="2"/>
  <c r="W6" i="10" s="1"/>
  <c r="H10" i="2"/>
  <c r="I29" i="12"/>
  <c r="D54" i="12"/>
  <c r="B54" i="12"/>
  <c r="I50" i="12"/>
  <c r="I49" i="12"/>
  <c r="I48" i="12"/>
  <c r="I47" i="12"/>
  <c r="G46" i="12"/>
  <c r="I46" i="12" s="1"/>
  <c r="G45" i="12"/>
  <c r="I45" i="12" s="1"/>
  <c r="I44" i="12"/>
  <c r="I43" i="12"/>
  <c r="I42" i="12"/>
  <c r="I41" i="12"/>
  <c r="I40" i="12"/>
  <c r="I39" i="12"/>
  <c r="I38" i="12"/>
  <c r="I37" i="12"/>
  <c r="I36" i="12"/>
  <c r="I35" i="12"/>
  <c r="I34" i="12"/>
  <c r="G33" i="12"/>
  <c r="I33" i="12" s="1"/>
  <c r="I32" i="12"/>
  <c r="I31" i="12"/>
  <c r="I30" i="12"/>
  <c r="I28" i="12"/>
  <c r="I27" i="12"/>
  <c r="I26" i="12"/>
  <c r="I25" i="12"/>
  <c r="I24" i="12"/>
  <c r="I23" i="12"/>
  <c r="I22" i="12"/>
  <c r="I21" i="12"/>
  <c r="I20" i="12"/>
  <c r="I19" i="12"/>
  <c r="I18" i="12"/>
  <c r="I17" i="12"/>
  <c r="I16" i="12"/>
  <c r="I15" i="12"/>
  <c r="I14" i="12"/>
  <c r="I13" i="12"/>
  <c r="B13" i="12"/>
  <c r="B14" i="12" s="1"/>
  <c r="B15" i="12" s="1"/>
  <c r="B16" i="12" s="1"/>
  <c r="B17" i="12" s="1"/>
  <c r="B18" i="12" s="1"/>
  <c r="B19" i="12" s="1"/>
  <c r="B20" i="12" s="1"/>
  <c r="B21" i="12" s="1"/>
  <c r="B22" i="12" s="1"/>
  <c r="B23" i="12" s="1"/>
  <c r="B24" i="12" s="1"/>
  <c r="B25" i="12" s="1"/>
  <c r="B26" i="12" s="1"/>
  <c r="B27" i="12" s="1"/>
  <c r="B28" i="12" s="1"/>
  <c r="B29" i="12" s="1"/>
  <c r="B30" i="12" s="1"/>
  <c r="B31" i="12" s="1"/>
  <c r="B32" i="12" s="1"/>
  <c r="B33" i="12" s="1"/>
  <c r="B34" i="12" s="1"/>
  <c r="B35" i="12" s="1"/>
  <c r="B36" i="12" s="1"/>
  <c r="B37" i="12" s="1"/>
  <c r="B38" i="12" s="1"/>
  <c r="B39" i="12" s="1"/>
  <c r="B40" i="12" s="1"/>
  <c r="B41" i="12" s="1"/>
  <c r="B42" i="12" s="1"/>
  <c r="B43" i="12" s="1"/>
  <c r="B44" i="12" s="1"/>
  <c r="B45" i="12" s="1"/>
  <c r="B46" i="12" s="1"/>
  <c r="B47" i="12" s="1"/>
  <c r="B48" i="12" s="1"/>
  <c r="B49" i="12" s="1"/>
  <c r="B50" i="12" s="1"/>
  <c r="G12" i="12"/>
  <c r="H9" i="12"/>
  <c r="AZ49" i="2" l="1"/>
  <c r="W5" i="10"/>
  <c r="H18" i="2"/>
  <c r="X6" i="10"/>
  <c r="I12" i="12"/>
  <c r="I51" i="12" s="1"/>
  <c r="B23" i="16" l="1"/>
  <c r="AA60" i="10"/>
  <c r="Z60" i="10"/>
  <c r="X60" i="10"/>
  <c r="Y60" i="10"/>
  <c r="W60" i="10"/>
  <c r="X4" i="10"/>
  <c r="W7" i="10"/>
  <c r="X5" i="10"/>
  <c r="I54" i="12"/>
  <c r="I53" i="12"/>
  <c r="I52" i="12"/>
  <c r="I55" i="12" s="1"/>
  <c r="J11" i="16" l="1"/>
  <c r="X34" i="10"/>
  <c r="W47" i="10"/>
  <c r="W34" i="10"/>
  <c r="Y47" i="10"/>
  <c r="AA47" i="10"/>
  <c r="AA34" i="10"/>
  <c r="Z47" i="10"/>
  <c r="Y34" i="10"/>
  <c r="X47" i="10"/>
  <c r="Z34" i="10"/>
  <c r="X7" i="10"/>
  <c r="K12" i="2"/>
  <c r="Q12" i="2"/>
  <c r="E5" i="16"/>
  <c r="E6" i="16"/>
  <c r="E7" i="16"/>
  <c r="E8" i="16"/>
  <c r="E9" i="16"/>
  <c r="E10" i="16"/>
  <c r="L11" i="16"/>
  <c r="M11" i="16" s="1"/>
  <c r="E12" i="16"/>
  <c r="E13" i="16"/>
  <c r="E14" i="16"/>
  <c r="L14" i="16" s="1"/>
  <c r="E15" i="16"/>
  <c r="L15" i="16" s="1"/>
  <c r="E16" i="16"/>
  <c r="E17" i="16"/>
  <c r="E18" i="16"/>
  <c r="E19" i="16"/>
  <c r="E20" i="16"/>
  <c r="L20" i="16" s="1"/>
  <c r="E21" i="16"/>
  <c r="E22" i="16"/>
  <c r="E23" i="16"/>
  <c r="E24" i="16"/>
  <c r="E25" i="16"/>
  <c r="E26" i="16"/>
  <c r="F4" i="16"/>
  <c r="L4" i="16" s="1"/>
  <c r="F5" i="16"/>
  <c r="F6" i="16"/>
  <c r="F7" i="16"/>
  <c r="F8" i="16"/>
  <c r="F9" i="16"/>
  <c r="F10" i="16"/>
  <c r="F12" i="16"/>
  <c r="F13" i="16"/>
  <c r="F14" i="16"/>
  <c r="F16" i="16"/>
  <c r="F17" i="16"/>
  <c r="F18" i="16"/>
  <c r="F19" i="16"/>
  <c r="F21" i="16"/>
  <c r="F22" i="16"/>
  <c r="F23" i="16"/>
  <c r="F24" i="16"/>
  <c r="F25" i="16"/>
  <c r="F26" i="16"/>
  <c r="L8" i="16" l="1"/>
  <c r="G13" i="16"/>
  <c r="L5" i="16"/>
  <c r="L26" i="16"/>
  <c r="G24" i="16"/>
  <c r="L19" i="16"/>
  <c r="L13" i="16"/>
  <c r="L7" i="16"/>
  <c r="G9" i="16"/>
  <c r="L12" i="16"/>
  <c r="L6" i="16"/>
  <c r="L25" i="16"/>
  <c r="L18" i="16"/>
  <c r="L10" i="16"/>
  <c r="L24" i="16"/>
  <c r="L17" i="16"/>
  <c r="L16" i="16"/>
  <c r="L23" i="16"/>
  <c r="L22" i="16"/>
  <c r="L21" i="16"/>
  <c r="L9" i="16"/>
  <c r="G8" i="16"/>
  <c r="G22" i="16"/>
  <c r="G21" i="16"/>
  <c r="G7" i="16"/>
  <c r="G5" i="16"/>
  <c r="G17" i="16"/>
  <c r="G23" i="16"/>
  <c r="G16" i="16"/>
  <c r="G20" i="16"/>
  <c r="G15" i="16"/>
  <c r="G14" i="16"/>
  <c r="G6" i="16"/>
  <c r="G26" i="16"/>
  <c r="G19" i="16"/>
  <c r="G12" i="16"/>
  <c r="G25" i="16"/>
  <c r="G18" i="16"/>
  <c r="G10" i="16"/>
  <c r="G4" i="16"/>
  <c r="H4" i="16" s="1"/>
  <c r="I4" i="16" s="1"/>
  <c r="H3" i="16"/>
  <c r="K11" i="16"/>
  <c r="I20" i="2"/>
  <c r="M3" i="16" l="1"/>
  <c r="N3" i="16" s="1"/>
  <c r="O3" i="16" s="1"/>
  <c r="I3" i="16"/>
  <c r="J3" i="16" s="1"/>
  <c r="K3" i="16"/>
  <c r="H14" i="16"/>
  <c r="M14" i="16" s="1"/>
  <c r="H7" i="16"/>
  <c r="M7" i="16" s="1"/>
  <c r="H13" i="16"/>
  <c r="M13" i="16" s="1"/>
  <c r="H8" i="16"/>
  <c r="M8" i="16" s="1"/>
  <c r="H12" i="16"/>
  <c r="M12" i="16" s="1"/>
  <c r="H9" i="16"/>
  <c r="M9" i="16" s="1"/>
  <c r="M4" i="16"/>
  <c r="H10" i="16"/>
  <c r="M10" i="16" s="1"/>
  <c r="H5" i="16"/>
  <c r="M5" i="16" s="1"/>
  <c r="H6" i="16"/>
  <c r="M6" i="16" s="1"/>
  <c r="N6" i="16" s="1"/>
  <c r="O6" i="16" s="1"/>
  <c r="B4" i="16"/>
  <c r="H20" i="16" l="1"/>
  <c r="B24" i="16" s="1"/>
  <c r="B22" i="16"/>
  <c r="I20" i="16"/>
  <c r="N11" i="16"/>
  <c r="O11" i="16" s="1"/>
  <c r="P33" i="14"/>
  <c r="I27" i="6"/>
  <c r="I26" i="6"/>
  <c r="I25" i="6"/>
  <c r="I24" i="6"/>
  <c r="J20" i="16" l="1"/>
  <c r="M20" i="16"/>
  <c r="H21" i="16"/>
  <c r="M21" i="16" s="1"/>
  <c r="N20" i="16"/>
  <c r="O20" i="16" s="1"/>
  <c r="W9" i="14"/>
  <c r="W8" i="14"/>
  <c r="W12" i="14"/>
  <c r="W11" i="14"/>
  <c r="W5" i="14"/>
  <c r="W6" i="14"/>
  <c r="I21" i="16" l="1"/>
  <c r="J21" i="16" s="1"/>
  <c r="H26" i="16"/>
  <c r="M26" i="16" s="1"/>
  <c r="H19" i="16"/>
  <c r="M19" i="16" s="1"/>
  <c r="H25" i="16"/>
  <c r="M25" i="16" s="1"/>
  <c r="H18" i="16"/>
  <c r="M18" i="16" s="1"/>
  <c r="H24" i="16"/>
  <c r="M24" i="16" s="1"/>
  <c r="H17" i="16"/>
  <c r="M17" i="16" s="1"/>
  <c r="H23" i="16"/>
  <c r="M23" i="16" s="1"/>
  <c r="H16" i="16"/>
  <c r="M16" i="16" s="1"/>
  <c r="H15" i="16"/>
  <c r="H22" i="16"/>
  <c r="M22" i="16" s="1"/>
  <c r="I12" i="16"/>
  <c r="J12" i="16" s="1"/>
  <c r="I39" i="6"/>
  <c r="I38" i="6"/>
  <c r="O24" i="14"/>
  <c r="O19" i="14"/>
  <c r="O20" i="14" s="1"/>
  <c r="O27" i="14"/>
  <c r="O28" i="14" s="1"/>
  <c r="I15" i="16" l="1"/>
  <c r="J15" i="16" s="1"/>
  <c r="M15" i="16"/>
  <c r="X32" i="15"/>
  <c r="X27" i="15"/>
  <c r="X35" i="15" s="1"/>
  <c r="AA24" i="15"/>
  <c r="Z24" i="15"/>
  <c r="Y24" i="15"/>
  <c r="X24" i="15"/>
  <c r="AA23" i="15"/>
  <c r="Z23" i="15"/>
  <c r="Y23" i="15"/>
  <c r="X23" i="15"/>
  <c r="U8" i="15"/>
  <c r="T8" i="15"/>
  <c r="S8" i="15"/>
  <c r="R8" i="15"/>
  <c r="U7" i="15"/>
  <c r="T7" i="15"/>
  <c r="S7" i="15"/>
  <c r="R7" i="15"/>
  <c r="R7" i="14" l="1"/>
  <c r="R6" i="14"/>
  <c r="D8" i="3" l="1"/>
  <c r="C6" i="14" s="1"/>
  <c r="H6" i="14" l="1"/>
  <c r="F6" i="14"/>
  <c r="D6" i="14"/>
  <c r="B5" i="15"/>
  <c r="B34" i="18" s="1"/>
  <c r="J6" i="14" l="1"/>
  <c r="C7" i="14"/>
  <c r="B6" i="15"/>
  <c r="B35" i="18" s="1"/>
  <c r="J16" i="6"/>
  <c r="J15" i="6"/>
  <c r="J14" i="6"/>
  <c r="J13" i="6"/>
  <c r="J12" i="6"/>
  <c r="J11" i="6"/>
  <c r="H7" i="14" l="1"/>
  <c r="D7" i="14"/>
  <c r="F7" i="14"/>
  <c r="C8" i="14"/>
  <c r="B7" i="15"/>
  <c r="B36" i="18" s="1"/>
  <c r="C9" i="14"/>
  <c r="H9" i="14" s="1"/>
  <c r="F9" i="14" l="1"/>
  <c r="D9" i="14"/>
  <c r="J9" i="14" s="1"/>
  <c r="H8" i="14"/>
  <c r="F8" i="14"/>
  <c r="D8" i="14"/>
  <c r="J8" i="14" s="1"/>
  <c r="J7" i="14"/>
  <c r="C10" i="14"/>
  <c r="B8" i="15"/>
  <c r="B37" i="18" s="1"/>
  <c r="H10" i="14" l="1"/>
  <c r="F10" i="14"/>
  <c r="D10" i="14"/>
  <c r="C11" i="14"/>
  <c r="B9" i="15"/>
  <c r="B38" i="18" s="1"/>
  <c r="D29" i="3"/>
  <c r="E29" i="3"/>
  <c r="D14" i="3" l="1"/>
  <c r="R9" i="15" s="1"/>
  <c r="J10" i="14"/>
  <c r="H11" i="14"/>
  <c r="F11" i="14"/>
  <c r="D11" i="14"/>
  <c r="C12" i="14"/>
  <c r="U9" i="15"/>
  <c r="B10" i="15"/>
  <c r="B39" i="18" s="1"/>
  <c r="J11" i="14" l="1"/>
  <c r="T9" i="15"/>
  <c r="S9" i="15"/>
  <c r="H12" i="14"/>
  <c r="F12" i="14"/>
  <c r="D12" i="14"/>
  <c r="J12" i="14" s="1"/>
  <c r="C13" i="14"/>
  <c r="B11" i="15"/>
  <c r="B40" i="18" s="1"/>
  <c r="H13" i="14" l="1"/>
  <c r="F13" i="14"/>
  <c r="D13" i="14"/>
  <c r="J13" i="14" s="1"/>
  <c r="C14" i="14"/>
  <c r="B12" i="15"/>
  <c r="B41" i="18" s="1"/>
  <c r="H14" i="14" l="1"/>
  <c r="F14" i="14"/>
  <c r="D14" i="14"/>
  <c r="J14" i="14" s="1"/>
  <c r="C15" i="14"/>
  <c r="B13" i="15"/>
  <c r="B42" i="18" s="1"/>
  <c r="H15" i="14" l="1"/>
  <c r="F15" i="14"/>
  <c r="D15" i="14"/>
  <c r="J15" i="14" s="1"/>
  <c r="C16" i="14"/>
  <c r="B14" i="15"/>
  <c r="B43" i="18" s="1"/>
  <c r="H16" i="14" l="1"/>
  <c r="F16" i="14"/>
  <c r="D16" i="14"/>
  <c r="J16" i="14" s="1"/>
  <c r="C17" i="14"/>
  <c r="B15" i="15"/>
  <c r="B44" i="18" s="1"/>
  <c r="B37" i="5"/>
  <c r="B7" i="6"/>
  <c r="I5" i="6"/>
  <c r="I4" i="6"/>
  <c r="K11" i="6"/>
  <c r="J23" i="6" s="1"/>
  <c r="K13" i="6"/>
  <c r="J25" i="6" s="1"/>
  <c r="K12" i="6"/>
  <c r="J24" i="6" s="1"/>
  <c r="J16" i="4"/>
  <c r="J15" i="4"/>
  <c r="J12" i="4"/>
  <c r="J8" i="4"/>
  <c r="J7" i="4"/>
  <c r="J11" i="4"/>
  <c r="P27" i="14" l="1"/>
  <c r="P23" i="14"/>
  <c r="P24" i="14" s="1"/>
  <c r="P18" i="14"/>
  <c r="K15" i="6"/>
  <c r="J27" i="6" s="1"/>
  <c r="H17" i="14"/>
  <c r="F17" i="14"/>
  <c r="J17" i="14" s="1"/>
  <c r="D17" i="14"/>
  <c r="C18" i="14"/>
  <c r="K14" i="6"/>
  <c r="J26" i="6" s="1"/>
  <c r="B16" i="15"/>
  <c r="B45" i="18" s="1"/>
  <c r="B5" i="10"/>
  <c r="C5" i="10" s="1"/>
  <c r="D9" i="3"/>
  <c r="E7" i="6" s="1"/>
  <c r="F7" i="6" s="1"/>
  <c r="B9" i="5"/>
  <c r="B8" i="5" s="1"/>
  <c r="B7" i="5" s="1"/>
  <c r="B13" i="2"/>
  <c r="B7" i="4"/>
  <c r="B8" i="4" s="1"/>
  <c r="B8" i="6"/>
  <c r="C7" i="6"/>
  <c r="D7" i="6" s="1"/>
  <c r="B38" i="5"/>
  <c r="J19" i="4"/>
  <c r="B10" i="5" l="1"/>
  <c r="E6" i="14"/>
  <c r="G6" i="14"/>
  <c r="P19" i="14"/>
  <c r="G7" i="14"/>
  <c r="E7" i="14"/>
  <c r="G9" i="14"/>
  <c r="E8" i="14"/>
  <c r="E9" i="14"/>
  <c r="K9" i="14" s="1"/>
  <c r="L9" i="14" s="1"/>
  <c r="M9" i="14" s="1"/>
  <c r="G37" i="18" s="1"/>
  <c r="G8" i="14"/>
  <c r="G10" i="14"/>
  <c r="E10" i="14"/>
  <c r="E11" i="14"/>
  <c r="G11" i="14"/>
  <c r="E12" i="14"/>
  <c r="G12" i="14"/>
  <c r="G13" i="14"/>
  <c r="E13" i="14"/>
  <c r="G14" i="14"/>
  <c r="E14" i="14"/>
  <c r="K14" i="14" s="1"/>
  <c r="L14" i="14" s="1"/>
  <c r="M14" i="14" s="1"/>
  <c r="G42" i="18" s="1"/>
  <c r="G15" i="14"/>
  <c r="E15" i="14"/>
  <c r="G16" i="14"/>
  <c r="E16" i="14"/>
  <c r="E17" i="14"/>
  <c r="G17" i="14"/>
  <c r="E5" i="10"/>
  <c r="D5" i="10"/>
  <c r="L5" i="10" s="1"/>
  <c r="H18" i="14"/>
  <c r="G18" i="14"/>
  <c r="F18" i="14"/>
  <c r="E18" i="14"/>
  <c r="K18" i="14" s="1"/>
  <c r="D18" i="14"/>
  <c r="C19" i="14"/>
  <c r="B17" i="15"/>
  <c r="B46" i="18" s="1"/>
  <c r="B6" i="10"/>
  <c r="E8" i="6"/>
  <c r="F8" i="6" s="1"/>
  <c r="B9" i="6"/>
  <c r="C8" i="6"/>
  <c r="D8" i="6" s="1"/>
  <c r="B11" i="5"/>
  <c r="B9" i="4"/>
  <c r="B14" i="2"/>
  <c r="K12" i="14" l="1"/>
  <c r="L12" i="14" s="1"/>
  <c r="M12" i="14" s="1"/>
  <c r="G40" i="18" s="1"/>
  <c r="J18" i="14"/>
  <c r="L18" i="14" s="1"/>
  <c r="M18" i="14" s="1"/>
  <c r="G46" i="18" s="1"/>
  <c r="K16" i="14"/>
  <c r="L16" i="14" s="1"/>
  <c r="M16" i="14" s="1"/>
  <c r="G44" i="18" s="1"/>
  <c r="K13" i="14"/>
  <c r="L13" i="14" s="1"/>
  <c r="M13" i="14" s="1"/>
  <c r="G41" i="18" s="1"/>
  <c r="K10" i="14"/>
  <c r="L10" i="14" s="1"/>
  <c r="M10" i="14" s="1"/>
  <c r="G38" i="18" s="1"/>
  <c r="K7" i="14"/>
  <c r="L7" i="14" s="1"/>
  <c r="K15" i="14"/>
  <c r="L15" i="14" s="1"/>
  <c r="M15" i="14" s="1"/>
  <c r="G43" i="18" s="1"/>
  <c r="H38" i="6"/>
  <c r="J38" i="6" s="1"/>
  <c r="P20" i="14"/>
  <c r="H39" i="6" s="1"/>
  <c r="J39" i="6" s="1"/>
  <c r="K8" i="14"/>
  <c r="L8" i="14" s="1"/>
  <c r="M8" i="14" s="1"/>
  <c r="G36" i="18" s="1"/>
  <c r="K6" i="14"/>
  <c r="L6" i="14" s="1"/>
  <c r="K17" i="14"/>
  <c r="L17" i="14" s="1"/>
  <c r="M17" i="14" s="1"/>
  <c r="G45" i="18" s="1"/>
  <c r="K11" i="14"/>
  <c r="L11" i="14" s="1"/>
  <c r="M11" i="14" s="1"/>
  <c r="G39" i="18" s="1"/>
  <c r="I5" i="10"/>
  <c r="N5" i="10"/>
  <c r="P5" i="10"/>
  <c r="K5" i="10"/>
  <c r="G5" i="10"/>
  <c r="H5" i="10"/>
  <c r="J5" i="10"/>
  <c r="O5" i="10"/>
  <c r="M5" i="10"/>
  <c r="R5" i="10" s="1"/>
  <c r="F5" i="10"/>
  <c r="H19" i="14"/>
  <c r="G19" i="14"/>
  <c r="F19" i="14"/>
  <c r="E19" i="14"/>
  <c r="K19" i="14" s="1"/>
  <c r="D19" i="14"/>
  <c r="J19" i="14" s="1"/>
  <c r="L19" i="14" s="1"/>
  <c r="M19" i="14" s="1"/>
  <c r="G47" i="18" s="1"/>
  <c r="C20" i="14"/>
  <c r="C6" i="10"/>
  <c r="D6" i="10"/>
  <c r="E6" i="10"/>
  <c r="G11" i="5"/>
  <c r="B18" i="15"/>
  <c r="B47" i="18" s="1"/>
  <c r="B7" i="10"/>
  <c r="E9" i="6"/>
  <c r="F9" i="6" s="1"/>
  <c r="B10" i="6"/>
  <c r="C9" i="6"/>
  <c r="D9" i="6" s="1"/>
  <c r="B12" i="5"/>
  <c r="B10" i="4"/>
  <c r="B15" i="2"/>
  <c r="J40" i="6" l="1"/>
  <c r="Q5" i="10"/>
  <c r="M7" i="14"/>
  <c r="G35" i="18" s="1"/>
  <c r="G10" i="5"/>
  <c r="M6" i="14"/>
  <c r="G34" i="18" s="1"/>
  <c r="G9" i="5"/>
  <c r="L6" i="10"/>
  <c r="J6" i="10"/>
  <c r="H6" i="10"/>
  <c r="P6" i="10"/>
  <c r="I6" i="10"/>
  <c r="N6" i="10"/>
  <c r="O6" i="10"/>
  <c r="G6" i="10"/>
  <c r="M6" i="10"/>
  <c r="K6" i="10"/>
  <c r="H20" i="14"/>
  <c r="J20" i="14" s="1"/>
  <c r="G20" i="14"/>
  <c r="K20" i="14" s="1"/>
  <c r="F20" i="14"/>
  <c r="E20" i="14"/>
  <c r="D20" i="14"/>
  <c r="C21" i="14"/>
  <c r="C7" i="10"/>
  <c r="D7" i="10"/>
  <c r="E7" i="10"/>
  <c r="G12" i="5"/>
  <c r="B19" i="15"/>
  <c r="B48" i="18" s="1"/>
  <c r="B8" i="10"/>
  <c r="E10" i="6"/>
  <c r="F10" i="6" s="1"/>
  <c r="K16" i="6"/>
  <c r="K17" i="6" s="1"/>
  <c r="J17" i="6"/>
  <c r="B11" i="6"/>
  <c r="B13" i="5"/>
  <c r="B11" i="4"/>
  <c r="B16" i="2"/>
  <c r="L20" i="14" l="1"/>
  <c r="M20" i="14" s="1"/>
  <c r="G48" i="18" s="1"/>
  <c r="P7" i="10"/>
  <c r="N7" i="10"/>
  <c r="K7" i="10"/>
  <c r="M7" i="10"/>
  <c r="J7" i="10"/>
  <c r="I7" i="10"/>
  <c r="L7" i="10"/>
  <c r="H7" i="10"/>
  <c r="G7" i="10"/>
  <c r="O7" i="10"/>
  <c r="H21" i="14"/>
  <c r="G21" i="14"/>
  <c r="F21" i="14"/>
  <c r="E21" i="14"/>
  <c r="D21" i="14"/>
  <c r="K21" i="14"/>
  <c r="C22" i="14"/>
  <c r="C8" i="10"/>
  <c r="D8" i="10"/>
  <c r="E8" i="10"/>
  <c r="G13" i="5"/>
  <c r="B20" i="15"/>
  <c r="B49" i="18" s="1"/>
  <c r="B9" i="10"/>
  <c r="E11" i="6"/>
  <c r="F11" i="6" s="1"/>
  <c r="B12" i="6"/>
  <c r="J28" i="6"/>
  <c r="J29" i="6" s="1"/>
  <c r="B14" i="5"/>
  <c r="B12" i="4"/>
  <c r="B17" i="2"/>
  <c r="J21" i="14" l="1"/>
  <c r="L21" i="14" s="1"/>
  <c r="M21" i="14" s="1"/>
  <c r="G49" i="18" s="1"/>
  <c r="O8" i="10"/>
  <c r="K8" i="10"/>
  <c r="N8" i="10"/>
  <c r="J8" i="10"/>
  <c r="M8" i="10"/>
  <c r="I8" i="10"/>
  <c r="P8" i="10"/>
  <c r="G8" i="10"/>
  <c r="L8" i="10"/>
  <c r="H8" i="10"/>
  <c r="H22" i="14"/>
  <c r="J22" i="14" s="1"/>
  <c r="L22" i="14" s="1"/>
  <c r="M22" i="14" s="1"/>
  <c r="G50" i="18" s="1"/>
  <c r="G22" i="14"/>
  <c r="F22" i="14"/>
  <c r="E22" i="14"/>
  <c r="D22" i="14"/>
  <c r="K22" i="14"/>
  <c r="C23" i="14"/>
  <c r="C9" i="10"/>
  <c r="D9" i="10"/>
  <c r="E9" i="10"/>
  <c r="G14" i="5"/>
  <c r="B21" i="15"/>
  <c r="B50" i="18" s="1"/>
  <c r="B10" i="10"/>
  <c r="E12" i="6"/>
  <c r="F12" i="6" s="1"/>
  <c r="C10" i="6"/>
  <c r="C11" i="6"/>
  <c r="B13" i="6"/>
  <c r="C13" i="6" s="1"/>
  <c r="C12" i="6"/>
  <c r="D12" i="6" s="1"/>
  <c r="B15" i="5"/>
  <c r="B13" i="4"/>
  <c r="B18" i="2"/>
  <c r="L9" i="10" l="1"/>
  <c r="G9" i="10"/>
  <c r="K9" i="10"/>
  <c r="I9" i="10"/>
  <c r="N9" i="10"/>
  <c r="P9" i="10"/>
  <c r="O9" i="10"/>
  <c r="J9" i="10"/>
  <c r="M9" i="10"/>
  <c r="H9" i="10"/>
  <c r="H23" i="14"/>
  <c r="J23" i="14" s="1"/>
  <c r="G23" i="14"/>
  <c r="K23" i="14" s="1"/>
  <c r="F23" i="14"/>
  <c r="E23" i="14"/>
  <c r="D23" i="14"/>
  <c r="C24" i="14"/>
  <c r="C10" i="10"/>
  <c r="D10" i="10"/>
  <c r="E10" i="10"/>
  <c r="G15" i="5"/>
  <c r="B22" i="15"/>
  <c r="B51" i="18" s="1"/>
  <c r="B11" i="10"/>
  <c r="E13" i="6"/>
  <c r="F13" i="6" s="1"/>
  <c r="D11" i="6"/>
  <c r="D10" i="6"/>
  <c r="B14" i="6"/>
  <c r="D13" i="6"/>
  <c r="B16" i="5"/>
  <c r="B14" i="4"/>
  <c r="B19" i="2"/>
  <c r="L23" i="14" l="1"/>
  <c r="M23" i="14" s="1"/>
  <c r="G51" i="18" s="1"/>
  <c r="N10" i="10"/>
  <c r="H10" i="10"/>
  <c r="M10" i="10"/>
  <c r="G10" i="10"/>
  <c r="L10" i="10"/>
  <c r="J10" i="10"/>
  <c r="P10" i="10"/>
  <c r="K10" i="10"/>
  <c r="O10" i="10"/>
  <c r="I10" i="10"/>
  <c r="H24" i="14"/>
  <c r="J24" i="14" s="1"/>
  <c r="G24" i="14"/>
  <c r="F24" i="14"/>
  <c r="E24" i="14"/>
  <c r="D24" i="14"/>
  <c r="C25" i="14"/>
  <c r="C11" i="10"/>
  <c r="D11" i="10"/>
  <c r="E11" i="10"/>
  <c r="G16" i="5"/>
  <c r="B23" i="15"/>
  <c r="B52" i="18" s="1"/>
  <c r="B12" i="10"/>
  <c r="E14" i="6"/>
  <c r="F14" i="6" s="1"/>
  <c r="B15" i="6"/>
  <c r="C14" i="6"/>
  <c r="B17" i="5"/>
  <c r="B15" i="4"/>
  <c r="B20" i="2"/>
  <c r="K24" i="14" l="1"/>
  <c r="L24" i="14" s="1"/>
  <c r="M24" i="14" s="1"/>
  <c r="G52" i="18" s="1"/>
  <c r="I11" i="10"/>
  <c r="O11" i="10"/>
  <c r="H11" i="10"/>
  <c r="P11" i="10"/>
  <c r="N11" i="10"/>
  <c r="M11" i="10"/>
  <c r="L11" i="10"/>
  <c r="K11" i="10"/>
  <c r="J11" i="10"/>
  <c r="G11" i="10"/>
  <c r="H25" i="14"/>
  <c r="G25" i="14"/>
  <c r="F25" i="14"/>
  <c r="E25" i="14"/>
  <c r="D25" i="14"/>
  <c r="J25" i="14"/>
  <c r="C12" i="10"/>
  <c r="D12" i="10"/>
  <c r="E12" i="10"/>
  <c r="G17" i="5"/>
  <c r="B24" i="15"/>
  <c r="B53" i="18" s="1"/>
  <c r="B13" i="10"/>
  <c r="D14" i="6"/>
  <c r="C37" i="5"/>
  <c r="D37" i="5" s="1"/>
  <c r="E15" i="6"/>
  <c r="F15" i="6" s="1"/>
  <c r="B16" i="6"/>
  <c r="C15" i="6"/>
  <c r="B18" i="5"/>
  <c r="B16" i="4"/>
  <c r="B21" i="2"/>
  <c r="K25" i="14" l="1"/>
  <c r="L25" i="14"/>
  <c r="M25" i="14" s="1"/>
  <c r="L12" i="10"/>
  <c r="J12" i="10"/>
  <c r="N12" i="10"/>
  <c r="P12" i="10"/>
  <c r="I12" i="10"/>
  <c r="H12" i="10"/>
  <c r="O12" i="10"/>
  <c r="G12" i="10"/>
  <c r="M12" i="10"/>
  <c r="K12" i="10"/>
  <c r="C13" i="10"/>
  <c r="D13" i="10"/>
  <c r="E13" i="10"/>
  <c r="G18" i="5"/>
  <c r="B14" i="10"/>
  <c r="D15" i="6"/>
  <c r="C38" i="5"/>
  <c r="D38" i="5" s="1"/>
  <c r="D39" i="5" s="1"/>
  <c r="E16" i="6"/>
  <c r="F16" i="6" s="1"/>
  <c r="I9" i="5" s="1"/>
  <c r="B17" i="6"/>
  <c r="C16" i="6"/>
  <c r="D16" i="6" s="1"/>
  <c r="B19" i="5"/>
  <c r="B17" i="4"/>
  <c r="B22" i="2"/>
  <c r="G53" i="18" l="1"/>
  <c r="G54" i="18" s="1"/>
  <c r="M26" i="14"/>
  <c r="P13" i="10"/>
  <c r="N13" i="10"/>
  <c r="K13" i="10"/>
  <c r="M13" i="10"/>
  <c r="J13" i="10"/>
  <c r="L13" i="10"/>
  <c r="I13" i="10"/>
  <c r="H13" i="10"/>
  <c r="O13" i="10"/>
  <c r="G13" i="10"/>
  <c r="C14" i="10"/>
  <c r="D14" i="10"/>
  <c r="E14" i="10"/>
  <c r="G19" i="5"/>
  <c r="C45" i="5"/>
  <c r="C52" i="5" s="1"/>
  <c r="B15" i="10"/>
  <c r="E17" i="6"/>
  <c r="F17" i="6" s="1"/>
  <c r="I10" i="5" s="1"/>
  <c r="B18" i="6"/>
  <c r="C17" i="6"/>
  <c r="D17" i="6" s="1"/>
  <c r="B20" i="5"/>
  <c r="B18" i="4"/>
  <c r="B23" i="2"/>
  <c r="H14" i="10" l="1"/>
  <c r="O14" i="10"/>
  <c r="K14" i="10"/>
  <c r="J14" i="10"/>
  <c r="L14" i="10"/>
  <c r="N14" i="10"/>
  <c r="M14" i="10"/>
  <c r="I14" i="10"/>
  <c r="P14" i="10"/>
  <c r="G14" i="10"/>
  <c r="C58" i="5"/>
  <c r="C5" i="18"/>
  <c r="C15" i="10"/>
  <c r="D15" i="10"/>
  <c r="E15" i="10"/>
  <c r="G20" i="5"/>
  <c r="B16" i="10"/>
  <c r="E18" i="6"/>
  <c r="F18" i="6" s="1"/>
  <c r="I11" i="5" s="1"/>
  <c r="B19" i="6"/>
  <c r="C18" i="6"/>
  <c r="D18" i="6" s="1"/>
  <c r="B21" i="5"/>
  <c r="B19" i="4"/>
  <c r="B24" i="2"/>
  <c r="L15" i="10" l="1"/>
  <c r="G15" i="10"/>
  <c r="P15" i="10"/>
  <c r="K15" i="10"/>
  <c r="N15" i="10"/>
  <c r="I15" i="10"/>
  <c r="O15" i="10"/>
  <c r="J15" i="10"/>
  <c r="M15" i="10"/>
  <c r="H15" i="10"/>
  <c r="C16" i="10"/>
  <c r="D16" i="10"/>
  <c r="E16" i="10"/>
  <c r="G21" i="5"/>
  <c r="B17" i="10"/>
  <c r="E19" i="6"/>
  <c r="F19" i="6" s="1"/>
  <c r="I12" i="5" s="1"/>
  <c r="B20" i="6"/>
  <c r="C19" i="6"/>
  <c r="D19" i="6" s="1"/>
  <c r="B22" i="5"/>
  <c r="B20" i="4"/>
  <c r="B25" i="2"/>
  <c r="N16" i="10" l="1"/>
  <c r="H16" i="10"/>
  <c r="M16" i="10"/>
  <c r="G16" i="10"/>
  <c r="L16" i="10"/>
  <c r="P16" i="10"/>
  <c r="K16" i="10"/>
  <c r="J16" i="10"/>
  <c r="O16" i="10"/>
  <c r="I16" i="10"/>
  <c r="C17" i="10"/>
  <c r="D17" i="10"/>
  <c r="E17" i="10"/>
  <c r="G22" i="5"/>
  <c r="B18" i="10"/>
  <c r="E20" i="6"/>
  <c r="F20" i="6" s="1"/>
  <c r="I13" i="5" s="1"/>
  <c r="B21" i="6"/>
  <c r="C20" i="6"/>
  <c r="D20" i="6" s="1"/>
  <c r="B23" i="5"/>
  <c r="B21" i="4"/>
  <c r="B26" i="2"/>
  <c r="I17" i="10" l="1"/>
  <c r="O17" i="10"/>
  <c r="H17" i="10"/>
  <c r="L17" i="10"/>
  <c r="P17" i="10"/>
  <c r="N17" i="10"/>
  <c r="G17" i="10"/>
  <c r="K17" i="10"/>
  <c r="M17" i="10"/>
  <c r="J17" i="10"/>
  <c r="C18" i="10"/>
  <c r="D18" i="10"/>
  <c r="E18" i="10"/>
  <c r="G23" i="5"/>
  <c r="B19" i="10"/>
  <c r="E21" i="6"/>
  <c r="F21" i="6" s="1"/>
  <c r="I14" i="5" s="1"/>
  <c r="B22" i="6"/>
  <c r="C21" i="6"/>
  <c r="D21" i="6" s="1"/>
  <c r="B24" i="5"/>
  <c r="B22" i="4"/>
  <c r="B27" i="2"/>
  <c r="L18" i="10" l="1"/>
  <c r="J18" i="10"/>
  <c r="P18" i="10"/>
  <c r="I18" i="10"/>
  <c r="H18" i="10"/>
  <c r="N18" i="10"/>
  <c r="O18" i="10"/>
  <c r="G18" i="10"/>
  <c r="M18" i="10"/>
  <c r="K18" i="10"/>
  <c r="C19" i="10"/>
  <c r="D19" i="10"/>
  <c r="E19" i="10"/>
  <c r="G24" i="5"/>
  <c r="B20" i="10"/>
  <c r="E22" i="6"/>
  <c r="F22" i="6" s="1"/>
  <c r="I15" i="5" s="1"/>
  <c r="B23" i="6"/>
  <c r="E23" i="6" s="1"/>
  <c r="C22" i="6"/>
  <c r="D22" i="6" s="1"/>
  <c r="B25" i="5"/>
  <c r="B23" i="4"/>
  <c r="B28" i="2"/>
  <c r="P19" i="10" l="1"/>
  <c r="N19" i="10"/>
  <c r="K19" i="10"/>
  <c r="M19" i="10"/>
  <c r="J19" i="10"/>
  <c r="L19" i="10"/>
  <c r="I19" i="10"/>
  <c r="H19" i="10"/>
  <c r="O19" i="10"/>
  <c r="G19" i="10"/>
  <c r="C20" i="10"/>
  <c r="D20" i="10"/>
  <c r="E20" i="10"/>
  <c r="G25" i="5"/>
  <c r="B21" i="10"/>
  <c r="F23" i="6"/>
  <c r="I16" i="5" s="1"/>
  <c r="B24" i="6"/>
  <c r="C23" i="6"/>
  <c r="D23" i="6" s="1"/>
  <c r="B26" i="5"/>
  <c r="B24" i="4"/>
  <c r="B29" i="2"/>
  <c r="O20" i="10" l="1"/>
  <c r="K20" i="10"/>
  <c r="L20" i="10"/>
  <c r="N20" i="10"/>
  <c r="J20" i="10"/>
  <c r="H20" i="10"/>
  <c r="M20" i="10"/>
  <c r="I20" i="10"/>
  <c r="P20" i="10"/>
  <c r="G20" i="10"/>
  <c r="C21" i="10"/>
  <c r="D21" i="10"/>
  <c r="E21" i="10"/>
  <c r="G26" i="5"/>
  <c r="B22" i="10"/>
  <c r="E24" i="6"/>
  <c r="F24" i="6" s="1"/>
  <c r="I17" i="5" s="1"/>
  <c r="B25" i="6"/>
  <c r="C24" i="6"/>
  <c r="D24" i="6" s="1"/>
  <c r="B27" i="5"/>
  <c r="B25" i="4"/>
  <c r="B30" i="2"/>
  <c r="L21" i="10" l="1"/>
  <c r="G21" i="10"/>
  <c r="P21" i="10"/>
  <c r="K21" i="10"/>
  <c r="I21" i="10"/>
  <c r="O21" i="10"/>
  <c r="J21" i="10"/>
  <c r="N21" i="10"/>
  <c r="M21" i="10"/>
  <c r="H21" i="10"/>
  <c r="C22" i="10"/>
  <c r="D22" i="10"/>
  <c r="E22" i="10"/>
  <c r="G27" i="5"/>
  <c r="B23" i="10"/>
  <c r="E25" i="6"/>
  <c r="F25" i="6" s="1"/>
  <c r="I18" i="5" s="1"/>
  <c r="B26" i="6"/>
  <c r="C25" i="6"/>
  <c r="D25" i="6" s="1"/>
  <c r="B28" i="5"/>
  <c r="B26" i="4"/>
  <c r="B31" i="2"/>
  <c r="N22" i="10" l="1"/>
  <c r="H22" i="10"/>
  <c r="J22" i="10"/>
  <c r="M22" i="10"/>
  <c r="G22" i="10"/>
  <c r="L22" i="10"/>
  <c r="P22" i="10"/>
  <c r="K22" i="10"/>
  <c r="O22" i="10"/>
  <c r="I22" i="10"/>
  <c r="C23" i="10"/>
  <c r="D23" i="10"/>
  <c r="E23" i="10"/>
  <c r="G28" i="5"/>
  <c r="B24" i="10"/>
  <c r="E26" i="6"/>
  <c r="F26" i="6" s="1"/>
  <c r="I19" i="5" s="1"/>
  <c r="B27" i="6"/>
  <c r="C26" i="6"/>
  <c r="D26" i="6" s="1"/>
  <c r="B32" i="2"/>
  <c r="I23" i="10" l="1"/>
  <c r="O23" i="10"/>
  <c r="H23" i="10"/>
  <c r="G23" i="10"/>
  <c r="L23" i="10"/>
  <c r="P23" i="10"/>
  <c r="N23" i="10"/>
  <c r="M23" i="10"/>
  <c r="K23" i="10"/>
  <c r="J23" i="10"/>
  <c r="C24" i="10"/>
  <c r="D24" i="10"/>
  <c r="E24" i="10"/>
  <c r="E27" i="6"/>
  <c r="F27" i="6" s="1"/>
  <c r="I20" i="5" s="1"/>
  <c r="B28" i="6"/>
  <c r="C27" i="6"/>
  <c r="D27" i="6" s="1"/>
  <c r="L24" i="10" l="1"/>
  <c r="J24" i="10"/>
  <c r="P24" i="10"/>
  <c r="I24" i="10"/>
  <c r="H24" i="10"/>
  <c r="O24" i="10"/>
  <c r="G24" i="10"/>
  <c r="M24" i="10"/>
  <c r="K24" i="10"/>
  <c r="N24" i="10"/>
  <c r="E28" i="6"/>
  <c r="F28" i="6" s="1"/>
  <c r="I21" i="5" s="1"/>
  <c r="B29" i="6"/>
  <c r="C28" i="6"/>
  <c r="D28" i="6" s="1"/>
  <c r="E29" i="6" l="1"/>
  <c r="F29" i="6" s="1"/>
  <c r="I22" i="5" s="1"/>
  <c r="B30" i="6"/>
  <c r="C29" i="6"/>
  <c r="D29" i="6" s="1"/>
  <c r="E30" i="6" l="1"/>
  <c r="F30" i="6" s="1"/>
  <c r="I23" i="5" s="1"/>
  <c r="B31" i="6"/>
  <c r="C30" i="6"/>
  <c r="D30" i="6" s="1"/>
  <c r="E31" i="6" l="1"/>
  <c r="F31" i="6" s="1"/>
  <c r="I24" i="5" s="1"/>
  <c r="B32" i="6"/>
  <c r="B33" i="6" s="1"/>
  <c r="C31" i="6"/>
  <c r="D31" i="6" s="1"/>
  <c r="B34" i="6" l="1"/>
  <c r="E34" i="6" s="1"/>
  <c r="F34" i="6" s="1"/>
  <c r="E33" i="6"/>
  <c r="F33" i="6" s="1"/>
  <c r="C33" i="6"/>
  <c r="D33" i="6" s="1"/>
  <c r="E32" i="6"/>
  <c r="F32" i="6" s="1"/>
  <c r="I25" i="5" s="1"/>
  <c r="C32" i="6"/>
  <c r="D32" i="6" s="1"/>
  <c r="C28" i="18" l="1"/>
  <c r="I28" i="5"/>
  <c r="C34" i="6"/>
  <c r="D34" i="6" s="1"/>
  <c r="I26" i="5"/>
  <c r="I27" i="5" l="1"/>
  <c r="F35" i="6"/>
  <c r="E39" i="5" l="1"/>
  <c r="F24" i="10" l="1"/>
  <c r="F23" i="10"/>
  <c r="F22" i="10"/>
  <c r="F21" i="10"/>
  <c r="F20" i="10"/>
  <c r="F19" i="10"/>
  <c r="F18" i="10"/>
  <c r="F17" i="10"/>
  <c r="F16" i="10"/>
  <c r="F15" i="10"/>
  <c r="F14" i="10"/>
  <c r="F13" i="10"/>
  <c r="F12" i="10"/>
  <c r="F11" i="10"/>
  <c r="F10" i="10"/>
  <c r="F9" i="10"/>
  <c r="F8" i="10"/>
  <c r="F7" i="10"/>
  <c r="F6" i="10"/>
  <c r="Q6" i="10" l="1"/>
  <c r="J7" i="18" s="1"/>
  <c r="C11" i="18"/>
  <c r="C10" i="18"/>
  <c r="G11" i="18"/>
  <c r="G10" i="18"/>
  <c r="F11" i="18"/>
  <c r="F10" i="18"/>
  <c r="E11" i="18"/>
  <c r="E10" i="18"/>
  <c r="D11" i="18"/>
  <c r="D10" i="18"/>
  <c r="R7" i="10"/>
  <c r="K8" i="18" s="1"/>
  <c r="R8" i="10"/>
  <c r="K9" i="18" s="1"/>
  <c r="R9" i="10"/>
  <c r="K10" i="18" s="1"/>
  <c r="R10" i="10"/>
  <c r="K11" i="18" s="1"/>
  <c r="R11" i="10"/>
  <c r="K12" i="18" s="1"/>
  <c r="R12" i="10"/>
  <c r="K13" i="18" s="1"/>
  <c r="R13" i="10"/>
  <c r="K14" i="18" s="1"/>
  <c r="R14" i="10"/>
  <c r="K15" i="18" s="1"/>
  <c r="R15" i="10"/>
  <c r="K16" i="18" s="1"/>
  <c r="R16" i="10"/>
  <c r="K17" i="18" s="1"/>
  <c r="R17" i="10"/>
  <c r="K18" i="18" s="1"/>
  <c r="R18" i="10"/>
  <c r="K19" i="18" s="1"/>
  <c r="R19" i="10"/>
  <c r="K20" i="18" s="1"/>
  <c r="R20" i="10"/>
  <c r="K21" i="18" s="1"/>
  <c r="R21" i="10"/>
  <c r="K22" i="18" s="1"/>
  <c r="R22" i="10"/>
  <c r="K23" i="18" s="1"/>
  <c r="R23" i="10"/>
  <c r="K24" i="18" s="1"/>
  <c r="R24" i="10"/>
  <c r="K25" i="18" s="1"/>
  <c r="Q24" i="10"/>
  <c r="J25" i="18" s="1"/>
  <c r="Q23" i="10"/>
  <c r="J24" i="18" s="1"/>
  <c r="Q22" i="10"/>
  <c r="J23" i="18" s="1"/>
  <c r="Q21" i="10"/>
  <c r="J22" i="18" s="1"/>
  <c r="Q20" i="10"/>
  <c r="J21" i="18" s="1"/>
  <c r="Q19" i="10"/>
  <c r="J20" i="18" s="1"/>
  <c r="Q18" i="10"/>
  <c r="J19" i="18" s="1"/>
  <c r="Q17" i="10"/>
  <c r="J18" i="18" s="1"/>
  <c r="Q16" i="10"/>
  <c r="J17" i="18" s="1"/>
  <c r="Q15" i="10"/>
  <c r="J16" i="18" s="1"/>
  <c r="Q14" i="10"/>
  <c r="J15" i="18" s="1"/>
  <c r="Q13" i="10"/>
  <c r="J14" i="18" s="1"/>
  <c r="Q12" i="10"/>
  <c r="J13" i="18" s="1"/>
  <c r="Q11" i="10"/>
  <c r="J12" i="18" s="1"/>
  <c r="Q10" i="10"/>
  <c r="J11" i="18" s="1"/>
  <c r="Q9" i="10"/>
  <c r="J10" i="18" s="1"/>
  <c r="Q8" i="10"/>
  <c r="J9" i="18" s="1"/>
  <c r="Q7" i="10"/>
  <c r="J8" i="18" s="1"/>
  <c r="K20" i="2"/>
  <c r="H21" i="2"/>
  <c r="H13" i="2"/>
  <c r="F12" i="18" l="1"/>
  <c r="S13" i="10"/>
  <c r="T13" i="10" s="1"/>
  <c r="E42" i="18" s="1"/>
  <c r="S8" i="10"/>
  <c r="T8" i="10" s="1"/>
  <c r="E37" i="18" s="1"/>
  <c r="K6" i="18"/>
  <c r="S9" i="10"/>
  <c r="T9" i="10" s="1"/>
  <c r="E38" i="18" s="1"/>
  <c r="C12" i="18"/>
  <c r="S20" i="10"/>
  <c r="S24" i="10"/>
  <c r="S7" i="10"/>
  <c r="T7" i="10" s="1"/>
  <c r="E36" i="18" s="1"/>
  <c r="S10" i="10"/>
  <c r="T10" i="10" s="1"/>
  <c r="E39" i="18" s="1"/>
  <c r="S22" i="10"/>
  <c r="T22" i="10" s="1"/>
  <c r="E51" i="18" s="1"/>
  <c r="S17" i="10"/>
  <c r="S11" i="10"/>
  <c r="S15" i="10"/>
  <c r="S18" i="10"/>
  <c r="T18" i="10" s="1"/>
  <c r="E47" i="18" s="1"/>
  <c r="S19" i="10"/>
  <c r="T19" i="10" s="1"/>
  <c r="E48" i="18" s="1"/>
  <c r="S21" i="10"/>
  <c r="T21" i="10" s="1"/>
  <c r="E50" i="18" s="1"/>
  <c r="S23" i="10"/>
  <c r="S16" i="10"/>
  <c r="T16" i="10" s="1"/>
  <c r="E45" i="18" s="1"/>
  <c r="S12" i="10"/>
  <c r="S14" i="10"/>
  <c r="R6" i="10"/>
  <c r="D12" i="18"/>
  <c r="E12" i="18"/>
  <c r="E17" i="5"/>
  <c r="J6" i="18"/>
  <c r="B16" i="18" s="1"/>
  <c r="G12" i="18"/>
  <c r="E12" i="5" l="1"/>
  <c r="E14" i="5"/>
  <c r="E13" i="5"/>
  <c r="E26" i="5"/>
  <c r="E25" i="5"/>
  <c r="S5" i="10"/>
  <c r="E9" i="5" s="1"/>
  <c r="E22" i="5"/>
  <c r="E11" i="5"/>
  <c r="T24" i="10"/>
  <c r="E53" i="18" s="1"/>
  <c r="E28" i="5"/>
  <c r="T20" i="10"/>
  <c r="E49" i="18" s="1"/>
  <c r="E24" i="5"/>
  <c r="E23" i="5"/>
  <c r="T11" i="10"/>
  <c r="E40" i="18" s="1"/>
  <c r="E15" i="5"/>
  <c r="E21" i="5"/>
  <c r="T17" i="10"/>
  <c r="E46" i="18" s="1"/>
  <c r="T15" i="10"/>
  <c r="E44" i="18" s="1"/>
  <c r="E19" i="5"/>
  <c r="K7" i="18"/>
  <c r="C16" i="18" s="1"/>
  <c r="D16" i="18" s="1"/>
  <c r="S6" i="10"/>
  <c r="T23" i="10"/>
  <c r="E52" i="18" s="1"/>
  <c r="E27" i="5"/>
  <c r="E20" i="5"/>
  <c r="T14" i="10"/>
  <c r="E43" i="18" s="1"/>
  <c r="E18" i="5"/>
  <c r="T12" i="10"/>
  <c r="E41" i="18" s="1"/>
  <c r="E16" i="5"/>
  <c r="T5" i="10" l="1"/>
  <c r="E34" i="18" s="1"/>
  <c r="T6" i="10"/>
  <c r="E35" i="18" s="1"/>
  <c r="E10" i="5"/>
  <c r="T25" i="10" l="1"/>
  <c r="E54" i="18"/>
  <c r="AY41" i="2" l="1"/>
  <c r="I5" i="16" l="1"/>
  <c r="J5" i="16" s="1"/>
  <c r="I10" i="16"/>
  <c r="J10" i="16" s="1"/>
  <c r="I17" i="16"/>
  <c r="J17" i="16" s="1"/>
  <c r="I24" i="16"/>
  <c r="J24" i="16" s="1"/>
  <c r="N12" i="16"/>
  <c r="O12" i="16" s="1"/>
  <c r="I25" i="16"/>
  <c r="J25" i="16" s="1"/>
  <c r="I23" i="16"/>
  <c r="J23" i="16" s="1"/>
  <c r="I14" i="16"/>
  <c r="J14" i="16" s="1"/>
  <c r="I9" i="16"/>
  <c r="J9" i="16" s="1"/>
  <c r="I22" i="16"/>
  <c r="J22" i="16" s="1"/>
  <c r="I6" i="16"/>
  <c r="J6" i="16" s="1"/>
  <c r="I8" i="16"/>
  <c r="J8" i="16" s="1"/>
  <c r="I19" i="16"/>
  <c r="J19" i="16" s="1"/>
  <c r="I26" i="16"/>
  <c r="J26" i="16" s="1"/>
  <c r="I13" i="16"/>
  <c r="J13" i="16" s="1"/>
  <c r="N13" i="16"/>
  <c r="O13" i="16" s="1"/>
  <c r="I7" i="16"/>
  <c r="J7" i="16" s="1"/>
  <c r="I18" i="16"/>
  <c r="J18" i="16" s="1"/>
  <c r="I16" i="16" l="1"/>
  <c r="N16" i="16"/>
  <c r="O16" i="16" s="1"/>
  <c r="N25" i="16"/>
  <c r="O25" i="16" s="1"/>
  <c r="N24" i="16"/>
  <c r="O24" i="16" s="1"/>
  <c r="N15" i="16"/>
  <c r="O15" i="16" s="1"/>
  <c r="N4" i="16"/>
  <c r="O4" i="16" s="1"/>
  <c r="N26" i="16"/>
  <c r="O26" i="16" s="1"/>
  <c r="N9" i="16"/>
  <c r="O9" i="16" s="1"/>
  <c r="N17" i="16"/>
  <c r="O17" i="16" s="1"/>
  <c r="N8" i="16"/>
  <c r="O8" i="16" s="1"/>
  <c r="N14" i="16"/>
  <c r="O14" i="16" s="1"/>
  <c r="N10" i="16"/>
  <c r="O10" i="16" s="1"/>
  <c r="N19" i="16"/>
  <c r="O19" i="16" s="1"/>
  <c r="N5" i="16"/>
  <c r="O5" i="16" s="1"/>
  <c r="N22" i="16"/>
  <c r="O22" i="16" s="1"/>
  <c r="N21" i="16"/>
  <c r="O21" i="16" s="1"/>
  <c r="N23" i="16"/>
  <c r="O23" i="16" s="1"/>
  <c r="N18" i="16"/>
  <c r="O18" i="16" s="1"/>
  <c r="K5" i="16"/>
  <c r="K12" i="16"/>
  <c r="K19" i="16"/>
  <c r="K24" i="16"/>
  <c r="K17" i="16"/>
  <c r="K18" i="16"/>
  <c r="K22" i="16"/>
  <c r="K15" i="16"/>
  <c r="K25" i="16"/>
  <c r="K14" i="16"/>
  <c r="K9" i="16"/>
  <c r="K13" i="16"/>
  <c r="K7" i="16"/>
  <c r="K6" i="16"/>
  <c r="K26" i="16"/>
  <c r="K8" i="16"/>
  <c r="K23" i="16"/>
  <c r="K21" i="16"/>
  <c r="K10" i="16"/>
  <c r="P12" i="16"/>
  <c r="P11" i="16"/>
  <c r="J16" i="16" l="1"/>
  <c r="K16" i="16" s="1"/>
  <c r="J4" i="16"/>
  <c r="K4" i="16" s="1"/>
  <c r="P10" i="16"/>
  <c r="P25" i="16"/>
  <c r="P26" i="16"/>
  <c r="P6" i="16"/>
  <c r="P3" i="16"/>
  <c r="N7" i="16"/>
  <c r="P5" i="16"/>
  <c r="P4" i="16"/>
  <c r="P8" i="16"/>
  <c r="P9" i="16"/>
  <c r="P15" i="16"/>
  <c r="K20" i="16"/>
  <c r="B7" i="16" s="1"/>
  <c r="O7" i="16" l="1"/>
  <c r="P7" i="16" s="1"/>
  <c r="B13" i="16"/>
  <c r="B15" i="16" s="1"/>
  <c r="B8" i="16"/>
  <c r="B9" i="16" s="1"/>
  <c r="H4" i="2" s="1"/>
  <c r="P13" i="16"/>
  <c r="P18" i="16"/>
  <c r="P14" i="16"/>
  <c r="P21" i="16"/>
  <c r="P22" i="16"/>
  <c r="P20" i="16"/>
  <c r="P19" i="16"/>
  <c r="P16" i="16"/>
  <c r="P17" i="16"/>
  <c r="P24" i="16"/>
  <c r="P23" i="16"/>
  <c r="B14" i="16" l="1"/>
  <c r="B16" i="16" s="1"/>
  <c r="B17" i="16" s="1"/>
  <c r="B18" i="16" s="1"/>
  <c r="B19" i="16" s="1"/>
  <c r="H3" i="2" l="1"/>
  <c r="I9" i="19" l="1"/>
  <c r="W14" i="10"/>
  <c r="C5" i="2"/>
  <c r="C6" i="2"/>
  <c r="D6" i="2"/>
  <c r="I5" i="19" l="1"/>
  <c r="J9" i="19"/>
  <c r="I4" i="19"/>
  <c r="E6" i="2"/>
  <c r="C14" i="2" a="1"/>
  <c r="C14" i="2" s="1"/>
  <c r="C8" i="4" s="1"/>
  <c r="C15" i="2" a="1"/>
  <c r="C15" i="2" s="1"/>
  <c r="C9" i="4" s="1"/>
  <c r="C23" i="2" a="1"/>
  <c r="C23" i="2" s="1"/>
  <c r="C17" i="4" s="1"/>
  <c r="C17" i="2" a="1"/>
  <c r="C17" i="2" s="1"/>
  <c r="C11" i="4" s="1"/>
  <c r="C27" i="2" a="1"/>
  <c r="C27" i="2" s="1"/>
  <c r="C21" i="4" s="1"/>
  <c r="C22" i="2" a="1"/>
  <c r="C22" i="2" s="1"/>
  <c r="C16" i="4" s="1"/>
  <c r="C32" i="2" a="1"/>
  <c r="C32" i="2" s="1"/>
  <c r="C26" i="4" s="1"/>
  <c r="C24" i="2" a="1"/>
  <c r="C24" i="2" s="1"/>
  <c r="C18" i="4" s="1"/>
  <c r="C18" i="2" a="1"/>
  <c r="C18" i="2" s="1"/>
  <c r="C12" i="4" s="1"/>
  <c r="C21" i="2" a="1"/>
  <c r="C21" i="2" s="1"/>
  <c r="C15" i="4" s="1"/>
  <c r="C16" i="2" a="1"/>
  <c r="C16" i="2" s="1"/>
  <c r="C10" i="4" s="1"/>
  <c r="C13" i="2" a="1"/>
  <c r="C13" i="2" s="1"/>
  <c r="C7" i="4" s="1"/>
  <c r="C29" i="2" a="1"/>
  <c r="C29" i="2" s="1"/>
  <c r="C23" i="4" s="1"/>
  <c r="C31" i="2" a="1"/>
  <c r="C31" i="2" s="1"/>
  <c r="C25" i="4" s="1"/>
  <c r="C20" i="2" a="1"/>
  <c r="C20" i="2" s="1"/>
  <c r="C14" i="4" s="1"/>
  <c r="C28" i="2" a="1"/>
  <c r="C28" i="2" s="1"/>
  <c r="C22" i="4" s="1"/>
  <c r="D5" i="2"/>
  <c r="C30" i="2" a="1"/>
  <c r="C30" i="2" s="1"/>
  <c r="C24" i="4" s="1"/>
  <c r="C25" i="2" a="1"/>
  <c r="C25" i="2" s="1"/>
  <c r="C19" i="4" s="1"/>
  <c r="C26" i="2" a="1"/>
  <c r="C26" i="2" s="1"/>
  <c r="C20" i="4" s="1"/>
  <c r="C19" i="2" a="1"/>
  <c r="C19" i="2" s="1"/>
  <c r="C13" i="4" s="1"/>
  <c r="C7" i="19" l="1"/>
  <c r="C6" i="19"/>
  <c r="H7" i="5" s="1"/>
  <c r="D27" i="2" a="1"/>
  <c r="D27" i="2" s="1"/>
  <c r="D25" i="2" a="1"/>
  <c r="D25" i="2" s="1"/>
  <c r="D17" i="2" a="1"/>
  <c r="D17" i="2" s="1"/>
  <c r="D32" i="2" a="1"/>
  <c r="D32" i="2" s="1"/>
  <c r="D16" i="2" a="1"/>
  <c r="D16" i="2" s="1"/>
  <c r="E5" i="2"/>
  <c r="D19" i="2" a="1"/>
  <c r="D19" i="2" s="1"/>
  <c r="D13" i="2" a="1"/>
  <c r="D13" i="2" s="1"/>
  <c r="D20" i="2" a="1"/>
  <c r="D20" i="2" s="1"/>
  <c r="D24" i="2" a="1"/>
  <c r="D24" i="2" s="1"/>
  <c r="D26" i="2" a="1"/>
  <c r="D26" i="2" s="1"/>
  <c r="D29" i="2" a="1"/>
  <c r="D29" i="2" s="1"/>
  <c r="D23" i="2" a="1"/>
  <c r="D23" i="2" s="1"/>
  <c r="D30" i="2" a="1"/>
  <c r="D30" i="2" s="1"/>
  <c r="D15" i="2" a="1"/>
  <c r="D15" i="2" s="1"/>
  <c r="D28" i="2" a="1"/>
  <c r="D28" i="2" s="1"/>
  <c r="D18" i="2" a="1"/>
  <c r="D18" i="2" s="1"/>
  <c r="D21" i="2" a="1"/>
  <c r="D21" i="2" s="1"/>
  <c r="D22" i="2" a="1"/>
  <c r="D22" i="2" s="1"/>
  <c r="D31" i="2" a="1"/>
  <c r="D31" i="2" s="1"/>
  <c r="D14" i="2" a="1"/>
  <c r="D14" i="2" s="1"/>
  <c r="D7" i="19" l="1"/>
  <c r="H8" i="5"/>
  <c r="J8" i="5" s="1"/>
  <c r="K8" i="5" s="1"/>
  <c r="D6" i="19"/>
  <c r="D9" i="19" s="1"/>
  <c r="J7" i="5"/>
  <c r="K7" i="5" s="1"/>
  <c r="E18" i="2"/>
  <c r="F10" i="15" s="1"/>
  <c r="D12" i="4"/>
  <c r="E12" i="4" s="1"/>
  <c r="F12" i="4" s="1"/>
  <c r="D26" i="4"/>
  <c r="E26" i="4" s="1"/>
  <c r="F26" i="4" s="1"/>
  <c r="E32" i="2"/>
  <c r="F24" i="15" s="1"/>
  <c r="D15" i="4"/>
  <c r="E15" i="4" s="1"/>
  <c r="F15" i="4" s="1"/>
  <c r="E21" i="2"/>
  <c r="F13" i="15" s="1"/>
  <c r="D23" i="4"/>
  <c r="E23" i="4" s="1"/>
  <c r="F23" i="4" s="1"/>
  <c r="E29" i="2"/>
  <c r="F21" i="15" s="1"/>
  <c r="E28" i="2"/>
  <c r="F20" i="15" s="1"/>
  <c r="D22" i="4"/>
  <c r="E22" i="4" s="1"/>
  <c r="F22" i="4" s="1"/>
  <c r="E15" i="2"/>
  <c r="F7" i="15" s="1"/>
  <c r="D9" i="4"/>
  <c r="E9" i="4" s="1"/>
  <c r="F9" i="4" s="1"/>
  <c r="E20" i="2"/>
  <c r="F12" i="15" s="1"/>
  <c r="D14" i="4"/>
  <c r="E14" i="4" s="1"/>
  <c r="F14" i="4" s="1"/>
  <c r="D11" i="4"/>
  <c r="E11" i="4" s="1"/>
  <c r="F11" i="4" s="1"/>
  <c r="E17" i="2"/>
  <c r="F9" i="15" s="1"/>
  <c r="E26" i="2"/>
  <c r="F18" i="15" s="1"/>
  <c r="D20" i="4"/>
  <c r="E20" i="4" s="1"/>
  <c r="F20" i="4" s="1"/>
  <c r="D8" i="4"/>
  <c r="E8" i="4" s="1"/>
  <c r="F8" i="4" s="1"/>
  <c r="E14" i="2"/>
  <c r="F6" i="15" s="1"/>
  <c r="E13" i="2"/>
  <c r="F5" i="15" s="1"/>
  <c r="D7" i="4"/>
  <c r="E7" i="4" s="1"/>
  <c r="F7" i="4" s="1"/>
  <c r="E25" i="2"/>
  <c r="F17" i="15" s="1"/>
  <c r="D19" i="4"/>
  <c r="E19" i="4" s="1"/>
  <c r="F19" i="4" s="1"/>
  <c r="E16" i="2"/>
  <c r="F8" i="15" s="1"/>
  <c r="D10" i="4"/>
  <c r="E10" i="4" s="1"/>
  <c r="F10" i="4" s="1"/>
  <c r="D18" i="4"/>
  <c r="E18" i="4" s="1"/>
  <c r="F18" i="4" s="1"/>
  <c r="E24" i="2"/>
  <c r="F16" i="15" s="1"/>
  <c r="E31" i="2"/>
  <c r="F23" i="15" s="1"/>
  <c r="D25" i="4"/>
  <c r="E25" i="4" s="1"/>
  <c r="F25" i="4" s="1"/>
  <c r="E30" i="2"/>
  <c r="F22" i="15" s="1"/>
  <c r="D24" i="4"/>
  <c r="E24" i="4" s="1"/>
  <c r="F24" i="4" s="1"/>
  <c r="D16" i="4"/>
  <c r="E16" i="4" s="1"/>
  <c r="F16" i="4" s="1"/>
  <c r="E22" i="2"/>
  <c r="F14" i="15" s="1"/>
  <c r="E23" i="2"/>
  <c r="F15" i="15" s="1"/>
  <c r="D17" i="4"/>
  <c r="E17" i="4" s="1"/>
  <c r="F17" i="4" s="1"/>
  <c r="D13" i="4"/>
  <c r="E13" i="4" s="1"/>
  <c r="F13" i="4" s="1"/>
  <c r="E19" i="2"/>
  <c r="F11" i="15" s="1"/>
  <c r="E27" i="2"/>
  <c r="F19" i="15" s="1"/>
  <c r="D21" i="4"/>
  <c r="E21" i="4" s="1"/>
  <c r="F21" i="4" s="1"/>
  <c r="G23" i="15" l="1"/>
  <c r="J23" i="15" s="1"/>
  <c r="C23" i="15"/>
  <c r="D23" i="15" s="1"/>
  <c r="E23" i="15" s="1"/>
  <c r="H23" i="15"/>
  <c r="K23" i="15" s="1"/>
  <c r="I23" i="15"/>
  <c r="L23" i="15" s="1"/>
  <c r="F17" i="5"/>
  <c r="G15" i="4"/>
  <c r="F42" i="18" s="1"/>
  <c r="H16" i="15"/>
  <c r="K16" i="15" s="1"/>
  <c r="G16" i="15"/>
  <c r="J16" i="15" s="1"/>
  <c r="C16" i="15"/>
  <c r="D16" i="15" s="1"/>
  <c r="E16" i="15" s="1"/>
  <c r="I16" i="15"/>
  <c r="L16" i="15" s="1"/>
  <c r="F19" i="5"/>
  <c r="G17" i="4"/>
  <c r="F44" i="18" s="1"/>
  <c r="G25" i="4"/>
  <c r="F52" i="18" s="1"/>
  <c r="F27" i="5"/>
  <c r="F21" i="5"/>
  <c r="G19" i="4"/>
  <c r="F46" i="18" s="1"/>
  <c r="G20" i="4"/>
  <c r="F47" i="18" s="1"/>
  <c r="F22" i="5"/>
  <c r="F11" i="5"/>
  <c r="G9" i="4"/>
  <c r="F36" i="18" s="1"/>
  <c r="C13" i="15"/>
  <c r="D13" i="15" s="1"/>
  <c r="E13" i="15" s="1"/>
  <c r="I13" i="15"/>
  <c r="L13" i="15" s="1"/>
  <c r="G13" i="15"/>
  <c r="J13" i="15" s="1"/>
  <c r="H13" i="15"/>
  <c r="K13" i="15" s="1"/>
  <c r="G18" i="15"/>
  <c r="J18" i="15" s="1"/>
  <c r="I18" i="15"/>
  <c r="L18" i="15" s="1"/>
  <c r="C18" i="15"/>
  <c r="D18" i="15" s="1"/>
  <c r="E18" i="15" s="1"/>
  <c r="H18" i="15"/>
  <c r="K18" i="15" s="1"/>
  <c r="G22" i="4"/>
  <c r="F49" i="18" s="1"/>
  <c r="F24" i="5"/>
  <c r="G5" i="15"/>
  <c r="C5" i="15"/>
  <c r="I5" i="15"/>
  <c r="H5" i="15"/>
  <c r="G20" i="15"/>
  <c r="J20" i="15" s="1"/>
  <c r="C20" i="15"/>
  <c r="D20" i="15" s="1"/>
  <c r="E20" i="15" s="1"/>
  <c r="H20" i="15"/>
  <c r="K20" i="15" s="1"/>
  <c r="I20" i="15"/>
  <c r="L20" i="15" s="1"/>
  <c r="F28" i="5"/>
  <c r="G26" i="4"/>
  <c r="F53" i="18" s="1"/>
  <c r="I17" i="15"/>
  <c r="L17" i="15" s="1"/>
  <c r="C17" i="15"/>
  <c r="D17" i="15" s="1"/>
  <c r="E17" i="15" s="1"/>
  <c r="G17" i="15"/>
  <c r="J17" i="15" s="1"/>
  <c r="H17" i="15"/>
  <c r="K17" i="15" s="1"/>
  <c r="G14" i="15"/>
  <c r="J14" i="15" s="1"/>
  <c r="C14" i="15"/>
  <c r="D14" i="15" s="1"/>
  <c r="E14" i="15" s="1"/>
  <c r="I14" i="15"/>
  <c r="L14" i="15" s="1"/>
  <c r="H14" i="15"/>
  <c r="K14" i="15" s="1"/>
  <c r="C9" i="15"/>
  <c r="D9" i="15" s="1"/>
  <c r="E9" i="15" s="1"/>
  <c r="G9" i="15"/>
  <c r="J9" i="15" s="1"/>
  <c r="H9" i="15"/>
  <c r="K9" i="15" s="1"/>
  <c r="I9" i="15"/>
  <c r="L9" i="15" s="1"/>
  <c r="C19" i="15"/>
  <c r="D19" i="15" s="1"/>
  <c r="E19" i="15" s="1"/>
  <c r="G19" i="15"/>
  <c r="J19" i="15" s="1"/>
  <c r="I19" i="15"/>
  <c r="L19" i="15" s="1"/>
  <c r="H19" i="15"/>
  <c r="K19" i="15" s="1"/>
  <c r="F20" i="5"/>
  <c r="G18" i="4"/>
  <c r="F45" i="18" s="1"/>
  <c r="G10" i="4"/>
  <c r="F37" i="18" s="1"/>
  <c r="F12" i="5"/>
  <c r="C21" i="15"/>
  <c r="D21" i="15" s="1"/>
  <c r="E21" i="15" s="1"/>
  <c r="G21" i="15"/>
  <c r="J21" i="15" s="1"/>
  <c r="I21" i="15"/>
  <c r="L21" i="15" s="1"/>
  <c r="H21" i="15"/>
  <c r="K21" i="15" s="1"/>
  <c r="F14" i="5"/>
  <c r="G12" i="4"/>
  <c r="F39" i="18" s="1"/>
  <c r="G15" i="15"/>
  <c r="J15" i="15" s="1"/>
  <c r="I15" i="15"/>
  <c r="L15" i="15" s="1"/>
  <c r="C15" i="15"/>
  <c r="D15" i="15" s="1"/>
  <c r="E15" i="15" s="1"/>
  <c r="H15" i="15"/>
  <c r="K15" i="15" s="1"/>
  <c r="G7" i="15"/>
  <c r="J7" i="15" s="1"/>
  <c r="C7" i="15"/>
  <c r="D7" i="15" s="1"/>
  <c r="E7" i="15" s="1"/>
  <c r="H7" i="15"/>
  <c r="K7" i="15" s="1"/>
  <c r="I7" i="15"/>
  <c r="L7" i="15" s="1"/>
  <c r="F23" i="5"/>
  <c r="G21" i="4"/>
  <c r="F48" i="18" s="1"/>
  <c r="G7" i="4"/>
  <c r="F9" i="5"/>
  <c r="I24" i="15"/>
  <c r="L24" i="15" s="1"/>
  <c r="G24" i="15"/>
  <c r="J24" i="15" s="1"/>
  <c r="C24" i="15"/>
  <c r="D24" i="15" s="1"/>
  <c r="E24" i="15" s="1"/>
  <c r="H24" i="15"/>
  <c r="K24" i="15" s="1"/>
  <c r="G16" i="4"/>
  <c r="F43" i="18" s="1"/>
  <c r="F18" i="5"/>
  <c r="F13" i="5"/>
  <c r="G11" i="4"/>
  <c r="F38" i="18" s="1"/>
  <c r="G11" i="15"/>
  <c r="J11" i="15" s="1"/>
  <c r="H11" i="15"/>
  <c r="K11" i="15" s="1"/>
  <c r="I11" i="15"/>
  <c r="L11" i="15" s="1"/>
  <c r="C11" i="15"/>
  <c r="D11" i="15" s="1"/>
  <c r="E11" i="15" s="1"/>
  <c r="G24" i="4"/>
  <c r="F51" i="18" s="1"/>
  <c r="F26" i="5"/>
  <c r="G6" i="15"/>
  <c r="J6" i="15" s="1"/>
  <c r="C6" i="15"/>
  <c r="D6" i="15" s="1"/>
  <c r="E6" i="15" s="1"/>
  <c r="I6" i="15"/>
  <c r="L6" i="15" s="1"/>
  <c r="H6" i="15"/>
  <c r="K6" i="15" s="1"/>
  <c r="F16" i="5"/>
  <c r="G14" i="4"/>
  <c r="F41" i="18" s="1"/>
  <c r="G13" i="4"/>
  <c r="F40" i="18" s="1"/>
  <c r="F15" i="5"/>
  <c r="G22" i="15"/>
  <c r="J22" i="15" s="1"/>
  <c r="H22" i="15"/>
  <c r="K22" i="15" s="1"/>
  <c r="I22" i="15"/>
  <c r="L22" i="15" s="1"/>
  <c r="C22" i="15"/>
  <c r="D22" i="15" s="1"/>
  <c r="E22" i="15" s="1"/>
  <c r="G8" i="15"/>
  <c r="J8" i="15" s="1"/>
  <c r="I8" i="15"/>
  <c r="L8" i="15" s="1"/>
  <c r="C8" i="15"/>
  <c r="D8" i="15" s="1"/>
  <c r="E8" i="15" s="1"/>
  <c r="H8" i="15"/>
  <c r="K8" i="15" s="1"/>
  <c r="F10" i="5"/>
  <c r="G8" i="4"/>
  <c r="F35" i="18" s="1"/>
  <c r="G12" i="15"/>
  <c r="J12" i="15" s="1"/>
  <c r="I12" i="15"/>
  <c r="L12" i="15" s="1"/>
  <c r="C12" i="15"/>
  <c r="D12" i="15" s="1"/>
  <c r="E12" i="15" s="1"/>
  <c r="H12" i="15"/>
  <c r="K12" i="15" s="1"/>
  <c r="G23" i="4"/>
  <c r="F50" i="18" s="1"/>
  <c r="F25" i="5"/>
  <c r="C10" i="15"/>
  <c r="D10" i="15" s="1"/>
  <c r="E10" i="15" s="1"/>
  <c r="I10" i="15"/>
  <c r="L10" i="15" s="1"/>
  <c r="G10" i="15"/>
  <c r="J10" i="15" s="1"/>
  <c r="H10" i="15"/>
  <c r="K10" i="15" s="1"/>
  <c r="M22" i="15" l="1"/>
  <c r="N22" i="15" s="1"/>
  <c r="M7" i="15"/>
  <c r="N7" i="15" s="1"/>
  <c r="M20" i="15"/>
  <c r="D24" i="5" s="1"/>
  <c r="J24" i="5" s="1"/>
  <c r="M10" i="15"/>
  <c r="N10" i="15" s="1"/>
  <c r="M13" i="15"/>
  <c r="D17" i="5" s="1"/>
  <c r="J17" i="5" s="1"/>
  <c r="M21" i="15"/>
  <c r="N21" i="15" s="1"/>
  <c r="M9" i="15"/>
  <c r="D13" i="5" s="1"/>
  <c r="J13" i="5" s="1"/>
  <c r="C16" i="5"/>
  <c r="C41" i="18"/>
  <c r="G27" i="4"/>
  <c r="F34" i="18"/>
  <c r="F54" i="18" s="1"/>
  <c r="C48" i="18"/>
  <c r="C23" i="5"/>
  <c r="C40" i="18"/>
  <c r="C15" i="5"/>
  <c r="C36" i="18"/>
  <c r="C11" i="5"/>
  <c r="M19" i="15"/>
  <c r="C21" i="5"/>
  <c r="C46" i="18"/>
  <c r="C49" i="18"/>
  <c r="C24" i="5"/>
  <c r="C35" i="18"/>
  <c r="C10" i="5"/>
  <c r="C43" i="18"/>
  <c r="C18" i="5"/>
  <c r="E19" i="18"/>
  <c r="K5" i="15"/>
  <c r="E20" i="18" s="1" a="1"/>
  <c r="E20" i="18" s="1"/>
  <c r="C12" i="5"/>
  <c r="C37" i="18"/>
  <c r="C39" i="18"/>
  <c r="C14" i="5"/>
  <c r="M12" i="15"/>
  <c r="M8" i="15"/>
  <c r="M6" i="15"/>
  <c r="M11" i="15"/>
  <c r="C53" i="18"/>
  <c r="C28" i="5"/>
  <c r="C44" i="18"/>
  <c r="C19" i="5"/>
  <c r="M14" i="15"/>
  <c r="F19" i="18"/>
  <c r="L5" i="15"/>
  <c r="F20" i="18" s="1" a="1"/>
  <c r="F20" i="18" s="1"/>
  <c r="C22" i="5"/>
  <c r="C47" i="18"/>
  <c r="C17" i="5"/>
  <c r="C42" i="18"/>
  <c r="C45" i="18"/>
  <c r="C20" i="5"/>
  <c r="D11" i="5"/>
  <c r="J11" i="5" s="1"/>
  <c r="M24" i="15"/>
  <c r="D5" i="15"/>
  <c r="E5" i="15" s="1"/>
  <c r="C19" i="18"/>
  <c r="M16" i="15"/>
  <c r="C52" i="18"/>
  <c r="C27" i="5"/>
  <c r="C51" i="18"/>
  <c r="C26" i="5"/>
  <c r="M15" i="15"/>
  <c r="C50" i="18"/>
  <c r="C25" i="5"/>
  <c r="C13" i="5"/>
  <c r="C38" i="18"/>
  <c r="M17" i="15"/>
  <c r="D19" i="18"/>
  <c r="J5" i="15"/>
  <c r="M18" i="15"/>
  <c r="M23" i="15"/>
  <c r="N9" i="15" l="1"/>
  <c r="D38" i="18" s="1"/>
  <c r="N20" i="15"/>
  <c r="O20" i="15" s="1"/>
  <c r="D14" i="5"/>
  <c r="J14" i="5" s="1"/>
  <c r="K14" i="5" s="1"/>
  <c r="N13" i="15"/>
  <c r="D42" i="18" s="1"/>
  <c r="D26" i="5"/>
  <c r="J26" i="5" s="1"/>
  <c r="K26" i="5" s="1"/>
  <c r="K11" i="5"/>
  <c r="D25" i="5"/>
  <c r="J25" i="5" s="1"/>
  <c r="K25" i="5" s="1"/>
  <c r="D20" i="18" a="1"/>
  <c r="D20" i="18" s="1"/>
  <c r="M5" i="15"/>
  <c r="D20" i="5"/>
  <c r="J20" i="5" s="1"/>
  <c r="K20" i="5" s="1"/>
  <c r="N16" i="15"/>
  <c r="O21" i="15"/>
  <c r="D50" i="18"/>
  <c r="N12" i="15"/>
  <c r="D16" i="5"/>
  <c r="J16" i="5" s="1"/>
  <c r="K16" i="5" s="1"/>
  <c r="N24" i="15"/>
  <c r="D28" i="5"/>
  <c r="J28" i="5" s="1"/>
  <c r="K28" i="5" s="1"/>
  <c r="O22" i="15"/>
  <c r="D51" i="18"/>
  <c r="D19" i="5"/>
  <c r="J19" i="5" s="1"/>
  <c r="K19" i="5" s="1"/>
  <c r="N15" i="15"/>
  <c r="O10" i="15"/>
  <c r="D39" i="18"/>
  <c r="C20" i="18"/>
  <c r="C34" i="18"/>
  <c r="C54" i="18" s="1"/>
  <c r="C9" i="5"/>
  <c r="K17" i="5"/>
  <c r="N11" i="15"/>
  <c r="D15" i="5"/>
  <c r="J15" i="5" s="1"/>
  <c r="K15" i="5" s="1"/>
  <c r="N23" i="15"/>
  <c r="D27" i="5"/>
  <c r="J27" i="5" s="1"/>
  <c r="K27" i="5" s="1"/>
  <c r="K13" i="5"/>
  <c r="O7" i="15"/>
  <c r="D36" i="18"/>
  <c r="N14" i="15"/>
  <c r="D18" i="5"/>
  <c r="J18" i="5" s="1"/>
  <c r="K18" i="5" s="1"/>
  <c r="N6" i="15"/>
  <c r="D10" i="5"/>
  <c r="J10" i="5" s="1"/>
  <c r="K10" i="5" s="1"/>
  <c r="N19" i="15"/>
  <c r="D23" i="5"/>
  <c r="J23" i="5" s="1"/>
  <c r="K23" i="5" s="1"/>
  <c r="D21" i="5"/>
  <c r="J21" i="5" s="1"/>
  <c r="K21" i="5" s="1"/>
  <c r="N17" i="15"/>
  <c r="N18" i="15"/>
  <c r="D22" i="5"/>
  <c r="J22" i="5" s="1"/>
  <c r="K22" i="5" s="1"/>
  <c r="D12" i="5"/>
  <c r="J12" i="5" s="1"/>
  <c r="K12" i="5" s="1"/>
  <c r="N8" i="15"/>
  <c r="K24" i="5"/>
  <c r="O9" i="15" l="1"/>
  <c r="D49" i="18"/>
  <c r="O13" i="15"/>
  <c r="O14" i="15"/>
  <c r="D43" i="18"/>
  <c r="O11" i="15"/>
  <c r="D40" i="18"/>
  <c r="O17" i="15"/>
  <c r="D46" i="18"/>
  <c r="D52" i="18"/>
  <c r="O23" i="15"/>
  <c r="D53" i="18"/>
  <c r="O24" i="15"/>
  <c r="D48" i="18"/>
  <c r="O19" i="15"/>
  <c r="O8" i="15"/>
  <c r="D37" i="18"/>
  <c r="O12" i="15"/>
  <c r="D41" i="18"/>
  <c r="N5" i="15"/>
  <c r="D9" i="5"/>
  <c r="J9" i="5" s="1"/>
  <c r="K9" i="5" s="1"/>
  <c r="O15" i="15"/>
  <c r="D44" i="18"/>
  <c r="D45" i="18"/>
  <c r="O16" i="15"/>
  <c r="D47" i="18"/>
  <c r="O18" i="15"/>
  <c r="O6" i="15"/>
  <c r="D35" i="18"/>
  <c r="K29" i="5" l="1"/>
  <c r="C44" i="5" s="1"/>
  <c r="O5" i="15"/>
  <c r="O25" i="15" s="1"/>
  <c r="K30" i="5" s="1"/>
  <c r="D34" i="18"/>
  <c r="D54" i="18" s="1"/>
  <c r="C23" i="18" s="1" a="1"/>
  <c r="C23" i="18" s="1"/>
  <c r="C29" i="18" s="1"/>
  <c r="K31" i="5" l="1"/>
  <c r="C47" i="5"/>
  <c r="C46" i="5"/>
  <c r="C51" i="5"/>
  <c r="C53" i="5" l="1"/>
  <c r="C57" i="5"/>
  <c r="C54" i="5"/>
  <c r="C4" i="18"/>
  <c r="C60" i="5" l="1"/>
  <c r="C7" i="18"/>
  <c r="C6" i="18"/>
  <c r="C59" i="5"/>
  <c r="AO28" i="19"/>
  <c r="AK32" i="19" s="1"/>
  <c r="AH34" i="19"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Wolla, Alicia</author>
  </authors>
  <commentList>
    <comment ref="E41" authorId="0" shapeId="0" xr:uid="{EDC7364F-2400-4979-8672-E572F169EC19}">
      <text>
        <r>
          <rPr>
            <b/>
            <sz val="9"/>
            <color indexed="81"/>
            <rFont val="Tahoma"/>
            <family val="2"/>
          </rPr>
          <t>Wolla, Alicia:</t>
        </r>
        <r>
          <rPr>
            <sz val="9"/>
            <color indexed="81"/>
            <rFont val="Tahoma"/>
            <family val="2"/>
          </rPr>
          <t xml:space="preserve">
not sure if we are using 6IN line, or following standard drawing D-762-2</t>
        </r>
      </text>
    </comment>
  </commentList>
</comments>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<sst xmlns="http://schemas.openxmlformats.org/spreadsheetml/2006/main" count="1093" uniqueCount="568">
  <si>
    <t>VMT</t>
  </si>
  <si>
    <t>No Build</t>
  </si>
  <si>
    <t>Build</t>
  </si>
  <si>
    <t>Difference</t>
  </si>
  <si>
    <t>Year</t>
  </si>
  <si>
    <t>Total</t>
  </si>
  <si>
    <t>Annual Growth</t>
  </si>
  <si>
    <t>Annualized Operations</t>
  </si>
  <si>
    <t>Analysis Year</t>
  </si>
  <si>
    <t>All-Purpose Travel Time Cost</t>
  </si>
  <si>
    <t>Differential</t>
  </si>
  <si>
    <t>Truck Travel Time Cost</t>
  </si>
  <si>
    <t>Auto Percentage</t>
  </si>
  <si>
    <t>Truck Percentage</t>
  </si>
  <si>
    <t>Auto Vehicle Occupancy</t>
  </si>
  <si>
    <t>Truck Vehicle Occupancy</t>
  </si>
  <si>
    <t>Aggregate Travel Time Cost</t>
  </si>
  <si>
    <t>AADT</t>
  </si>
  <si>
    <t>1)</t>
  </si>
  <si>
    <t>2)</t>
  </si>
  <si>
    <t>Days Per Year</t>
  </si>
  <si>
    <t>Base Year</t>
  </si>
  <si>
    <t>Beginning of Construction</t>
  </si>
  <si>
    <t>Duration of Construction</t>
  </si>
  <si>
    <t>Years of Benefit-Cost Analysis Period</t>
  </si>
  <si>
    <t>Benefit-Cost First Year of Benefit</t>
  </si>
  <si>
    <t>Benefit-Cost Final Year of Benefit</t>
  </si>
  <si>
    <t>Forecast Traffic Year</t>
  </si>
  <si>
    <t>Discount Rate</t>
  </si>
  <si>
    <t>Auto Occupancy</t>
  </si>
  <si>
    <t>Truck Occupancy</t>
  </si>
  <si>
    <t>All Purpose Travel Time Costs</t>
  </si>
  <si>
    <t>Truck Travel Time Costs</t>
  </si>
  <si>
    <t>Per VMT Operating Costs: Auto</t>
  </si>
  <si>
    <t>Per VMT Operating Costs: Truck</t>
  </si>
  <si>
    <t>Travel Time Savings Costs</t>
  </si>
  <si>
    <t>Travel Time Cost Savings</t>
  </si>
  <si>
    <t>3.1% Discount</t>
  </si>
  <si>
    <t>Table 4 - Per-mile Travel Time Cost</t>
  </si>
  <si>
    <t>Total Benefit</t>
  </si>
  <si>
    <t>NOTES:</t>
  </si>
  <si>
    <t>BENEFITS</t>
  </si>
  <si>
    <t>Remaining Capital Value (3.1%)</t>
  </si>
  <si>
    <t>Discount</t>
  </si>
  <si>
    <t>COSTS</t>
  </si>
  <si>
    <t>Capital Costs</t>
  </si>
  <si>
    <t>Total Cost</t>
  </si>
  <si>
    <t>SUMMARY</t>
  </si>
  <si>
    <t>Results</t>
  </si>
  <si>
    <t>Benefits</t>
  </si>
  <si>
    <t>Costs</t>
  </si>
  <si>
    <t>B/C Ratio</t>
  </si>
  <si>
    <t>NPV</t>
  </si>
  <si>
    <t>Benefits (millions)</t>
  </si>
  <si>
    <t>Costs (millions)</t>
  </si>
  <si>
    <t>Net Present Value (millions)</t>
  </si>
  <si>
    <t>CAPITAL COST AND RESIDUAL PROJECT VALUE</t>
  </si>
  <si>
    <t>Remaining Capital Value</t>
  </si>
  <si>
    <t>Construction Year</t>
  </si>
  <si>
    <t xml:space="preserve">Capital Cost </t>
  </si>
  <si>
    <t>Years of Construction</t>
  </si>
  <si>
    <t xml:space="preserve">Cost Category </t>
  </si>
  <si>
    <t>Life (years)</t>
  </si>
  <si>
    <t>Capital Costs (2023$)</t>
  </si>
  <si>
    <t>Capital Costs (2022$)</t>
  </si>
  <si>
    <t>Miscellaneous (Sunk)</t>
  </si>
  <si>
    <t>Right-of-Way</t>
  </si>
  <si>
    <t>Major Structures</t>
  </si>
  <si>
    <t>Grading and Drainage</t>
  </si>
  <si>
    <t>Sub Base and Base</t>
  </si>
  <si>
    <t>Surface</t>
  </si>
  <si>
    <t>n/a</t>
  </si>
  <si>
    <t>RCV  (3.1%)</t>
  </si>
  <si>
    <t>Total Remaining Capital Value</t>
  </si>
  <si>
    <t>Truck</t>
  </si>
  <si>
    <t>Nominal RCV</t>
  </si>
  <si>
    <t>ENVIRONMENTAL SUSTAINABILITY - AIR QUALITY</t>
  </si>
  <si>
    <t>CO2 Savings Estimations</t>
  </si>
  <si>
    <t>Other Emissions Cost Savings</t>
  </si>
  <si>
    <t>Change in C02 (metric tons)</t>
  </si>
  <si>
    <t>CO2 Yearly Carbon Emissions Savings
(2% Discount)</t>
  </si>
  <si>
    <r>
      <t>Change in NOx 
(metric tons)</t>
    </r>
    <r>
      <rPr>
        <vertAlign val="superscript"/>
        <sz val="9"/>
        <color theme="1"/>
        <rFont val="Aptos Narrow"/>
        <family val="2"/>
        <scheme val="minor"/>
      </rPr>
      <t>1</t>
    </r>
  </si>
  <si>
    <r>
      <t>Change in SO2
(metric tons)</t>
    </r>
    <r>
      <rPr>
        <vertAlign val="superscript"/>
        <sz val="9"/>
        <color theme="1"/>
        <rFont val="Aptos Narrow"/>
        <family val="2"/>
        <scheme val="minor"/>
      </rPr>
      <t>1</t>
    </r>
  </si>
  <si>
    <r>
      <t>Change in PM
(metric tons)</t>
    </r>
    <r>
      <rPr>
        <vertAlign val="superscript"/>
        <sz val="9"/>
        <color theme="1"/>
        <rFont val="Aptos Narrow"/>
        <family val="2"/>
        <scheme val="minor"/>
      </rPr>
      <t>1</t>
    </r>
  </si>
  <si>
    <t>All Discounted</t>
  </si>
  <si>
    <t>Mode</t>
  </si>
  <si>
    <r>
      <t>NO</t>
    </r>
    <r>
      <rPr>
        <b/>
        <vertAlign val="subscript"/>
        <sz val="11"/>
        <color theme="1"/>
        <rFont val="Aptos Narrow"/>
        <family val="2"/>
        <scheme val="minor"/>
      </rPr>
      <t>X</t>
    </r>
  </si>
  <si>
    <r>
      <t>SO</t>
    </r>
    <r>
      <rPr>
        <b/>
        <vertAlign val="subscript"/>
        <sz val="11"/>
        <color theme="1"/>
        <rFont val="Aptos Narrow"/>
        <family val="2"/>
        <scheme val="minor"/>
      </rPr>
      <t>2</t>
    </r>
  </si>
  <si>
    <r>
      <t>PM</t>
    </r>
    <r>
      <rPr>
        <b/>
        <vertAlign val="subscript"/>
        <sz val="11"/>
        <color theme="1"/>
        <rFont val="Aptos Narrow"/>
        <family val="2"/>
        <scheme val="minor"/>
      </rPr>
      <t>2.5</t>
    </r>
  </si>
  <si>
    <r>
      <t>CO</t>
    </r>
    <r>
      <rPr>
        <b/>
        <vertAlign val="subscript"/>
        <sz val="11"/>
        <color theme="1"/>
        <rFont val="Aptos Narrow"/>
        <family val="2"/>
        <scheme val="minor"/>
      </rPr>
      <t>2</t>
    </r>
  </si>
  <si>
    <t>Source Type</t>
  </si>
  <si>
    <t>HPMS Description</t>
  </si>
  <si>
    <t>Auto/Truck</t>
  </si>
  <si>
    <t>Automobile</t>
  </si>
  <si>
    <t>Motorcycle</t>
  </si>
  <si>
    <t>Auto</t>
  </si>
  <si>
    <t>Trucks</t>
  </si>
  <si>
    <t>Light-Duty Vehicle</t>
  </si>
  <si>
    <t>Table 2 - Damage Costs for Emissions per metric ton</t>
  </si>
  <si>
    <t>Buses</t>
  </si>
  <si>
    <t>Single-Unit Truck</t>
  </si>
  <si>
    <t>Combination Truck</t>
  </si>
  <si>
    <t>NOX</t>
  </si>
  <si>
    <t>SO2</t>
  </si>
  <si>
    <t>PM2.5</t>
  </si>
  <si>
    <t>CO2</t>
  </si>
  <si>
    <t>Average emission rates per vehicle type were obtained from the Environmental Protection Agency’s Motor Vehicle Emission Simulator (MOVES) version 3. The change in VMT between No Build and Build conditions was applied to emission rates by vehicle type.</t>
  </si>
  <si>
    <t>Type</t>
  </si>
  <si>
    <t>Average MPG</t>
  </si>
  <si>
    <t>Vehicle Type</t>
  </si>
  <si>
    <t>Fuel Type</t>
  </si>
  <si>
    <t>Engine Size (liter)</t>
  </si>
  <si>
    <t>Gross Vehicle Weight (GVW) (lb)</t>
  </si>
  <si>
    <t>Idling fuel use (Gal/hr with no load)</t>
  </si>
  <si>
    <t>Tractor-Semitrailer</t>
  </si>
  <si>
    <t>Diesel</t>
  </si>
  <si>
    <t>-</t>
  </si>
  <si>
    <t>Bucket Truck</t>
  </si>
  <si>
    <t>Transit Bus</t>
  </si>
  <si>
    <t>Medium Heavy Truck</t>
  </si>
  <si>
    <t>6-10</t>
  </si>
  <si>
    <t>23,000-33,000</t>
  </si>
  <si>
    <t>Tow Truck</t>
  </si>
  <si>
    <t>Delivery Truck</t>
  </si>
  <si>
    <t>Gas</t>
  </si>
  <si>
    <t>5-7</t>
  </si>
  <si>
    <t>19,700-26,000</t>
  </si>
  <si>
    <t>Compact Sedan</t>
  </si>
  <si>
    <t>Large Sedan</t>
  </si>
  <si>
    <t>Air Quality Sans CO2</t>
  </si>
  <si>
    <t>Air Quality: CO2 (2%)</t>
  </si>
  <si>
    <r>
      <rPr>
        <sz val="9"/>
        <rFont val="Arial"/>
        <family val="2"/>
      </rPr>
      <t>County Route 81 (CR 81)</t>
    </r>
  </si>
  <si>
    <r>
      <rPr>
        <sz val="9"/>
        <rFont val="Arial"/>
        <family val="2"/>
      </rPr>
      <t>Northbound I-29 Ramps</t>
    </r>
  </si>
  <si>
    <r>
      <rPr>
        <sz val="9"/>
        <rFont val="Arial"/>
        <family val="2"/>
      </rPr>
      <t>Southbound I-29 Ramps</t>
    </r>
  </si>
  <si>
    <r>
      <rPr>
        <sz val="9"/>
        <rFont val="Arial"/>
        <family val="2"/>
      </rPr>
      <t>Avg Delay</t>
    </r>
  </si>
  <si>
    <r>
      <rPr>
        <sz val="9"/>
        <rFont val="Arial"/>
        <family val="2"/>
      </rPr>
      <t>Vehicles</t>
    </r>
  </si>
  <si>
    <r>
      <rPr>
        <sz val="9"/>
        <rFont val="Arial"/>
        <family val="2"/>
      </rPr>
      <t>Avg Delay (sec.)</t>
    </r>
  </si>
  <si>
    <r>
      <rPr>
        <sz val="9"/>
        <rFont val="Arial"/>
        <family val="2"/>
      </rPr>
      <t>PM Peak Hour</t>
    </r>
  </si>
  <si>
    <r>
      <rPr>
        <sz val="9"/>
        <rFont val="Arial"/>
        <family val="2"/>
      </rPr>
      <t>AM Peak Hour</t>
    </r>
  </si>
  <si>
    <t>No Build Existing</t>
  </si>
  <si>
    <r>
      <rPr>
        <sz val="9"/>
        <rFont val="Arial"/>
        <family val="2"/>
      </rPr>
      <t>County Route 81 (CR 81)*</t>
    </r>
  </si>
  <si>
    <t>No Build 2045</t>
  </si>
  <si>
    <t>NB Off</t>
  </si>
  <si>
    <t>SB Off</t>
  </si>
  <si>
    <t>NB On</t>
  </si>
  <si>
    <t>SB On</t>
  </si>
  <si>
    <t>K</t>
  </si>
  <si>
    <t>A</t>
  </si>
  <si>
    <t>B</t>
  </si>
  <si>
    <t>C</t>
  </si>
  <si>
    <t>O</t>
  </si>
  <si>
    <t>Rates</t>
  </si>
  <si>
    <t xml:space="preserve">   A   </t>
  </si>
  <si>
    <t xml:space="preserve">   B   </t>
  </si>
  <si>
    <t xml:space="preserve">   C   </t>
  </si>
  <si>
    <t>Crash Costs</t>
  </si>
  <si>
    <t>Safety Savings</t>
  </si>
  <si>
    <t>Factor</t>
  </si>
  <si>
    <t>COST ESTIMATE - Alternative 2 - Dumbbell Interchange</t>
  </si>
  <si>
    <t>ENTER PROJECT INFORMATION IN THE YELLOW HIGHLIGHTED CELLS BELOW</t>
  </si>
  <si>
    <t>I-29</t>
  </si>
  <si>
    <t>TITLE</t>
  </si>
  <si>
    <t>NDDOT</t>
  </si>
  <si>
    <t>PREPARED BY:</t>
  </si>
  <si>
    <t xml:space="preserve">PROJECT </t>
  </si>
  <si>
    <t>IM-8-029(213)069, PCN 23596</t>
  </si>
  <si>
    <t>DATE:</t>
  </si>
  <si>
    <t>CLIENT</t>
  </si>
  <si>
    <t>Project Number</t>
  </si>
  <si>
    <t>NO.</t>
  </si>
  <si>
    <t>SPEC</t>
  </si>
  <si>
    <t>CODE</t>
  </si>
  <si>
    <t>ITEM</t>
  </si>
  <si>
    <t>UNIT</t>
  </si>
  <si>
    <t>TOTAL PROJECT</t>
  </si>
  <si>
    <t>QUANTITY</t>
  </si>
  <si>
    <t>COST</t>
  </si>
  <si>
    <t>CONTRACT BOND</t>
  </si>
  <si>
    <t>L SUM</t>
  </si>
  <si>
    <t xml:space="preserve">RAILROAD COORDINATION                             </t>
  </si>
  <si>
    <t xml:space="preserve">Mobilization </t>
  </si>
  <si>
    <t>TOPSOIL</t>
  </si>
  <si>
    <t>CY</t>
  </si>
  <si>
    <t xml:space="preserve">Contract Bond </t>
  </si>
  <si>
    <t xml:space="preserve">REMOVAL OF STRUCTURE-SITE 1                       </t>
  </si>
  <si>
    <t xml:space="preserve">REMOVAL OF STRUCTURE-SITE 2                       </t>
  </si>
  <si>
    <t>BORROW-EXCAVATION</t>
  </si>
  <si>
    <t>ROADWAY OBLITERATION</t>
  </si>
  <si>
    <t>LF</t>
  </si>
  <si>
    <t>BOX CULVERT EXCAVATION</t>
  </si>
  <si>
    <t>EA</t>
  </si>
  <si>
    <t>FOUNDATION FILL</t>
  </si>
  <si>
    <t>FOUNDATION PREPARATION-BOX CULVERT</t>
  </si>
  <si>
    <t>EROSION CONTROL</t>
  </si>
  <si>
    <t>ACRE</t>
  </si>
  <si>
    <t>AGGREGATE BASE COURSE CL 5</t>
  </si>
  <si>
    <t>TON</t>
  </si>
  <si>
    <t>SALVAGED BASE COURSE</t>
  </si>
  <si>
    <t>TACK COAT</t>
  </si>
  <si>
    <t>GAL</t>
  </si>
  <si>
    <t>BLOTTER MATERIAL</t>
  </si>
  <si>
    <t>SUPERPAVE FAA 42</t>
  </si>
  <si>
    <t xml:space="preserve">CONCRETE MEDIAN PAVEMENT    </t>
  </si>
  <si>
    <t>SY</t>
  </si>
  <si>
    <t xml:space="preserve">9IN NON-REINF CONCRETE PVMT CL AE-DOWELED            </t>
  </si>
  <si>
    <t>12FT X 9 FT RCB CULVERT</t>
  </si>
  <si>
    <t>12 FT X 9 FT RCB END SECTION</t>
  </si>
  <si>
    <t>TRAFFIC CONTROL</t>
  </si>
  <si>
    <t>MOBILIZATION</t>
  </si>
  <si>
    <t>BITUMINOUS LABRORATORY</t>
  </si>
  <si>
    <t>GEOSYNTHETIC MATERIAL TYPE G</t>
  </si>
  <si>
    <t xml:space="preserve">STORM SEWER  </t>
  </si>
  <si>
    <t>LS</t>
  </si>
  <si>
    <t>Curb &amp; Gutter-Type I</t>
  </si>
  <si>
    <t xml:space="preserve">SIDEWALK CONCRETE 4IN                             </t>
  </si>
  <si>
    <t>FENCE</t>
  </si>
  <si>
    <t>SIGNING</t>
  </si>
  <si>
    <t xml:space="preserve">EPOXY PVMT MK 6IN LINE                            </t>
  </si>
  <si>
    <t>W-BEAM GUARDRAIL</t>
  </si>
  <si>
    <t>BRIDGE BENCH MARKS</t>
  </si>
  <si>
    <t>SET</t>
  </si>
  <si>
    <t>SETTLEMENT MITIGATION (GEOFOAM)</t>
  </si>
  <si>
    <t>I-29 BRIDGE</t>
  </si>
  <si>
    <t>SF</t>
  </si>
  <si>
    <t>BNSF BRIDGE</t>
  </si>
  <si>
    <t>Temporary ROW</t>
  </si>
  <si>
    <t>Acres</t>
  </si>
  <si>
    <t>Permanent ROW</t>
  </si>
  <si>
    <t>LIGHTING SYSTEM</t>
  </si>
  <si>
    <t>$175K ON 64TH</t>
  </si>
  <si>
    <t>UTILITIES ( IMPACTED UTILITIES)</t>
  </si>
  <si>
    <t>SUBTOTAL</t>
  </si>
  <si>
    <t>Construction Delivery</t>
  </si>
  <si>
    <t>Contingency</t>
  </si>
  <si>
    <t>Engineering</t>
  </si>
  <si>
    <t xml:space="preserve">TOTAL CONSTRUCTION ESTIMATE </t>
  </si>
  <si>
    <t>Lanes</t>
  </si>
  <si>
    <t>Crash Days</t>
  </si>
  <si>
    <t>RCV Factor</t>
  </si>
  <si>
    <t>Annual Wash</t>
  </si>
  <si>
    <t>Crack Seal</t>
  </si>
  <si>
    <t>Silane</t>
  </si>
  <si>
    <t>Subtotal</t>
  </si>
  <si>
    <t>Base Cost</t>
  </si>
  <si>
    <t>No  Build</t>
  </si>
  <si>
    <t>Annual Guardrail</t>
  </si>
  <si>
    <t>Car</t>
  </si>
  <si>
    <t>MPG Gasoline</t>
  </si>
  <si>
    <t>MPG Diesel</t>
  </si>
  <si>
    <t>Source</t>
  </si>
  <si>
    <t>Refuse Truck</t>
  </si>
  <si>
    <t>Class 8 Truck</t>
  </si>
  <si>
    <t>School Bus</t>
  </si>
  <si>
    <t>D</t>
  </si>
  <si>
    <t>Paratransit Shuttle</t>
  </si>
  <si>
    <t>Light Truck/Van</t>
  </si>
  <si>
    <t>Ridesourcing Vehicle</t>
  </si>
  <si>
    <t>E</t>
  </si>
  <si>
    <t>Delay (hrs)</t>
  </si>
  <si>
    <t>Per Veh Delay (sec)</t>
  </si>
  <si>
    <t>ECONOMIC COMPETITIVENESS - USER BENEFIT CALCULATION OF DELAY TRAVEL TIME SAVINGS</t>
  </si>
  <si>
    <t>Notes</t>
  </si>
  <si>
    <t>No Build Annual VHT</t>
  </si>
  <si>
    <t>Build Annual VHT</t>
  </si>
  <si>
    <t>Table 1 - Per-hour Travel Time Cost by Mode</t>
  </si>
  <si>
    <r>
      <t>Table 2 - Fleet Composition</t>
    </r>
    <r>
      <rPr>
        <b/>
        <vertAlign val="superscript"/>
        <sz val="11"/>
        <color theme="1"/>
        <rFont val="Aptos Narrow"/>
        <family val="2"/>
        <scheme val="minor"/>
      </rPr>
      <t>1</t>
    </r>
  </si>
  <si>
    <t>Table 3 - Vehicle Occupancy</t>
  </si>
  <si>
    <t>NDDOT traffic counts https://www.dot.nd.gov/construction-and-planning/planning-process/gis-and-mapping</t>
  </si>
  <si>
    <t>Yearly CO2 Emissions Savings in Current Dollars ($)</t>
  </si>
  <si>
    <r>
      <t>Table 1 - Pollution Emission by Mode (g/VMT)</t>
    </r>
    <r>
      <rPr>
        <b/>
        <vertAlign val="superscript"/>
        <sz val="11"/>
        <color theme="1"/>
        <rFont val="Aptos Narrow"/>
        <family val="2"/>
        <scheme val="minor"/>
      </rPr>
      <t>1</t>
    </r>
  </si>
  <si>
    <r>
      <t>Table 4 - MOVES Model Output (grams per VMT)</t>
    </r>
    <r>
      <rPr>
        <b/>
        <vertAlign val="superscript"/>
        <sz val="11"/>
        <color theme="1"/>
        <rFont val="Aptos Narrow"/>
        <family val="2"/>
        <scheme val="minor"/>
      </rPr>
      <t>1</t>
    </r>
  </si>
  <si>
    <t>Effective (tons)</t>
  </si>
  <si>
    <r>
      <t>Table 5 - Summary of MOVES Model Output (grams per VMT)</t>
    </r>
    <r>
      <rPr>
        <b/>
        <vertAlign val="superscript"/>
        <sz val="11"/>
        <color theme="1"/>
        <rFont val="Aptos Narrow"/>
        <family val="2"/>
        <scheme val="minor"/>
      </rPr>
      <t>1</t>
    </r>
  </si>
  <si>
    <r>
      <t>Table 3 - Average Gallons of Fuel Consumed Per Hour Idle</t>
    </r>
    <r>
      <rPr>
        <b/>
        <vertAlign val="superscript"/>
        <sz val="11"/>
        <color theme="1"/>
        <rFont val="Aptos Narrow"/>
        <family val="2"/>
        <scheme val="minor"/>
      </rPr>
      <t>2</t>
    </r>
  </si>
  <si>
    <t>*Note conservative estimate does not include trucks</t>
  </si>
  <si>
    <r>
      <t>Table 4 - Average MPG for VMT Equivalent</t>
    </r>
    <r>
      <rPr>
        <b/>
        <vertAlign val="superscript"/>
        <sz val="11"/>
        <color theme="1"/>
        <rFont val="Aptos Narrow"/>
        <family val="2"/>
        <scheme val="minor"/>
      </rPr>
      <t>3</t>
    </r>
  </si>
  <si>
    <t>U.S. Department of Energy, U.S. Department of Energy, Vehicle Technology Office, https://www.energy.gov/eere/vehicles/fact-861-february-23-2015-idle-fuel-consumption-selected-gasoline-and-diesel-vehicles</t>
  </si>
  <si>
    <r>
      <t>Table 7 - VMT Equivalent</t>
    </r>
    <r>
      <rPr>
        <b/>
        <vertAlign val="superscript"/>
        <sz val="11"/>
        <color theme="1"/>
        <rFont val="Aptos Narrow"/>
        <family val="2"/>
        <scheme val="minor"/>
      </rPr>
      <t>2, 3</t>
    </r>
  </si>
  <si>
    <t>1 hour delay is</t>
  </si>
  <si>
    <t>3)</t>
  </si>
  <si>
    <t>US Department of Energy, https://afdc.energy.gov/data/10310</t>
  </si>
  <si>
    <r>
      <t>Idle Consumption at Idle for Selected Gasoline and Diesel Vehicles</t>
    </r>
    <r>
      <rPr>
        <b/>
        <vertAlign val="superscript"/>
        <sz val="12"/>
        <rFont val="Arial"/>
        <family val="2"/>
      </rPr>
      <t>2</t>
    </r>
  </si>
  <si>
    <r>
      <t>Average Fuel Economy by Major Vehicle Category</t>
    </r>
    <r>
      <rPr>
        <b/>
        <vertAlign val="superscript"/>
        <sz val="12"/>
        <rFont val="Arial"/>
        <family val="2"/>
      </rPr>
      <t>3</t>
    </r>
  </si>
  <si>
    <t>Change in NOx 
($)</t>
  </si>
  <si>
    <t>Change in SO2
($)</t>
  </si>
  <si>
    <t>Change in PM
($)</t>
  </si>
  <si>
    <t>Yearly Emissions Savings in Current Dollars Non-CO2 Emissions ($)</t>
  </si>
  <si>
    <r>
      <t>VMT Equivilents</t>
    </r>
    <r>
      <rPr>
        <vertAlign val="superscript"/>
        <sz val="9"/>
        <color theme="1"/>
        <rFont val="Aptos Narrow"/>
        <family val="2"/>
        <scheme val="minor"/>
      </rPr>
      <t>2,3</t>
    </r>
    <r>
      <rPr>
        <sz val="9"/>
        <color theme="1"/>
        <rFont val="Aptos Narrow"/>
        <family val="2"/>
        <scheme val="minor"/>
      </rPr>
      <t xml:space="preserve"> (VHT Delay)</t>
    </r>
  </si>
  <si>
    <t>BIP 2024 BCA SUMMARY - INTERSTATE 29 - 40TH AVENUE INTERCHANGE</t>
  </si>
  <si>
    <t>Totals and Discounting</t>
  </si>
  <si>
    <t>Operations and Maintenance</t>
  </si>
  <si>
    <t>Frequency</t>
  </si>
  <si>
    <t xml:space="preserve">Condition-Based Preventative Maintenance </t>
  </si>
  <si>
    <t>Concrete Bridge Deck Overlay</t>
  </si>
  <si>
    <t>Concrete Bridge Deck Replacement</t>
  </si>
  <si>
    <t>Bridge Barrier/Railing Repairs</t>
  </si>
  <si>
    <t>Replace Approach Slabs</t>
  </si>
  <si>
    <t>Repair Bridge Expansion Joints</t>
  </si>
  <si>
    <t>Repair Slope Protection</t>
  </si>
  <si>
    <t>2051, 2076</t>
  </si>
  <si>
    <t>Concrete Substructure Repairs</t>
  </si>
  <si>
    <t>Every 25 years</t>
  </si>
  <si>
    <t>Once @ 25 Years</t>
  </si>
  <si>
    <t>Once @ 50 years</t>
  </si>
  <si>
    <t>NA - Assume Integral Abutments with No Expansion Joints</t>
  </si>
  <si>
    <t>NA - Concrete Girders - No Painting</t>
  </si>
  <si>
    <t>Every 25 Year</t>
  </si>
  <si>
    <t>Peak Hour Delay (hours)</t>
  </si>
  <si>
    <t>Intersection</t>
  </si>
  <si>
    <t>Roundabout</t>
  </si>
  <si>
    <t>Environmental and Safety Benefits</t>
  </si>
  <si>
    <t>Segment</t>
  </si>
  <si>
    <r>
      <t>Table 1 - Analysis Timeframe Assumptions</t>
    </r>
    <r>
      <rPr>
        <b/>
        <vertAlign val="superscript"/>
        <sz val="9"/>
        <color theme="1"/>
        <rFont val="Aptos Narrow"/>
        <family val="2"/>
        <scheme val="minor"/>
      </rPr>
      <t>1</t>
    </r>
  </si>
  <si>
    <r>
      <t>Weekdays in Traffic Analysis Year</t>
    </r>
    <r>
      <rPr>
        <vertAlign val="superscript"/>
        <sz val="9"/>
        <rFont val="Aptos Narrow"/>
        <family val="2"/>
        <scheme val="minor"/>
      </rPr>
      <t>2</t>
    </r>
  </si>
  <si>
    <t>52 weeks per year multiplied by 5 work days with 5 removed to represent holidays</t>
  </si>
  <si>
    <r>
      <t>Truck Percentage</t>
    </r>
    <r>
      <rPr>
        <vertAlign val="superscript"/>
        <sz val="9"/>
        <rFont val="Aptos Narrow"/>
        <family val="2"/>
        <scheme val="minor"/>
      </rPr>
      <t>3</t>
    </r>
  </si>
  <si>
    <r>
      <t>RAB KABC CMF</t>
    </r>
    <r>
      <rPr>
        <vertAlign val="superscript"/>
        <sz val="9"/>
        <color theme="1"/>
        <rFont val="Aptos Narrow"/>
        <family val="2"/>
        <scheme val="minor"/>
      </rPr>
      <t>2</t>
    </r>
  </si>
  <si>
    <t>CRASH AND SAFETY ANALYSIS</t>
  </si>
  <si>
    <t>CMF Link: https://www.cmfclearinghouse.org/detail.php?facid=11130</t>
  </si>
  <si>
    <t>CMF Link: https://www.cmfclearinghouse.org/detail.php?facid=11131</t>
  </si>
  <si>
    <t>6)</t>
  </si>
  <si>
    <t>Crash data provided by NDDOT</t>
  </si>
  <si>
    <t>Activity</t>
  </si>
  <si>
    <t xml:space="preserve">Unit Cost </t>
  </si>
  <si>
    <t>Structure</t>
  </si>
  <si>
    <t>Table 2. Approximate Structure Characteristics</t>
  </si>
  <si>
    <t>Real value of Right-of-Way is considered constant and other project elements residual values are calculated according to BCA Guidance</t>
  </si>
  <si>
    <t>Table 2. Construction Costs</t>
  </si>
  <si>
    <t xml:space="preserve">Table 1. Years of Construction </t>
  </si>
  <si>
    <t>Present Value RCV in (3.1%)</t>
  </si>
  <si>
    <r>
      <t>Table 1 - Effective Days and Peak Factor</t>
    </r>
    <r>
      <rPr>
        <b/>
        <vertAlign val="superscript"/>
        <sz val="11"/>
        <color theme="1"/>
        <rFont val="Aptos Narrow"/>
        <family val="2"/>
        <scheme val="minor"/>
      </rPr>
      <t>1</t>
    </r>
  </si>
  <si>
    <t>Maintenance costs and estimated schedules provided by NDDOT Bridge Division</t>
  </si>
  <si>
    <r>
      <t xml:space="preserve">Unless otherwise stated all constant values and methods used in the BCA are source from and/or consistent with methods outlined in </t>
    </r>
    <r>
      <rPr>
        <i/>
        <sz val="9"/>
        <color theme="1"/>
        <rFont val="Aptos Narrow"/>
        <family val="2"/>
        <scheme val="minor"/>
      </rPr>
      <t>Benefit-Cost Analysis Guidance for Discretionary Grant Programs</t>
    </r>
    <r>
      <rPr>
        <sz val="9"/>
        <color theme="1"/>
        <rFont val="Aptos Narrow"/>
        <family val="2"/>
        <scheme val="minor"/>
      </rPr>
      <t xml:space="preserve"> dated December 2023</t>
    </r>
  </si>
  <si>
    <t>Economic Competitiveness</t>
  </si>
  <si>
    <t>Table 3. Condition-Based Maintenance Schedule</t>
  </si>
  <si>
    <t>50 Year Maintenance Cost</t>
  </si>
  <si>
    <t>Once at 25 Year</t>
  </si>
  <si>
    <t>Once at 50 Years</t>
  </si>
  <si>
    <t>Real Value</t>
  </si>
  <si>
    <t>Table 5. Post Analysis Period Construction</t>
  </si>
  <si>
    <t>Build Cost</t>
  </si>
  <si>
    <t>Table 4. NDDOT CCI Inflation Deflators</t>
  </si>
  <si>
    <r>
      <t>OPERATIONS AND MAINTENANCE COSTS</t>
    </r>
    <r>
      <rPr>
        <b/>
        <vertAlign val="superscript"/>
        <sz val="9"/>
        <rFont val="Aptos Narrow"/>
        <family val="2"/>
        <scheme val="minor"/>
      </rPr>
      <t>1</t>
    </r>
  </si>
  <si>
    <r>
      <t xml:space="preserve">Table 3. Remaining Capital Value Factors </t>
    </r>
    <r>
      <rPr>
        <b/>
        <vertAlign val="superscript"/>
        <sz val="9"/>
        <color theme="1"/>
        <rFont val="Aptos Narrow"/>
        <family val="2"/>
        <scheme val="minor"/>
      </rPr>
      <t>1</t>
    </r>
  </si>
  <si>
    <t>Total Real Post Analysis Maintenance</t>
  </si>
  <si>
    <t>Weekday</t>
  </si>
  <si>
    <t>Weekend</t>
  </si>
  <si>
    <t>Weekend Volume</t>
  </si>
  <si>
    <t>Daily Factor</t>
  </si>
  <si>
    <t>ATR 513 - WFARGO_MAIN_ (U)</t>
  </si>
  <si>
    <t xml:space="preserve"> </t>
  </si>
  <si>
    <t>Old US 81</t>
  </si>
  <si>
    <t>Annual Delay VHT</t>
  </si>
  <si>
    <t>Length (ft)</t>
  </si>
  <si>
    <t>UNIT
PRICE</t>
  </si>
  <si>
    <t>Factors were calculated using ATR count data to form a annual and daily profile for the Fargo area. This profile was used with the results of peak hour modeling to estimate daily and annual delay from the PM and AM peak hour modeled data</t>
  </si>
  <si>
    <t>ATR 235 - FARGO_ (U)</t>
  </si>
  <si>
    <t>ATR Sites</t>
  </si>
  <si>
    <t>Bridge maintenance schedules based on existing No Build  year of 1983 and the Build is based on the 2026 build year.</t>
  </si>
  <si>
    <t>Annualization Factor</t>
  </si>
  <si>
    <t>NB Ramps</t>
  </si>
  <si>
    <t>SB Ramps</t>
  </si>
  <si>
    <t>Daily</t>
  </si>
  <si>
    <t>Annual</t>
  </si>
  <si>
    <t>Build 2045</t>
  </si>
  <si>
    <t>Model Growth Rate</t>
  </si>
  <si>
    <t>Entering ADT</t>
  </si>
  <si>
    <t>Southbound</t>
  </si>
  <si>
    <t>Northbound</t>
  </si>
  <si>
    <t>Pavement Preservation</t>
  </si>
  <si>
    <t>Delay</t>
  </si>
  <si>
    <t>Travel Time Savings</t>
  </si>
  <si>
    <t>Note: Assumed Construction years is 2026</t>
  </si>
  <si>
    <t>Steel Girder Paiting (Steel Beams Only)</t>
  </si>
  <si>
    <t>Cost/Unit</t>
  </si>
  <si>
    <t>Repair Bridge Bridge Bearings</t>
  </si>
  <si>
    <t>Unit</t>
  </si>
  <si>
    <t>NA - Assume Intergral Endwalls/Diaphragms with No Exposed Bearings</t>
  </si>
  <si>
    <t>40th Avenue Bridge/BNSF</t>
  </si>
  <si>
    <t>Average CCI inflation: 8% - source NDDOT</t>
  </si>
  <si>
    <r>
      <t>Vehicles</t>
    </r>
    <r>
      <rPr>
        <vertAlign val="superscript"/>
        <sz val="9"/>
        <rFont val="Arial"/>
        <family val="2"/>
      </rPr>
      <t>2</t>
    </r>
  </si>
  <si>
    <t>Vehicle values are summed from turning movement results from the traffic modeling performed as part of the project feasability analysis. Details and the full turning movement diagrams are found in the traffic modelign results performed for the project feasbility analysis. attached to the BCA narattive</t>
  </si>
  <si>
    <t>Entering traffic data was estimated using the traffic model analysis results from the project feasabiltiy report.</t>
  </si>
  <si>
    <t>Savings</t>
  </si>
  <si>
    <t>Pollutant</t>
  </si>
  <si>
    <r>
      <t>CO</t>
    </r>
    <r>
      <rPr>
        <vertAlign val="subscript"/>
        <sz val="11"/>
        <color theme="1"/>
        <rFont val="Aptos Narrow"/>
        <family val="2"/>
        <scheme val="minor"/>
      </rPr>
      <t>2</t>
    </r>
    <r>
      <rPr>
        <sz val="11"/>
        <color theme="1"/>
        <rFont val="Aptos Narrow"/>
        <family val="2"/>
        <scheme val="minor"/>
      </rPr>
      <t xml:space="preserve"> (ton)</t>
    </r>
  </si>
  <si>
    <r>
      <t>NO</t>
    </r>
    <r>
      <rPr>
        <vertAlign val="subscript"/>
        <sz val="11"/>
        <color theme="1"/>
        <rFont val="Aptos Narrow"/>
        <family val="2"/>
        <scheme val="minor"/>
      </rPr>
      <t>X</t>
    </r>
    <r>
      <rPr>
        <sz val="11"/>
        <color theme="1"/>
        <rFont val="Aptos Narrow"/>
        <family val="2"/>
        <scheme val="minor"/>
      </rPr>
      <t xml:space="preserve"> (ton)</t>
    </r>
  </si>
  <si>
    <r>
      <t>SO</t>
    </r>
    <r>
      <rPr>
        <vertAlign val="subscript"/>
        <sz val="11"/>
        <color theme="1"/>
        <rFont val="Aptos Narrow"/>
        <family val="2"/>
        <scheme val="minor"/>
      </rPr>
      <t>2</t>
    </r>
    <r>
      <rPr>
        <sz val="11"/>
        <color theme="1"/>
        <rFont val="Aptos Narrow"/>
        <family val="2"/>
        <scheme val="minor"/>
      </rPr>
      <t xml:space="preserve"> (kg)</t>
    </r>
  </si>
  <si>
    <r>
      <t>PM</t>
    </r>
    <r>
      <rPr>
        <vertAlign val="subscript"/>
        <sz val="11"/>
        <color theme="1"/>
        <rFont val="Aptos Narrow"/>
        <family val="2"/>
        <scheme val="minor"/>
      </rPr>
      <t>2.5</t>
    </r>
    <r>
      <rPr>
        <sz val="11"/>
        <color theme="1"/>
        <rFont val="Aptos Narrow"/>
        <family val="2"/>
        <scheme val="minor"/>
      </rPr>
      <t xml:space="preserve"> (kg)</t>
    </r>
  </si>
  <si>
    <t>Change</t>
  </si>
  <si>
    <t>Alternative</t>
  </si>
  <si>
    <t>Sq Yd</t>
  </si>
  <si>
    <t>Avoided</t>
  </si>
  <si>
    <t>Carsh Costs and Project Savings</t>
  </si>
  <si>
    <t>Table 1. Routine Maintenance Costs By Activity</t>
  </si>
  <si>
    <t>total</t>
  </si>
  <si>
    <t>Total Benefits</t>
  </si>
  <si>
    <r>
      <t>Frequency</t>
    </r>
    <r>
      <rPr>
        <i/>
        <vertAlign val="superscript"/>
        <sz val="11"/>
        <rFont val="Aptos Display"/>
        <family val="2"/>
        <scheme val="major"/>
      </rPr>
      <t>1</t>
    </r>
  </si>
  <si>
    <r>
      <t>Estimated Timeframe</t>
    </r>
    <r>
      <rPr>
        <i/>
        <vertAlign val="superscript"/>
        <sz val="11"/>
        <rFont val="Aptos Display"/>
        <family val="2"/>
        <scheme val="major"/>
      </rPr>
      <t>1</t>
    </r>
  </si>
  <si>
    <t>Total Cost (2022)$</t>
  </si>
  <si>
    <r>
      <t>BNSF Bridge Area/Length</t>
    </r>
    <r>
      <rPr>
        <vertAlign val="superscript"/>
        <sz val="11"/>
        <rFont val="Aptos Display"/>
        <family val="2"/>
        <scheme val="major"/>
      </rPr>
      <t>3</t>
    </r>
  </si>
  <si>
    <r>
      <t>Total</t>
    </r>
    <r>
      <rPr>
        <vertAlign val="superscript"/>
        <sz val="11"/>
        <rFont val="Aptos Display"/>
        <family val="2"/>
        <scheme val="major"/>
      </rPr>
      <t>3</t>
    </r>
  </si>
  <si>
    <r>
      <t>Interstate Overpass Area/Length</t>
    </r>
    <r>
      <rPr>
        <vertAlign val="superscript"/>
        <sz val="11"/>
        <rFont val="Aptos Display"/>
        <family val="2"/>
        <scheme val="major"/>
      </rPr>
      <t>3</t>
    </r>
  </si>
  <si>
    <t>Esitmated from aerial photography</t>
  </si>
  <si>
    <t>East of Interchange</t>
  </si>
  <si>
    <t>West of CR 81</t>
  </si>
  <si>
    <t>Sb On</t>
  </si>
  <si>
    <t>HCAADT</t>
  </si>
  <si>
    <t>Right</t>
  </si>
  <si>
    <t>Thru</t>
  </si>
  <si>
    <t>Left</t>
  </si>
  <si>
    <t>Eastbound</t>
  </si>
  <si>
    <t>Westbound</t>
  </si>
  <si>
    <t>Peak</t>
  </si>
  <si>
    <t>Ratio</t>
  </si>
  <si>
    <t>Phase 1</t>
  </si>
  <si>
    <t>1 construction season</t>
  </si>
  <si>
    <t>Phase 2,3,4</t>
  </si>
  <si>
    <t>2nd const</t>
  </si>
  <si>
    <t>Phase2</t>
  </si>
  <si>
    <t>Month</t>
  </si>
  <si>
    <t>Phase 3</t>
  </si>
  <si>
    <t>3  months</t>
  </si>
  <si>
    <t>North ramps</t>
  </si>
  <si>
    <t>Phase 4</t>
  </si>
  <si>
    <t>month</t>
  </si>
  <si>
    <t>Peaks</t>
  </si>
  <si>
    <t>Length</t>
  </si>
  <si>
    <t>Work Zone</t>
  </si>
  <si>
    <t>Impacted AADT</t>
  </si>
  <si>
    <t>Truck Prop</t>
  </si>
  <si>
    <t>Auto Wage</t>
  </si>
  <si>
    <t>Truck Wage</t>
  </si>
  <si>
    <t>Effective Wage</t>
  </si>
  <si>
    <t>Auto VOF</t>
  </si>
  <si>
    <t>Daily Cost</t>
  </si>
  <si>
    <t>FF Time</t>
  </si>
  <si>
    <t>WZ Time</t>
  </si>
  <si>
    <t>FF Cost Daily</t>
  </si>
  <si>
    <t>WZ Cost Daily</t>
  </si>
  <si>
    <t>FF Cost Annual</t>
  </si>
  <si>
    <t>WZ Cost Annual</t>
  </si>
  <si>
    <t>Annual Cost</t>
  </si>
  <si>
    <t>Season Weeks</t>
  </si>
  <si>
    <t>Season Prop of Annual</t>
  </si>
  <si>
    <t>Phase 1 Cost</t>
  </si>
  <si>
    <t>Veh Delay</t>
  </si>
  <si>
    <t>Total Delay</t>
  </si>
  <si>
    <t>Total Daily Delay</t>
  </si>
  <si>
    <t>Wage</t>
  </si>
  <si>
    <t>Total Detour Cost</t>
  </si>
  <si>
    <t xml:space="preserve">Phase 2 </t>
  </si>
  <si>
    <t xml:space="preserve">Phase 4 </t>
  </si>
  <si>
    <t>I 29 North Ramp Closure</t>
  </si>
  <si>
    <t>CR 81 North Closure</t>
  </si>
  <si>
    <t>CR 81 South Closure</t>
  </si>
  <si>
    <t>Current Route Speeds</t>
  </si>
  <si>
    <t>Detour Speeds</t>
  </si>
  <si>
    <t>Detour Speed</t>
  </si>
  <si>
    <t>Detour Travel Time</t>
  </si>
  <si>
    <t>Route Speed</t>
  </si>
  <si>
    <t>Route Travel Time</t>
  </si>
  <si>
    <t>Prop of Total</t>
  </si>
  <si>
    <t>Detour Route Speed</t>
  </si>
  <si>
    <t>Ramp Detour Cost</t>
  </si>
  <si>
    <t>CR 81 North Detour Cost</t>
  </si>
  <si>
    <t>PHASE 1</t>
  </si>
  <si>
    <t>PHASE 2 &amp; 4</t>
  </si>
  <si>
    <t>PHASE 3</t>
  </si>
  <si>
    <t>Auto AADT</t>
  </si>
  <si>
    <t>Truck AADT</t>
  </si>
  <si>
    <t>Construction Disbenefits</t>
  </si>
  <si>
    <t>Annual Weekday Delay</t>
  </si>
  <si>
    <t>Annual Weekend Delay</t>
  </si>
  <si>
    <t>Seconds Between Vehicles</t>
  </si>
  <si>
    <t>Hourly Volume</t>
  </si>
  <si>
    <t>Annual Weekdays</t>
  </si>
  <si>
    <t>Annual Holidays</t>
  </si>
  <si>
    <t>Annual Weekend Days</t>
  </si>
  <si>
    <t>Weekday Daily Delay</t>
  </si>
  <si>
    <t>Weekend Daily Delay</t>
  </si>
  <si>
    <t>Off Peak Daily Delay (hrs)</t>
  </si>
  <si>
    <t>AM + PM Daily Peak Delay</t>
  </si>
  <si>
    <t>ATR Weekday Hourly Proportion of Daily Volume</t>
  </si>
  <si>
    <t>Veh Delay (min)</t>
  </si>
  <si>
    <t>Total Daily Delay (hrs)</t>
  </si>
  <si>
    <t>Estimated Days in Phase</t>
  </si>
  <si>
    <t>40th Ave Work Zone Slowdown</t>
  </si>
  <si>
    <t>Table 4. GDP Deflators</t>
  </si>
  <si>
    <t>https://www.cmfclearinghouse.org/detail.php?facid=4927</t>
  </si>
  <si>
    <t>https://www.cmfclearinghouse.org/detail.php?facid=4926</t>
  </si>
  <si>
    <t>4)</t>
  </si>
  <si>
    <t>5)</t>
  </si>
  <si>
    <r>
      <t>RAB KABC CMF</t>
    </r>
    <r>
      <rPr>
        <vertAlign val="superscript"/>
        <sz val="9"/>
        <color theme="1"/>
        <rFont val="Aptos Narrow"/>
        <family val="2"/>
        <scheme val="minor"/>
      </rPr>
      <t>3</t>
    </r>
  </si>
  <si>
    <r>
      <t>RAB PDO CMF</t>
    </r>
    <r>
      <rPr>
        <vertAlign val="superscript"/>
        <sz val="9"/>
        <color theme="1"/>
        <rFont val="Aptos Narrow"/>
        <family val="2"/>
        <scheme val="minor"/>
      </rPr>
      <t>4</t>
    </r>
  </si>
  <si>
    <r>
      <t>RAB PDO CMF</t>
    </r>
    <r>
      <rPr>
        <vertAlign val="superscript"/>
        <sz val="9"/>
        <color theme="1"/>
        <rFont val="Aptos Narrow"/>
        <family val="2"/>
        <scheme val="minor"/>
      </rPr>
      <t>5</t>
    </r>
  </si>
  <si>
    <r>
      <t>Table 2. 2021 AADT Data</t>
    </r>
    <r>
      <rPr>
        <b/>
        <vertAlign val="superscript"/>
        <sz val="9"/>
        <color theme="1"/>
        <rFont val="Aptos Narrow"/>
        <family val="2"/>
        <scheme val="minor"/>
      </rPr>
      <t>3</t>
    </r>
  </si>
  <si>
    <r>
      <t>Table 1. Entering Traffic</t>
    </r>
    <r>
      <rPr>
        <b/>
        <vertAlign val="superscript"/>
        <sz val="9"/>
        <color theme="1"/>
        <rFont val="Aptos Narrow"/>
        <family val="2"/>
        <scheme val="minor"/>
      </rPr>
      <t>1</t>
    </r>
  </si>
  <si>
    <t>Table 2. Crash Analysis General Inputs</t>
  </si>
  <si>
    <t>Table 3. Crash Costs</t>
  </si>
  <si>
    <t>Table 4. Northbound Terminal Crash History</t>
  </si>
  <si>
    <t>Table 5. Southbound Terminal Crash History</t>
  </si>
  <si>
    <t>Table 6. Old US 81 and 40th Avenue Crash History</t>
  </si>
  <si>
    <t>*These values are avareged from the the 11 PM and 1 AM values. The ATR values during the midnight hour were much higher than this average and because this is counterintuative, this lower average was used to ensure the approach includes as realistic data as possible</t>
  </si>
  <si>
    <t>Figure 1 Hourly Volume  - Per Vehicle Delay Estimated Relationship</t>
  </si>
  <si>
    <t>Weekend/Weekday Delay</t>
  </si>
  <si>
    <t>Weekend Delay Days as Weekdays</t>
  </si>
  <si>
    <t>AM AADT Based on AM Model Volumes</t>
  </si>
  <si>
    <t>PM AADT Based on PM Model Volumes</t>
  </si>
  <si>
    <t>Est Daily AADT Calc</t>
  </si>
  <si>
    <t>Weekend ATR Total</t>
  </si>
  <si>
    <t>Weekday ATR Total</t>
  </si>
  <si>
    <t>Hour</t>
  </si>
  <si>
    <t>Modeled Veh/Hour</t>
  </si>
  <si>
    <t>Modeled Per Veh Delay</t>
  </si>
  <si>
    <t>Seconds Between Vehicle Arrival</t>
  </si>
  <si>
    <t>Weekend/Weekday Proportion</t>
  </si>
  <si>
    <t>AM Seconds Between Veh at Peak</t>
  </si>
  <si>
    <t>PM Seconds Between Veh at Peak</t>
  </si>
  <si>
    <t>ATR 235</t>
  </si>
  <si>
    <t>ATR 513</t>
  </si>
  <si>
    <t>Hour of Day</t>
  </si>
  <si>
    <t>12:00 AM*</t>
  </si>
  <si>
    <t>Free Flow Speed</t>
  </si>
  <si>
    <t>Work Zone Speed</t>
  </si>
  <si>
    <t>Truck %</t>
  </si>
  <si>
    <t>ADT Estimations Based on Intersection Turning Movements and NDDOT AADTs</t>
  </si>
  <si>
    <t>Modeled AM and PM Turning Movements</t>
  </si>
  <si>
    <t>AM Turning Movements</t>
  </si>
  <si>
    <t>PM Turning Movements</t>
  </si>
  <si>
    <t>Eastbound 40th Ave</t>
  </si>
  <si>
    <t>Sum</t>
  </si>
  <si>
    <t>ADT</t>
  </si>
  <si>
    <t>Westbound 40th Ave</t>
  </si>
  <si>
    <t>SB On Ramp</t>
  </si>
  <si>
    <t>I 29 SB Off Ramp</t>
  </si>
  <si>
    <t>I 29 NB Off Ramp</t>
  </si>
  <si>
    <t>I 29 NB On Ramp</t>
  </si>
  <si>
    <t>Totals</t>
  </si>
  <si>
    <t>40th Ave Westbound</t>
  </si>
  <si>
    <t>40th Ave Eastbound</t>
  </si>
  <si>
    <t>US 81 Southbound</t>
  </si>
  <si>
    <t>US 81 Northbound</t>
  </si>
  <si>
    <t>40th Ave</t>
  </si>
  <si>
    <t>Season 1</t>
  </si>
  <si>
    <t>Season 2</t>
  </si>
  <si>
    <t>Phase</t>
  </si>
  <si>
    <t>Seasons</t>
  </si>
  <si>
    <t>Construction Disbenefit</t>
  </si>
  <si>
    <t>Interstate 29</t>
  </si>
  <si>
    <t>The construction season in North Dakota is approximately 22 weeks long (March to October), and construction at the Interstate 29 and 40th Avenue interchange is scheduled to take place over two construction seasons. During the two construction seasons, vehicle delays will occur at varying intensities depending on which closures, detours, and work zone speeds will be necessary during each phase of construction. The length of construction season as well as the various average daily impact of the different phases of the project were considered when calculating construction disbenefits. Delay is expected to occur due to work zone speed reductions and limited detours related to road closures that will impact Old US 81, north and south of 40th Avenue, as well as the northbound ramps at Interstate 29.</t>
  </si>
  <si>
    <t>Intersection delays were modeled for the year 2028 as part of the transportation traffic control plan. NDDOT requires construction project plans include a temporary traffic management plan showing delay will not increase more than 15 minutes because of the construction. Delay resulting from changes in intersection level operations, independent of work zone speed delays, was modeled and operations level impacts were determined to be insignificant, therefore, these delays were not included in the construction disbenefit calculations.</t>
  </si>
  <si>
    <t>Construction disbenefits were calculated to reflect expected work zone speeds during construction on 40th Ave and longer travel times due to detours during the closures on US 81 and the northbound Interstate 29 ramps compared to the observed free flow speeds at the interchange. For the first and second construction season, 40th Ave will have a work zone speed from east of the southbound Interstate 29 ramps to west of US 81. This speed is expected to be 30 mph instead of 40 mph. During the second construction season, there will be two respective one-month-long closures on US 81 north and south of 40th Avenue. There will also be a three-month closure of the northbound Interstate 29 ramps.</t>
  </si>
  <si>
    <t>Work zone delay was incorporated as a construction disbenefit using the same monetization process as was used in the delay reduction benefit calculations. This means benefits from Build delay reductions and construction disbenefits were valued in the same way.</t>
  </si>
  <si>
    <t>NOTES</t>
  </si>
  <si>
    <t>NDDOT Traffic count data available from their web map https://gis.dot.nd.gov/external/ge_html/?viewer=ext_transinfo data from the Nation Bridge Inventory does not take into account the Amazon warehouse facility that opened near the interchange 2021. NDDOT counts reflect the impact of the new facility on the interchange</t>
  </si>
  <si>
    <t>The project planning process included creating models of traffic delay under the Build and No Build scenarios at Interstate 29 and 40th Avenue, and this modeling found significant increases in peak hour congestion under the No Build scenario compared to the Build scenario.</t>
  </si>
  <si>
    <t>The previously performed modeling focused on two peak hours, one in the morning and one in the afternoon, but delay increases in the No Build scenario are also expected during the off-peak hours. Off-peak travel delay was accounted for in the BCA while considering the lower travel demand during the off-peak hours. Additionally, the traffic models only reflect non-holiday weekdays but delay on weekends also needs to be included in an annual estimation of delay for the BCA. To annualize daily delay estimates, the expected difference in delay between the weekend and weekdays was estimated by comparing daily travel demand profiles of average weekday and weekend days in Fargo-Moorhead.</t>
  </si>
  <si>
    <t>Estimating delay throughout the entire day was achieved by calculating a “peak hour factor” that shows the ratio of combined AM and PM peak hour delay to the delay from the rest of the day. The peak hour factor estimation process includes finding a mathematical function for average delay per vehicle at the interchange and then using this function to estimate the relationship between peak hour and off-peak delay.</t>
  </si>
  <si>
    <t>Delay per vehicle was based on the estimated time between vehicles arriving at the Interstate 29 interchange ramp terminals. The intersections at the ramp terminals and the intersection of 40th Avenue and Old US 81 are stop-controlled and so delay per vehicle was estimated based on the average number of seconds between vehicles arriving at these intersections. A stop at a stop-sign without any conflicting traffic on the mainline could take somewhere between three and six seconds to perform, when vehicles are arriving at intervals faster than this, a queue forms; delay begins to occur even without any traffic on 40th Avenue. As the traffic on 40th Avenue increases, queuing and delays from the stop-controlled intersections also increase.</t>
  </si>
  <si>
    <t>An equation was estimated relating the demand at the interchange to the average number of seconds between arriving vehicles to average per vehicle delay at the interchange. Then average per vehicle delay was estimated for each hour based on the intensity of arrivals at the intersections, this value was multiplied by the demand during that hour to estimate total delay. This allows for an estimation of the ratio between off peak and peak delays which allows for estimating the daily delay based on the sum of the AM and PM peak hour delay modeled as part of the project planning effort.</t>
  </si>
  <si>
    <t>Per vehicle delay calculations were performed to find the peak hour factor necessary to approximating daily delay from the AM and PM peak hour modeled delay. These calculations do not directly estimate delay valued in the BCA and are not intended to represent a complete approach to estimating per vehicle delay at this interchange.</t>
  </si>
  <si>
    <t>The daily delay was annualized and monetized in the BCA by multiplying the daily difference in VHT under the No Build compared to Build by an annualization factor estimate from ATR count data. A relative lack of data has forced a conservative approach for this estimation, and it is likely that even more delay will be present under the No Build scenario than was valued within this BCA.</t>
  </si>
  <si>
    <t>After daily delay has been estimated, estimates need to be annualized to represent an entire year’s worth of delay. The model values used to estimate daily delays reflect a “typical” non-holiday weekday. In 52 weeks, there are 260 weekdays. If 5 days are holidays, then the total number of non-holiday weekdays in a year is 255, so multiplying the estimated daily delay by 255 would be the total delay on non-holiday weekdays throughout a year. But there are also 104 weekend days in 52 weeks, and assuming zero delay for all hours of the weekend does not reflect traffic operations at an interstate interchange in an urban area like Fargo-Moorhead, so a weekend day versus weekday factor was calculated to estimate the total delay on the 104 weekend days.</t>
  </si>
  <si>
    <t>Using continuous traffic counts from nearby automatic traffic recorders (ATRs) hourly travel demand data for all days in 2023 was summarized for weekdays and weekends. Then hourly weekend demand was estimated by dividing average hourly weekend demand by average hourly weekday demand at the ATRs and multiplying this value by the corresponding hourly weekday traffic counts at the interchange.</t>
  </si>
  <si>
    <t>Each estimate of hourly weekday demand was input into the same delay estimation function that was used to estimate weekday delay as part of peak hour factor calculations. While travel demand may differ between the weekdays and the weekends, at a stop-controlled intersection the average delay per vehicle is based on how often vehicles arrive at the intersection. This relationship should remain consistent regardless of the day of the week that is being analyzed, the primary determining factor of delay is how often vehicles arrive and how long it takes to execute a stop at a stop sign. This means a smooth mathematical relationship describing time between arriving vehicles and per vehicle delay should be consistent between a weekday and a weekend day.</t>
  </si>
  <si>
    <t>Daily weekend delay was calculated by summing all weekend day hourly delay estimates, then daily weekend delay was divided by the weekday delay which resulted in a value of 0.13. This means that an average weekend day has about 13% of the total congestion as an average weekday. This proportion was multiplied by the number of weekend days in 52 weeks, 104, to estimate the effective number of non-holiday weekdays while considering the difference between weekday and weekend daily delay.</t>
  </si>
  <si>
    <t>This analysis found that adding up all the delay during the 104 weekend days throughout an entire year would be about the same as the delay during 13 weekdays, so to calculate annual delay the 255 non-holiday weekdays was increased by a value equivalent to the delay during the weekends, 13 weekdays. This effectively means that there are about 268 non-holiday weekdays worth of delay per year at the interchange. The annualization factor is equal to the equivalent number of days, 268, and multiplying this factor by the daily weekday delay calculates the total annual delay at the interchange.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</si>
</sst>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2">
    <numFmt numFmtId="6" formatCode="&quot;$&quot;#,##0_);[Red]\(&quot;$&quot;#,##0\)"/>
    <numFmt numFmtId="8" formatCode="&quot;$&quot;#,##0.00_);[Red]\(&quot;$&quot;#,##0.00\)"/>
    <numFmt numFmtId="44" formatCode="_(&quot;$&quot;* #,##0.00_);_(&quot;$&quot;* \(#,##0.00\);_(&quot;$&quot;* &quot;-&quot;??_);_(@_)"/>
    <numFmt numFmtId="43" formatCode="_(* #,##0.00_);_(* \(#,##0.00\);_(* &quot;-&quot;??_);_(@_)"/>
    <numFmt numFmtId="164" formatCode="_(* #,##0_);_(* \(#,##0\);_(* &quot;-&quot;??_);_(@_)"/>
    <numFmt numFmtId="165" formatCode="&quot;$&quot;#,##0.00"/>
    <numFmt numFmtId="166" formatCode="&quot;$&quot;#,##0"/>
    <numFmt numFmtId="167" formatCode="0.0%"/>
    <numFmt numFmtId="168" formatCode="0.0"/>
    <numFmt numFmtId="169" formatCode="0.000"/>
    <numFmt numFmtId="170" formatCode="0.00000"/>
    <numFmt numFmtId="171" formatCode="_(&quot;$&quot;* #,##0_);_(&quot;$&quot;* \(#,##0\);_(&quot;$&quot;* &quot;-&quot;??_);_(@_)"/>
    <numFmt numFmtId="172" formatCode="&quot;$&quot;#,##0.0"/>
    <numFmt numFmtId="173" formatCode="#,##0.000"/>
    <numFmt numFmtId="174" formatCode="0.0000"/>
    <numFmt numFmtId="175" formatCode="#,##0.0"/>
    <numFmt numFmtId="176" formatCode="0.0_)"/>
    <numFmt numFmtId="177" formatCode="#,##0.00000"/>
    <numFmt numFmtId="178" formatCode="0E+00"/>
    <numFmt numFmtId="179" formatCode="0000"/>
    <numFmt numFmtId="180" formatCode="0_);\(0\)"/>
    <numFmt numFmtId="181" formatCode="0.000000000000000"/>
  </numFmts>
  <fonts count="59" x14ac:knownFonts="1">
    <font>
      <sz val="11"/>
      <color theme="1"/>
      <name val="Aptos Narrow"/>
      <family val="2"/>
      <scheme val="minor"/>
    </font>
    <font>
      <sz val="11"/>
      <color theme="1"/>
      <name val="Aptos Narrow"/>
      <family val="2"/>
      <scheme val="minor"/>
    </font>
    <font>
      <sz val="11"/>
      <color rgb="FFFF0000"/>
      <name val="Aptos Narrow"/>
      <family val="2"/>
      <scheme val="minor"/>
    </font>
    <font>
      <b/>
      <sz val="11"/>
      <color theme="1"/>
      <name val="Aptos Narrow"/>
      <family val="2"/>
      <scheme val="minor"/>
    </font>
    <font>
      <sz val="11"/>
      <color theme="0" tint="-0.34998626667073579"/>
      <name val="Aptos Narrow"/>
      <family val="2"/>
      <scheme val="minor"/>
    </font>
    <font>
      <sz val="9"/>
      <name val="Arial"/>
      <family val="2"/>
    </font>
    <font>
      <b/>
      <sz val="9"/>
      <name val="Arial"/>
      <family val="2"/>
    </font>
    <font>
      <sz val="10"/>
      <name val="Arial"/>
      <family val="2"/>
    </font>
    <font>
      <b/>
      <sz val="14"/>
      <color theme="1"/>
      <name val="Aptos Narrow"/>
      <family val="2"/>
      <scheme val="minor"/>
    </font>
    <font>
      <b/>
      <vertAlign val="superscript"/>
      <sz val="11"/>
      <color theme="1"/>
      <name val="Aptos Narrow"/>
      <family val="2"/>
      <scheme val="minor"/>
    </font>
    <font>
      <b/>
      <sz val="9"/>
      <color theme="1"/>
      <name val="Aptos Narrow"/>
      <family val="2"/>
      <scheme val="minor"/>
    </font>
    <font>
      <sz val="9"/>
      <color theme="1"/>
      <name val="Aptos Narrow"/>
      <family val="2"/>
      <scheme val="minor"/>
    </font>
    <font>
      <sz val="9"/>
      <name val="Aptos Narrow"/>
      <family val="2"/>
      <scheme val="minor"/>
    </font>
    <font>
      <sz val="11"/>
      <color theme="2"/>
      <name val="Aptos Narrow"/>
      <family val="2"/>
      <scheme val="minor"/>
    </font>
    <font>
      <b/>
      <sz val="18"/>
      <color theme="1"/>
      <name val="Aptos Narrow"/>
      <family val="2"/>
      <scheme val="minor"/>
    </font>
    <font>
      <b/>
      <sz val="12"/>
      <color theme="1"/>
      <name val="Aptos Narrow"/>
      <family val="2"/>
      <scheme val="minor"/>
    </font>
    <font>
      <sz val="11"/>
      <color theme="0" tint="-4.9989318521683403E-2"/>
      <name val="Aptos Narrow"/>
      <family val="2"/>
      <scheme val="minor"/>
    </font>
    <font>
      <sz val="9"/>
      <color rgb="FF0070C0"/>
      <name val="Aptos Narrow"/>
      <family val="2"/>
      <scheme val="minor"/>
    </font>
    <font>
      <sz val="9"/>
      <color theme="0" tint="-0.249977111117893"/>
      <name val="Aptos Narrow"/>
      <family val="2"/>
      <scheme val="minor"/>
    </font>
    <font>
      <sz val="11"/>
      <color theme="0" tint="-0.249977111117893"/>
      <name val="Aptos Narrow"/>
      <family val="2"/>
      <scheme val="minor"/>
    </font>
    <font>
      <sz val="9"/>
      <color theme="0" tint="-0.34998626667073579"/>
      <name val="Aptos Narrow"/>
      <family val="2"/>
      <scheme val="minor"/>
    </font>
    <font>
      <sz val="10"/>
      <color rgb="FF000000"/>
      <name val="Times New Roman"/>
      <family val="1"/>
    </font>
    <font>
      <vertAlign val="superscript"/>
      <sz val="9"/>
      <color theme="1"/>
      <name val="Aptos Narrow"/>
      <family val="2"/>
      <scheme val="minor"/>
    </font>
    <font>
      <u/>
      <sz val="11"/>
      <color theme="10"/>
      <name val="Aptos Narrow"/>
      <family val="2"/>
      <scheme val="minor"/>
    </font>
    <font>
      <b/>
      <vertAlign val="subscript"/>
      <sz val="11"/>
      <color theme="1"/>
      <name val="Aptos Narrow"/>
      <family val="2"/>
      <scheme val="minor"/>
    </font>
    <font>
      <sz val="9"/>
      <color rgb="FFFF0000"/>
      <name val="Aptos Narrow"/>
      <family val="2"/>
      <scheme val="minor"/>
    </font>
    <font>
      <sz val="12"/>
      <name val="Arial"/>
      <family val="2"/>
    </font>
    <font>
      <u/>
      <sz val="10"/>
      <color indexed="12"/>
      <name val="Arial"/>
      <family val="2"/>
    </font>
    <font>
      <b/>
      <sz val="12"/>
      <name val="Arial"/>
      <family val="2"/>
    </font>
    <font>
      <sz val="9"/>
      <color rgb="FF000000"/>
      <name val="Arial"/>
      <family val="2"/>
    </font>
    <font>
      <sz val="12"/>
      <name val="Tahoma"/>
      <family val="2"/>
    </font>
    <font>
      <sz val="11"/>
      <color rgb="FF000000"/>
      <name val="Calibri"/>
      <family val="2"/>
    </font>
    <font>
      <sz val="11"/>
      <color rgb="FF000000"/>
      <name val="Arial"/>
      <family val="2"/>
    </font>
    <font>
      <b/>
      <u/>
      <sz val="12"/>
      <name val="Arial"/>
      <family val="2"/>
    </font>
    <font>
      <sz val="12"/>
      <color rgb="FFFF0000"/>
      <name val="Arial"/>
      <family val="2"/>
    </font>
    <font>
      <sz val="10"/>
      <color theme="1"/>
      <name val="Arial"/>
      <family val="2"/>
    </font>
    <font>
      <b/>
      <sz val="10"/>
      <name val="Arial"/>
      <family val="2"/>
    </font>
    <font>
      <vertAlign val="superscript"/>
      <sz val="9"/>
      <name val="Aptos Narrow"/>
      <family val="2"/>
      <scheme val="minor"/>
    </font>
    <font>
      <b/>
      <vertAlign val="superscript"/>
      <sz val="12"/>
      <name val="Arial"/>
      <family val="2"/>
    </font>
    <font>
      <b/>
      <vertAlign val="superscript"/>
      <sz val="9"/>
      <color theme="1"/>
      <name val="Aptos Narrow"/>
      <family val="2"/>
      <scheme val="minor"/>
    </font>
    <font>
      <i/>
      <sz val="9"/>
      <color theme="1"/>
      <name val="Aptos Narrow"/>
      <family val="2"/>
      <scheme val="minor"/>
    </font>
    <font>
      <sz val="9"/>
      <color rgb="FF000000"/>
      <name val="Times New Roman"/>
      <family val="1"/>
    </font>
    <font>
      <b/>
      <sz val="9"/>
      <name val="Aptos Narrow"/>
      <family val="2"/>
      <scheme val="minor"/>
    </font>
    <font>
      <b/>
      <vertAlign val="superscript"/>
      <sz val="9"/>
      <name val="Aptos Narrow"/>
      <family val="2"/>
      <scheme val="minor"/>
    </font>
    <font>
      <sz val="12"/>
      <color theme="1"/>
      <name val="Arial"/>
      <family val="2"/>
    </font>
    <font>
      <b/>
      <sz val="9"/>
      <color indexed="81"/>
      <name val="Tahoma"/>
      <family val="2"/>
    </font>
    <font>
      <sz val="9"/>
      <color indexed="81"/>
      <name val="Tahoma"/>
      <family val="2"/>
    </font>
    <font>
      <i/>
      <sz val="9"/>
      <color theme="1"/>
      <name val="Arial"/>
      <family val="2"/>
    </font>
    <font>
      <vertAlign val="superscript"/>
      <sz val="9"/>
      <name val="Arial"/>
      <family val="2"/>
    </font>
    <font>
      <vertAlign val="subscript"/>
      <sz val="11"/>
      <color theme="1"/>
      <name val="Aptos Narrow"/>
      <family val="2"/>
      <scheme val="minor"/>
    </font>
    <font>
      <i/>
      <sz val="11"/>
      <name val="Aptos Display"/>
      <family val="2"/>
      <scheme val="major"/>
    </font>
    <font>
      <sz val="11"/>
      <name val="Aptos Display"/>
      <family val="2"/>
      <scheme val="major"/>
    </font>
    <font>
      <i/>
      <vertAlign val="superscript"/>
      <sz val="11"/>
      <name val="Aptos Display"/>
      <family val="2"/>
      <scheme val="major"/>
    </font>
    <font>
      <vertAlign val="superscript"/>
      <sz val="11"/>
      <name val="Aptos Display"/>
      <family val="2"/>
      <scheme val="major"/>
    </font>
    <font>
      <b/>
      <sz val="11"/>
      <color rgb="FFFA7D00"/>
      <name val="Aptos Narrow"/>
      <family val="2"/>
      <scheme val="minor"/>
    </font>
    <font>
      <b/>
      <sz val="16"/>
      <color theme="1"/>
      <name val="Aptos Narrow"/>
      <family val="2"/>
      <scheme val="minor"/>
    </font>
    <font>
      <sz val="11"/>
      <color rgb="FF3F3F76"/>
      <name val="Aptos Narrow"/>
      <family val="2"/>
      <scheme val="minor"/>
    </font>
    <font>
      <i/>
      <sz val="11"/>
      <color theme="1"/>
      <name val="Aptos Narrow"/>
      <family val="2"/>
      <scheme val="minor"/>
    </font>
    <font>
      <sz val="8"/>
      <name val="Aptos Narrow"/>
      <family val="2"/>
      <scheme val="minor"/>
    </font>
  </fonts>
  <fills count="14">
    <fill>
      <patternFill patternType="none"/>
    </fill>
    <fill>
      <patternFill patternType="gray125"/>
    </fill>
    <fill>
      <patternFill patternType="solid">
        <fgColor theme="0" tint="-4.9989318521683403E-2"/>
        <bgColor indexed="64"/>
      </patternFill>
    </fill>
    <fill>
      <patternFill patternType="solid">
        <fgColor theme="0" tint="-0.249977111117893"/>
        <bgColor indexed="64"/>
      </patternFill>
    </fill>
    <fill>
      <patternFill patternType="solid">
        <fgColor rgb="FFFFC000"/>
        <bgColor rgb="FF000000"/>
      </patternFill>
    </fill>
    <fill>
      <patternFill patternType="solid">
        <fgColor rgb="FFFFFF00"/>
        <bgColor rgb="FF000000"/>
      </patternFill>
    </fill>
    <fill>
      <patternFill patternType="solid">
        <fgColor rgb="FFD9D9D9"/>
        <bgColor rgb="FF000000"/>
      </patternFill>
    </fill>
    <fill>
      <patternFill patternType="solid">
        <fgColor rgb="FF70AD47"/>
        <bgColor rgb="FF000000"/>
      </patternFill>
    </fill>
    <fill>
      <patternFill patternType="solid">
        <fgColor theme="4" tint="0.79998168889431442"/>
        <bgColor theme="4" tint="0.79998168889431442"/>
      </patternFill>
    </fill>
    <fill>
      <patternFill patternType="solid">
        <fgColor theme="0" tint="-0.14999847407452621"/>
        <bgColor theme="0" tint="-0.14999847407452621"/>
      </patternFill>
    </fill>
    <fill>
      <patternFill patternType="solid">
        <fgColor rgb="FFF2F2F2"/>
      </patternFill>
    </fill>
    <fill>
      <patternFill patternType="solid">
        <fgColor theme="2"/>
        <bgColor indexed="64"/>
      </patternFill>
    </fill>
    <fill>
      <patternFill patternType="solid">
        <fgColor theme="4"/>
        <bgColor indexed="64"/>
      </patternFill>
    </fill>
    <fill>
      <patternFill patternType="solid">
        <fgColor rgb="FFFFCC99"/>
      </patternFill>
    </fill>
  </fills>
  <borders count="89">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right/>
      <top/>
      <bottom style="medium">
        <color indexed="64"/>
      </bottom>
      <diagonal/>
    </border>
    <border>
      <left style="medium">
        <color indexed="64"/>
      </left>
      <right style="medium">
        <color indexed="64"/>
      </right>
      <top style="medium">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style="medium">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rgb="FF000000"/>
      </left>
      <right style="thin">
        <color rgb="FF000000"/>
      </right>
      <top style="thin">
        <color rgb="FF000000"/>
      </top>
      <bottom style="thin">
        <color rgb="FF000000"/>
      </bottom>
      <diagonal/>
    </border>
    <border>
      <left/>
      <right style="thin">
        <color rgb="FF000000"/>
      </right>
      <top style="thin">
        <color rgb="FF000000"/>
      </top>
      <bottom style="thin">
        <color rgb="FF000000"/>
      </bottom>
      <diagonal/>
    </border>
    <border>
      <left style="medium">
        <color indexed="64"/>
      </left>
      <right style="medium">
        <color indexed="64"/>
      </right>
      <top style="thin">
        <color indexed="64"/>
      </top>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right style="thin">
        <color indexed="64"/>
      </right>
      <top style="medium">
        <color indexed="64"/>
      </top>
      <bottom/>
      <diagonal/>
    </border>
    <border>
      <left/>
      <right style="thin">
        <color indexed="64"/>
      </right>
      <top/>
      <bottom style="medium">
        <color indexed="64"/>
      </bottom>
      <diagonal/>
    </border>
    <border>
      <left/>
      <right style="thin">
        <color indexed="64"/>
      </right>
      <top style="medium">
        <color indexed="64"/>
      </top>
      <bottom style="thin">
        <color indexed="64"/>
      </bottom>
      <diagonal/>
    </border>
    <border>
      <left/>
      <right style="thin">
        <color indexed="64"/>
      </right>
      <top style="thin">
        <color indexed="64"/>
      </top>
      <bottom style="medium">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style="thin">
        <color indexed="64"/>
      </left>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top/>
      <bottom/>
      <diagonal/>
    </border>
    <border>
      <left style="medium">
        <color indexed="64"/>
      </left>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thin">
        <color indexed="64"/>
      </right>
      <top style="thin">
        <color indexed="64"/>
      </top>
      <bottom style="double">
        <color indexed="64"/>
      </bottom>
      <diagonal/>
    </border>
    <border>
      <left style="medium">
        <color indexed="64"/>
      </left>
      <right style="thin">
        <color indexed="64"/>
      </right>
      <top style="double">
        <color indexed="64"/>
      </top>
      <bottom style="thin">
        <color indexed="64"/>
      </bottom>
      <diagonal/>
    </border>
    <border>
      <left/>
      <right/>
      <top style="thin">
        <color rgb="FF000000"/>
      </top>
      <bottom style="thin">
        <color rgb="FF000000"/>
      </bottom>
      <diagonal/>
    </border>
    <border>
      <left style="medium">
        <color indexed="64"/>
      </left>
      <right/>
      <top style="medium">
        <color indexed="64"/>
      </top>
      <bottom style="thin">
        <color indexed="64"/>
      </bottom>
      <diagonal/>
    </border>
    <border>
      <left style="medium">
        <color indexed="64"/>
      </left>
      <right/>
      <top style="thin">
        <color indexed="64"/>
      </top>
      <bottom/>
      <diagonal/>
    </border>
    <border>
      <left style="thin">
        <color indexed="64"/>
      </left>
      <right style="thin">
        <color indexed="64"/>
      </right>
      <top/>
      <bottom/>
      <diagonal/>
    </border>
    <border>
      <left/>
      <right style="thin">
        <color auto="1"/>
      </right>
      <top style="thin">
        <color auto="1"/>
      </top>
      <bottom/>
      <diagonal/>
    </border>
    <border>
      <left/>
      <right/>
      <top/>
      <bottom style="thin">
        <color indexed="64"/>
      </bottom>
      <diagonal/>
    </border>
    <border>
      <left style="medium">
        <color indexed="64"/>
      </left>
      <right style="thin">
        <color indexed="64"/>
      </right>
      <top/>
      <bottom/>
      <diagonal/>
    </border>
    <border>
      <left style="thin">
        <color indexed="64"/>
      </left>
      <right style="medium">
        <color indexed="64"/>
      </right>
      <top/>
      <bottom/>
      <diagonal/>
    </border>
    <border>
      <left/>
      <right/>
      <top style="medium">
        <color indexed="64"/>
      </top>
      <bottom style="thin">
        <color indexed="64"/>
      </bottom>
      <diagonal/>
    </border>
    <border>
      <left style="thin">
        <color indexed="64"/>
      </left>
      <right/>
      <top/>
      <bottom/>
      <diagonal/>
    </border>
    <border>
      <left/>
      <right/>
      <top style="medium">
        <color indexed="64"/>
      </top>
      <bottom/>
      <diagonal/>
    </border>
    <border>
      <left/>
      <right style="medium">
        <color indexed="64"/>
      </right>
      <top/>
      <bottom/>
      <diagonal/>
    </border>
    <border>
      <left/>
      <right style="thin">
        <color indexed="64"/>
      </right>
      <top style="thin">
        <color rgb="FF000000"/>
      </top>
      <bottom style="thin">
        <color rgb="FF000000"/>
      </bottom>
      <diagonal/>
    </border>
    <border>
      <left style="thin">
        <color indexed="64"/>
      </left>
      <right style="thin">
        <color indexed="64"/>
      </right>
      <top style="thin">
        <color rgb="FF000000"/>
      </top>
      <bottom style="thin">
        <color rgb="FF000000"/>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style="thin">
        <color indexed="64"/>
      </left>
      <right style="thin">
        <color indexed="64"/>
      </right>
      <top style="medium">
        <color indexed="64"/>
      </top>
      <bottom style="medium">
        <color indexed="64"/>
      </bottom>
      <diagonal/>
    </border>
    <border>
      <left/>
      <right/>
      <top style="thin">
        <color indexed="64"/>
      </top>
      <bottom style="medium">
        <color indexed="64"/>
      </bottom>
      <diagonal/>
    </border>
    <border>
      <left/>
      <right/>
      <top style="medium">
        <color rgb="FF000000"/>
      </top>
      <bottom/>
      <diagonal/>
    </border>
    <border>
      <left/>
      <right style="medium">
        <color indexed="64"/>
      </right>
      <top style="medium">
        <color rgb="FF000000"/>
      </top>
      <bottom/>
      <diagonal/>
    </border>
    <border>
      <left style="thin">
        <color rgb="FF000000"/>
      </left>
      <right style="medium">
        <color indexed="64"/>
      </right>
      <top style="thin">
        <color rgb="FF000000"/>
      </top>
      <bottom style="thin">
        <color rgb="FF000000"/>
      </bottom>
      <diagonal/>
    </border>
    <border>
      <left style="thin">
        <color rgb="FF000000"/>
      </left>
      <right style="medium">
        <color indexed="64"/>
      </right>
      <top/>
      <bottom style="thin">
        <color rgb="FF000000"/>
      </bottom>
      <diagonal/>
    </border>
    <border>
      <left style="medium">
        <color indexed="64"/>
      </left>
      <right style="thin">
        <color rgb="FF000000"/>
      </right>
      <top style="thin">
        <color rgb="FF000000"/>
      </top>
      <bottom style="thin">
        <color rgb="FF000000"/>
      </bottom>
      <diagonal/>
    </border>
    <border>
      <left/>
      <right style="medium">
        <color indexed="64"/>
      </right>
      <top style="thin">
        <color rgb="FF000000"/>
      </top>
      <bottom style="thin">
        <color rgb="FF000000"/>
      </bottom>
      <diagonal/>
    </border>
    <border>
      <left/>
      <right style="medium">
        <color indexed="64"/>
      </right>
      <top/>
      <bottom style="thin">
        <color indexed="64"/>
      </bottom>
      <diagonal/>
    </border>
    <border>
      <left style="thin">
        <color rgb="FF7F7F7F"/>
      </left>
      <right style="thin">
        <color rgb="FF7F7F7F"/>
      </right>
      <top style="thin">
        <color rgb="FF7F7F7F"/>
      </top>
      <bottom style="thin">
        <color rgb="FF7F7F7F"/>
      </bottom>
      <diagonal/>
    </border>
    <border>
      <left style="thin">
        <color indexed="64"/>
      </left>
      <right/>
      <top style="thin">
        <color indexed="64"/>
      </top>
      <bottom/>
      <diagonal/>
    </border>
    <border>
      <left/>
      <right/>
      <top style="thin">
        <color indexed="64"/>
      </top>
      <bottom/>
      <diagonal/>
    </border>
    <border>
      <left/>
      <right style="thin">
        <color indexed="64"/>
      </right>
      <top/>
      <bottom/>
      <diagonal/>
    </border>
  </borders>
  <cellStyleXfs count="16">
    <xf numFmtId="0" fontId="0" fillId="0" borderId="0"/>
    <xf numFmtId="43" fontId="1" fillId="0" borderId="0" applyFont="0" applyFill="0" applyBorder="0" applyAlignment="0" applyProtection="0"/>
    <xf numFmtId="9" fontId="1" fillId="0" borderId="0" applyFont="0" applyFill="0" applyBorder="0" applyAlignment="0" applyProtection="0"/>
    <xf numFmtId="43" fontId="7" fillId="0" borderId="0" applyFont="0" applyFill="0" applyBorder="0" applyAlignment="0" applyProtection="0"/>
    <xf numFmtId="44" fontId="1" fillId="0" borderId="0" applyFont="0" applyFill="0" applyBorder="0" applyAlignment="0" applyProtection="0"/>
    <xf numFmtId="0" fontId="7" fillId="0" borderId="0"/>
    <xf numFmtId="0" fontId="7" fillId="0" borderId="0"/>
    <xf numFmtId="0" fontId="21" fillId="0" borderId="0"/>
    <xf numFmtId="0" fontId="23" fillId="0" borderId="0" applyNumberFormat="0" applyFill="0" applyBorder="0" applyAlignment="0" applyProtection="0"/>
    <xf numFmtId="0" fontId="27" fillId="0" borderId="0" applyNumberFormat="0" applyFill="0" applyBorder="0" applyAlignment="0" applyProtection="0">
      <alignment vertical="top"/>
      <protection locked="0"/>
    </xf>
    <xf numFmtId="43" fontId="21" fillId="0" borderId="0" applyFont="0" applyFill="0" applyBorder="0" applyAlignment="0" applyProtection="0"/>
    <xf numFmtId="44" fontId="1" fillId="0" borderId="0" applyFont="0" applyFill="0" applyBorder="0" applyAlignment="0" applyProtection="0"/>
    <xf numFmtId="0" fontId="35" fillId="0" borderId="0"/>
    <xf numFmtId="0" fontId="1" fillId="0" borderId="0"/>
    <xf numFmtId="0" fontId="54" fillId="10" borderId="85" applyNumberFormat="0" applyAlignment="0" applyProtection="0"/>
    <xf numFmtId="0" fontId="56" fillId="13" borderId="85" applyNumberFormat="0" applyAlignment="0" applyProtection="0"/>
  </cellStyleXfs>
  <cellXfs count="813">
    <xf numFmtId="0" fontId="0" fillId="0" borderId="0" xfId="0"/>
    <xf numFmtId="0" fontId="4" fillId="0" borderId="0" xfId="0" applyFont="1"/>
    <xf numFmtId="0" fontId="4" fillId="0" borderId="0" xfId="0" applyFont="1" applyAlignment="1">
      <alignment horizontal="center"/>
    </xf>
    <xf numFmtId="0" fontId="5" fillId="0" borderId="0" xfId="0" applyFont="1"/>
    <xf numFmtId="0" fontId="6" fillId="2" borderId="4" xfId="0" applyFont="1" applyFill="1" applyBorder="1" applyAlignment="1">
      <alignment horizontal="center"/>
    </xf>
    <xf numFmtId="0" fontId="6" fillId="2" borderId="4" xfId="0" applyFont="1" applyFill="1" applyBorder="1"/>
    <xf numFmtId="164" fontId="5" fillId="0" borderId="4" xfId="3" applyNumberFormat="1" applyFont="1" applyFill="1" applyBorder="1" applyAlignment="1">
      <alignment horizontal="center"/>
    </xf>
    <xf numFmtId="10" fontId="5" fillId="0" borderId="4" xfId="2" applyNumberFormat="1" applyFont="1" applyFill="1" applyBorder="1" applyAlignment="1">
      <alignment horizontal="center"/>
    </xf>
    <xf numFmtId="0" fontId="3" fillId="0" borderId="0" xfId="0" applyFont="1"/>
    <xf numFmtId="0" fontId="3" fillId="0" borderId="0" xfId="0" applyFont="1" applyAlignment="1">
      <alignment horizontal="center"/>
    </xf>
    <xf numFmtId="0" fontId="0" fillId="0" borderId="0" xfId="0" applyAlignment="1">
      <alignment horizontal="center"/>
    </xf>
    <xf numFmtId="0" fontId="8" fillId="0" borderId="0" xfId="0" applyFont="1" applyAlignment="1">
      <alignment horizontal="center"/>
    </xf>
    <xf numFmtId="0" fontId="3" fillId="0" borderId="0" xfId="0" applyFont="1" applyAlignment="1">
      <alignment horizontal="left"/>
    </xf>
    <xf numFmtId="0" fontId="0" fillId="0" borderId="4" xfId="0" applyBorder="1" applyAlignment="1">
      <alignment horizontal="left"/>
    </xf>
    <xf numFmtId="165" fontId="0" fillId="0" borderId="4" xfId="0" applyNumberFormat="1" applyBorder="1" applyAlignment="1">
      <alignment horizontal="center"/>
    </xf>
    <xf numFmtId="0" fontId="10" fillId="2" borderId="13" xfId="0" applyFont="1" applyFill="1" applyBorder="1" applyAlignment="1">
      <alignment horizontal="center" vertical="center" wrapText="1"/>
    </xf>
    <xf numFmtId="0" fontId="10" fillId="2" borderId="14" xfId="0" applyFont="1" applyFill="1" applyBorder="1" applyAlignment="1">
      <alignment horizontal="center" vertical="center" wrapText="1"/>
    </xf>
    <xf numFmtId="0" fontId="10" fillId="2" borderId="15" xfId="0" applyFont="1" applyFill="1" applyBorder="1" applyAlignment="1">
      <alignment horizontal="center" vertical="center" wrapText="1"/>
    </xf>
    <xf numFmtId="165" fontId="0" fillId="0" borderId="4" xfId="4" applyNumberFormat="1" applyFont="1" applyFill="1" applyBorder="1" applyAlignment="1">
      <alignment horizontal="center"/>
    </xf>
    <xf numFmtId="165" fontId="0" fillId="0" borderId="0" xfId="4" applyNumberFormat="1" applyFont="1" applyFill="1" applyBorder="1" applyAlignment="1">
      <alignment horizontal="center"/>
    </xf>
    <xf numFmtId="0" fontId="0" fillId="0" borderId="0" xfId="0" applyAlignment="1">
      <alignment horizontal="left"/>
    </xf>
    <xf numFmtId="0" fontId="11" fillId="0" borderId="23" xfId="0" applyFont="1" applyBorder="1" applyAlignment="1">
      <alignment horizontal="center"/>
    </xf>
    <xf numFmtId="0" fontId="11" fillId="0" borderId="24" xfId="0" applyFont="1" applyBorder="1" applyAlignment="1">
      <alignment horizontal="center"/>
    </xf>
    <xf numFmtId="166" fontId="11" fillId="0" borderId="26" xfId="1" applyNumberFormat="1" applyFont="1" applyFill="1" applyBorder="1" applyAlignment="1">
      <alignment horizontal="center"/>
    </xf>
    <xf numFmtId="167" fontId="0" fillId="0" borderId="4" xfId="2" applyNumberFormat="1" applyFont="1" applyFill="1" applyBorder="1" applyAlignment="1">
      <alignment horizontal="center"/>
    </xf>
    <xf numFmtId="44" fontId="0" fillId="0" borderId="0" xfId="4" applyFont="1" applyFill="1" applyBorder="1"/>
    <xf numFmtId="0" fontId="0" fillId="0" borderId="4" xfId="0" applyBorder="1"/>
    <xf numFmtId="0" fontId="3" fillId="0" borderId="4" xfId="0" applyFont="1" applyBorder="1" applyAlignment="1">
      <alignment horizontal="center"/>
    </xf>
    <xf numFmtId="0" fontId="11" fillId="0" borderId="27" xfId="0" applyFont="1" applyBorder="1" applyAlignment="1">
      <alignment horizontal="center"/>
    </xf>
    <xf numFmtId="166" fontId="11" fillId="0" borderId="30" xfId="1" applyNumberFormat="1" applyFont="1" applyFill="1" applyBorder="1" applyAlignment="1">
      <alignment horizontal="center"/>
    </xf>
    <xf numFmtId="0" fontId="11" fillId="0" borderId="0" xfId="0" applyFont="1"/>
    <xf numFmtId="0" fontId="11" fillId="0" borderId="0" xfId="0" applyFont="1" applyAlignment="1">
      <alignment horizontal="center"/>
    </xf>
    <xf numFmtId="166" fontId="11" fillId="0" borderId="0" xfId="0" applyNumberFormat="1" applyFont="1" applyAlignment="1">
      <alignment horizontal="center"/>
    </xf>
    <xf numFmtId="0" fontId="0" fillId="0" borderId="0" xfId="0" applyAlignment="1">
      <alignment horizontal="right"/>
    </xf>
    <xf numFmtId="0" fontId="0" fillId="0" borderId="0" xfId="0" applyAlignment="1">
      <alignment wrapText="1"/>
    </xf>
    <xf numFmtId="2" fontId="0" fillId="0" borderId="0" xfId="0" applyNumberFormat="1" applyAlignment="1">
      <alignment horizontal="center"/>
    </xf>
    <xf numFmtId="3" fontId="11" fillId="0" borderId="17" xfId="1" applyNumberFormat="1" applyFont="1" applyFill="1" applyBorder="1" applyAlignment="1">
      <alignment horizontal="center"/>
    </xf>
    <xf numFmtId="3" fontId="11" fillId="0" borderId="18" xfId="1" applyNumberFormat="1" applyFont="1" applyFill="1" applyBorder="1" applyAlignment="1">
      <alignment horizontal="center"/>
    </xf>
    <xf numFmtId="3" fontId="11" fillId="0" borderId="16" xfId="1" applyNumberFormat="1" applyFont="1" applyFill="1" applyBorder="1" applyAlignment="1">
      <alignment horizontal="center"/>
    </xf>
    <xf numFmtId="3" fontId="11" fillId="0" borderId="25" xfId="1" applyNumberFormat="1" applyFont="1" applyFill="1" applyBorder="1" applyAlignment="1">
      <alignment horizontal="center"/>
    </xf>
    <xf numFmtId="3" fontId="11" fillId="0" borderId="4" xfId="1" applyNumberFormat="1" applyFont="1" applyFill="1" applyBorder="1" applyAlignment="1">
      <alignment horizontal="center"/>
    </xf>
    <xf numFmtId="3" fontId="11" fillId="0" borderId="26" xfId="1" applyNumberFormat="1" applyFont="1" applyFill="1" applyBorder="1" applyAlignment="1">
      <alignment horizontal="center"/>
    </xf>
    <xf numFmtId="3" fontId="11" fillId="0" borderId="28" xfId="1" applyNumberFormat="1" applyFont="1" applyFill="1" applyBorder="1" applyAlignment="1">
      <alignment horizontal="center"/>
    </xf>
    <xf numFmtId="3" fontId="11" fillId="0" borderId="29" xfId="1" applyNumberFormat="1" applyFont="1" applyFill="1" applyBorder="1" applyAlignment="1">
      <alignment horizontal="center"/>
    </xf>
    <xf numFmtId="3" fontId="11" fillId="0" borderId="30" xfId="1" applyNumberFormat="1" applyFont="1" applyFill="1" applyBorder="1" applyAlignment="1">
      <alignment horizontal="center"/>
    </xf>
    <xf numFmtId="0" fontId="10" fillId="0" borderId="0" xfId="0" applyFont="1"/>
    <xf numFmtId="0" fontId="12" fillId="0" borderId="0" xfId="5" applyFont="1" applyAlignment="1">
      <alignment horizontal="left"/>
    </xf>
    <xf numFmtId="0" fontId="2" fillId="0" borderId="0" xfId="0" applyFont="1"/>
    <xf numFmtId="0" fontId="0" fillId="0" borderId="4" xfId="0" applyBorder="1" applyAlignment="1">
      <alignment horizontal="center"/>
    </xf>
    <xf numFmtId="2" fontId="0" fillId="0" borderId="4" xfId="0" applyNumberFormat="1" applyBorder="1" applyAlignment="1">
      <alignment horizontal="center"/>
    </xf>
    <xf numFmtId="0" fontId="11" fillId="0" borderId="25" xfId="0" applyFont="1" applyBorder="1" applyAlignment="1">
      <alignment horizontal="left"/>
    </xf>
    <xf numFmtId="0" fontId="11" fillId="0" borderId="28" xfId="0" applyFont="1" applyBorder="1" applyAlignment="1">
      <alignment horizontal="left"/>
    </xf>
    <xf numFmtId="37" fontId="11" fillId="0" borderId="16" xfId="1" applyNumberFormat="1" applyFont="1" applyBorder="1" applyAlignment="1">
      <alignment horizontal="center"/>
    </xf>
    <xf numFmtId="37" fontId="11" fillId="0" borderId="17" xfId="1" applyNumberFormat="1" applyFont="1" applyFill="1" applyBorder="1" applyAlignment="1">
      <alignment horizontal="center"/>
    </xf>
    <xf numFmtId="37" fontId="11" fillId="0" borderId="18" xfId="1" applyNumberFormat="1" applyFont="1" applyFill="1" applyBorder="1" applyAlignment="1">
      <alignment horizontal="center"/>
    </xf>
    <xf numFmtId="166" fontId="11" fillId="0" borderId="41" xfId="1" applyNumberFormat="1" applyFont="1" applyFill="1" applyBorder="1" applyAlignment="1">
      <alignment horizontal="center"/>
    </xf>
    <xf numFmtId="166" fontId="11" fillId="0" borderId="18" xfId="0" applyNumberFormat="1" applyFont="1" applyBorder="1" applyAlignment="1">
      <alignment horizontal="center"/>
    </xf>
    <xf numFmtId="37" fontId="11" fillId="0" borderId="25" xfId="1" applyNumberFormat="1" applyFont="1" applyBorder="1" applyAlignment="1">
      <alignment horizontal="center"/>
    </xf>
    <xf numFmtId="37" fontId="11" fillId="0" borderId="4" xfId="1" applyNumberFormat="1" applyFont="1" applyFill="1" applyBorder="1" applyAlignment="1">
      <alignment horizontal="center"/>
    </xf>
    <xf numFmtId="37" fontId="11" fillId="0" borderId="26" xfId="1" applyNumberFormat="1" applyFont="1" applyFill="1" applyBorder="1" applyAlignment="1">
      <alignment horizontal="center"/>
    </xf>
    <xf numFmtId="166" fontId="11" fillId="0" borderId="3" xfId="1" applyNumberFormat="1" applyFont="1" applyFill="1" applyBorder="1" applyAlignment="1">
      <alignment horizontal="center"/>
    </xf>
    <xf numFmtId="1" fontId="0" fillId="0" borderId="0" xfId="0" applyNumberFormat="1"/>
    <xf numFmtId="0" fontId="13" fillId="0" borderId="0" xfId="0" applyFont="1"/>
    <xf numFmtId="2" fontId="0" fillId="0" borderId="4" xfId="2" applyNumberFormat="1" applyFont="1" applyFill="1" applyBorder="1" applyAlignment="1">
      <alignment horizontal="center"/>
    </xf>
    <xf numFmtId="37" fontId="11" fillId="0" borderId="28" xfId="1" applyNumberFormat="1" applyFont="1" applyBorder="1" applyAlignment="1">
      <alignment horizontal="center"/>
    </xf>
    <xf numFmtId="37" fontId="11" fillId="0" borderId="29" xfId="1" applyNumberFormat="1" applyFont="1" applyFill="1" applyBorder="1" applyAlignment="1">
      <alignment horizontal="center"/>
    </xf>
    <xf numFmtId="37" fontId="11" fillId="0" borderId="30" xfId="1" applyNumberFormat="1" applyFont="1" applyFill="1" applyBorder="1" applyAlignment="1">
      <alignment horizontal="center"/>
    </xf>
    <xf numFmtId="166" fontId="11" fillId="0" borderId="42" xfId="1" applyNumberFormat="1" applyFont="1" applyFill="1" applyBorder="1" applyAlignment="1">
      <alignment horizontal="center"/>
    </xf>
    <xf numFmtId="38" fontId="11" fillId="0" borderId="0" xfId="0" applyNumberFormat="1" applyFont="1" applyAlignment="1">
      <alignment horizontal="right" indent="1"/>
    </xf>
    <xf numFmtId="37" fontId="11" fillId="0" borderId="0" xfId="0" applyNumberFormat="1" applyFont="1"/>
    <xf numFmtId="38" fontId="10" fillId="0" borderId="0" xfId="0" applyNumberFormat="1" applyFont="1"/>
    <xf numFmtId="166" fontId="11" fillId="0" borderId="19" xfId="0" applyNumberFormat="1" applyFont="1" applyBorder="1" applyAlignment="1">
      <alignment horizontal="center"/>
    </xf>
    <xf numFmtId="0" fontId="14" fillId="0" borderId="0" xfId="0" applyFont="1"/>
    <xf numFmtId="0" fontId="15" fillId="0" borderId="0" xfId="0" applyFont="1" applyAlignment="1">
      <alignment horizontal="left"/>
    </xf>
    <xf numFmtId="0" fontId="0" fillId="0" borderId="0" xfId="0" applyAlignment="1">
      <alignment vertical="center"/>
    </xf>
    <xf numFmtId="0" fontId="11" fillId="0" borderId="47" xfId="0" applyFont="1" applyBorder="1" applyAlignment="1">
      <alignment horizontal="center" vertical="center" wrapText="1"/>
    </xf>
    <xf numFmtId="166" fontId="11" fillId="0" borderId="38" xfId="0" applyNumberFormat="1" applyFont="1" applyBorder="1" applyAlignment="1">
      <alignment horizontal="center" vertical="center" wrapText="1"/>
    </xf>
    <xf numFmtId="166" fontId="11" fillId="0" borderId="49" xfId="0" applyNumberFormat="1" applyFont="1" applyBorder="1" applyAlignment="1">
      <alignment horizontal="center" vertical="center" wrapText="1"/>
    </xf>
    <xf numFmtId="166" fontId="11" fillId="0" borderId="38" xfId="0" applyNumberFormat="1" applyFont="1" applyBorder="1" applyAlignment="1">
      <alignment horizontal="center" vertical="center"/>
    </xf>
    <xf numFmtId="170" fontId="16" fillId="0" borderId="0" xfId="0" applyNumberFormat="1" applyFont="1"/>
    <xf numFmtId="0" fontId="11" fillId="0" borderId="51" xfId="0" applyFont="1" applyBorder="1" applyAlignment="1">
      <alignment horizontal="center" vertical="center" wrapText="1"/>
    </xf>
    <xf numFmtId="166" fontId="11" fillId="0" borderId="26" xfId="0" applyNumberFormat="1" applyFont="1" applyBorder="1" applyAlignment="1">
      <alignment horizontal="center" vertical="center" wrapText="1"/>
    </xf>
    <xf numFmtId="166" fontId="11" fillId="0" borderId="3" xfId="0" applyNumberFormat="1" applyFont="1" applyBorder="1" applyAlignment="1">
      <alignment horizontal="center" vertical="center" wrapText="1"/>
    </xf>
    <xf numFmtId="166" fontId="11" fillId="0" borderId="4" xfId="0" applyNumberFormat="1" applyFont="1" applyBorder="1" applyAlignment="1">
      <alignment horizontal="center"/>
    </xf>
    <xf numFmtId="166" fontId="11" fillId="0" borderId="26" xfId="0" applyNumberFormat="1" applyFont="1" applyBorder="1" applyAlignment="1">
      <alignment horizontal="center" vertical="center"/>
    </xf>
    <xf numFmtId="0" fontId="11" fillId="0" borderId="51" xfId="0" applyFont="1" applyBorder="1" applyAlignment="1">
      <alignment horizontal="center"/>
    </xf>
    <xf numFmtId="166" fontId="11" fillId="0" borderId="1" xfId="0" applyNumberFormat="1" applyFont="1" applyBorder="1" applyAlignment="1">
      <alignment horizontal="center"/>
    </xf>
    <xf numFmtId="6" fontId="0" fillId="0" borderId="0" xfId="0" applyNumberFormat="1"/>
    <xf numFmtId="0" fontId="11" fillId="0" borderId="52" xfId="0" applyFont="1" applyBorder="1" applyAlignment="1">
      <alignment horizontal="center"/>
    </xf>
    <xf numFmtId="166" fontId="11" fillId="0" borderId="46" xfId="0" applyNumberFormat="1" applyFont="1" applyBorder="1" applyAlignment="1">
      <alignment horizontal="center"/>
    </xf>
    <xf numFmtId="166" fontId="11" fillId="0" borderId="30" xfId="0" applyNumberFormat="1" applyFont="1" applyBorder="1" applyAlignment="1">
      <alignment horizontal="center" vertical="center" wrapText="1"/>
    </xf>
    <xf numFmtId="166" fontId="11" fillId="0" borderId="42" xfId="0" applyNumberFormat="1" applyFont="1" applyBorder="1" applyAlignment="1">
      <alignment horizontal="center" vertical="center" wrapText="1"/>
    </xf>
    <xf numFmtId="166" fontId="11" fillId="0" borderId="30" xfId="0" applyNumberFormat="1" applyFont="1" applyBorder="1" applyAlignment="1">
      <alignment horizontal="center" vertical="center"/>
    </xf>
    <xf numFmtId="166" fontId="17" fillId="0" borderId="0" xfId="0" applyNumberFormat="1" applyFont="1" applyAlignment="1">
      <alignment horizontal="center"/>
    </xf>
    <xf numFmtId="166" fontId="18" fillId="0" borderId="0" xfId="0" applyNumberFormat="1" applyFont="1" applyAlignment="1">
      <alignment horizontal="center"/>
    </xf>
    <xf numFmtId="6" fontId="19" fillId="0" borderId="0" xfId="0" applyNumberFormat="1" applyFont="1" applyAlignment="1">
      <alignment horizontal="center"/>
    </xf>
    <xf numFmtId="171" fontId="11" fillId="0" borderId="0" xfId="4" applyNumberFormat="1" applyFont="1" applyBorder="1" applyAlignment="1">
      <alignment horizontal="center"/>
    </xf>
    <xf numFmtId="0" fontId="19" fillId="0" borderId="0" xfId="0" applyFont="1"/>
    <xf numFmtId="1" fontId="11" fillId="0" borderId="0" xfId="0" applyNumberFormat="1" applyFont="1" applyAlignment="1">
      <alignment horizontal="center"/>
    </xf>
    <xf numFmtId="166" fontId="10" fillId="0" borderId="5" xfId="0" applyNumberFormat="1" applyFont="1" applyBorder="1"/>
    <xf numFmtId="166" fontId="10" fillId="0" borderId="0" xfId="0" applyNumberFormat="1" applyFont="1"/>
    <xf numFmtId="0" fontId="11" fillId="0" borderId="53" xfId="0" applyFont="1" applyBorder="1" applyAlignment="1">
      <alignment horizontal="center" vertical="center"/>
    </xf>
    <xf numFmtId="166" fontId="11" fillId="0" borderId="51" xfId="0" applyNumberFormat="1" applyFont="1" applyBorder="1" applyAlignment="1">
      <alignment horizontal="center" vertical="center" wrapText="1"/>
    </xf>
    <xf numFmtId="166" fontId="11" fillId="0" borderId="24" xfId="0" applyNumberFormat="1" applyFont="1" applyBorder="1" applyAlignment="1">
      <alignment horizontal="center" vertical="center"/>
    </xf>
    <xf numFmtId="166" fontId="11" fillId="0" borderId="52" xfId="0" applyNumberFormat="1" applyFont="1" applyBorder="1" applyAlignment="1">
      <alignment horizontal="center" vertical="center" wrapText="1"/>
    </xf>
    <xf numFmtId="166" fontId="11" fillId="0" borderId="27" xfId="0" applyNumberFormat="1" applyFont="1" applyBorder="1" applyAlignment="1">
      <alignment horizontal="center" vertical="center"/>
    </xf>
    <xf numFmtId="0" fontId="3" fillId="0" borderId="0" xfId="0" applyFont="1" applyAlignment="1">
      <alignment horizontal="right"/>
    </xf>
    <xf numFmtId="166" fontId="20" fillId="0" borderId="0" xfId="0" applyNumberFormat="1" applyFont="1" applyAlignment="1">
      <alignment horizontal="center"/>
    </xf>
    <xf numFmtId="166" fontId="0" fillId="0" borderId="0" xfId="0" applyNumberFormat="1" applyAlignment="1">
      <alignment horizontal="center"/>
    </xf>
    <xf numFmtId="0" fontId="15" fillId="0" borderId="0" xfId="0" applyFont="1" applyAlignment="1">
      <alignment horizontal="center"/>
    </xf>
    <xf numFmtId="0" fontId="0" fillId="0" borderId="9" xfId="0" applyBorder="1"/>
    <xf numFmtId="9" fontId="3" fillId="3" borderId="8" xfId="0" applyNumberFormat="1" applyFont="1" applyFill="1" applyBorder="1" applyAlignment="1">
      <alignment horizontal="center"/>
    </xf>
    <xf numFmtId="9" fontId="3" fillId="0" borderId="0" xfId="0" applyNumberFormat="1" applyFont="1" applyAlignment="1">
      <alignment horizontal="center"/>
    </xf>
    <xf numFmtId="0" fontId="3" fillId="3" borderId="47" xfId="0" applyFont="1" applyFill="1" applyBorder="1"/>
    <xf numFmtId="166" fontId="0" fillId="0" borderId="38" xfId="0" applyNumberFormat="1" applyBorder="1" applyAlignment="1">
      <alignment horizontal="center"/>
    </xf>
    <xf numFmtId="0" fontId="3" fillId="3" borderId="54" xfId="0" applyFont="1" applyFill="1" applyBorder="1"/>
    <xf numFmtId="166" fontId="0" fillId="0" borderId="55" xfId="0" applyNumberFormat="1" applyBorder="1" applyAlignment="1">
      <alignment horizontal="center"/>
    </xf>
    <xf numFmtId="0" fontId="3" fillId="3" borderId="56" xfId="0" applyFont="1" applyFill="1" applyBorder="1"/>
    <xf numFmtId="2" fontId="3" fillId="0" borderId="57" xfId="0" applyNumberFormat="1" applyFont="1" applyBorder="1" applyAlignment="1">
      <alignment horizontal="center"/>
    </xf>
    <xf numFmtId="0" fontId="3" fillId="3" borderId="28" xfId="0" applyFont="1" applyFill="1" applyBorder="1"/>
    <xf numFmtId="166" fontId="0" fillId="0" borderId="30" xfId="0" applyNumberFormat="1" applyBorder="1" applyAlignment="1">
      <alignment horizontal="center"/>
    </xf>
    <xf numFmtId="164" fontId="3" fillId="0" borderId="0" xfId="1" applyNumberFormat="1" applyFont="1"/>
    <xf numFmtId="0" fontId="0" fillId="0" borderId="7" xfId="0" applyBorder="1"/>
    <xf numFmtId="9" fontId="3" fillId="3" borderId="11" xfId="0" applyNumberFormat="1" applyFont="1" applyFill="1" applyBorder="1" applyAlignment="1">
      <alignment horizontal="center"/>
    </xf>
    <xf numFmtId="0" fontId="3" fillId="3" borderId="37" xfId="0" applyFont="1" applyFill="1" applyBorder="1"/>
    <xf numFmtId="166" fontId="0" fillId="0" borderId="18" xfId="0" applyNumberFormat="1" applyBorder="1" applyAlignment="1">
      <alignment horizontal="center"/>
    </xf>
    <xf numFmtId="166" fontId="0" fillId="0" borderId="0" xfId="0" applyNumberFormat="1"/>
    <xf numFmtId="0" fontId="3" fillId="3" borderId="58" xfId="0" applyFont="1" applyFill="1" applyBorder="1"/>
    <xf numFmtId="0" fontId="3" fillId="3" borderId="59" xfId="0" applyFont="1" applyFill="1" applyBorder="1"/>
    <xf numFmtId="172" fontId="0" fillId="0" borderId="18" xfId="0" applyNumberFormat="1" applyBorder="1" applyAlignment="1">
      <alignment horizontal="left"/>
    </xf>
    <xf numFmtId="172" fontId="0" fillId="0" borderId="55" xfId="0" applyNumberFormat="1" applyBorder="1" applyAlignment="1">
      <alignment horizontal="left"/>
    </xf>
    <xf numFmtId="168" fontId="3" fillId="0" borderId="57" xfId="0" applyNumberFormat="1" applyFont="1" applyBorder="1" applyAlignment="1">
      <alignment horizontal="left"/>
    </xf>
    <xf numFmtId="172" fontId="0" fillId="0" borderId="30" xfId="0" applyNumberFormat="1" applyBorder="1" applyAlignment="1">
      <alignment horizontal="left"/>
    </xf>
    <xf numFmtId="0" fontId="5" fillId="0" borderId="4" xfId="0" applyFont="1" applyBorder="1" applyAlignment="1">
      <alignment vertical="center"/>
    </xf>
    <xf numFmtId="0" fontId="3" fillId="0" borderId="65" xfId="0" applyFont="1" applyBorder="1" applyAlignment="1">
      <alignment horizontal="left"/>
    </xf>
    <xf numFmtId="0" fontId="3" fillId="0" borderId="44" xfId="0" applyFont="1" applyBorder="1" applyAlignment="1">
      <alignment horizontal="center"/>
    </xf>
    <xf numFmtId="0" fontId="23" fillId="0" borderId="0" xfId="8" applyFill="1"/>
    <xf numFmtId="168" fontId="11" fillId="0" borderId="61" xfId="0" applyNumberFormat="1" applyFont="1" applyBorder="1" applyAlignment="1">
      <alignment horizontal="center"/>
    </xf>
    <xf numFmtId="6" fontId="11" fillId="0" borderId="16" xfId="0" applyNumberFormat="1" applyFont="1" applyBorder="1" applyAlignment="1">
      <alignment horizontal="center"/>
    </xf>
    <xf numFmtId="6" fontId="11" fillId="0" borderId="18" xfId="0" applyNumberFormat="1" applyFont="1" applyBorder="1" applyAlignment="1">
      <alignment horizontal="center"/>
    </xf>
    <xf numFmtId="3" fontId="11" fillId="0" borderId="23" xfId="1" applyNumberFormat="1" applyFont="1" applyBorder="1" applyAlignment="1">
      <alignment horizontal="center"/>
    </xf>
    <xf numFmtId="6" fontId="11" fillId="0" borderId="41" xfId="0" applyNumberFormat="1" applyFont="1" applyBorder="1" applyAlignment="1">
      <alignment horizontal="center"/>
    </xf>
    <xf numFmtId="6" fontId="11" fillId="0" borderId="17" xfId="0" applyNumberFormat="1" applyFont="1" applyBorder="1" applyAlignment="1">
      <alignment horizontal="center"/>
    </xf>
    <xf numFmtId="6" fontId="11" fillId="0" borderId="23" xfId="0" applyNumberFormat="1" applyFont="1" applyBorder="1" applyAlignment="1">
      <alignment horizontal="center"/>
    </xf>
    <xf numFmtId="6" fontId="11" fillId="0" borderId="68" xfId="0" applyNumberFormat="1" applyFont="1" applyBorder="1" applyAlignment="1">
      <alignment horizontal="center"/>
    </xf>
    <xf numFmtId="6" fontId="11" fillId="0" borderId="38" xfId="0" applyNumberFormat="1" applyFont="1" applyBorder="1" applyAlignment="1">
      <alignment horizontal="center"/>
    </xf>
    <xf numFmtId="168" fontId="11" fillId="0" borderId="47" xfId="0" applyNumberFormat="1" applyFont="1" applyBorder="1" applyAlignment="1">
      <alignment horizontal="center"/>
    </xf>
    <xf numFmtId="6" fontId="11" fillId="0" borderId="37" xfId="0" applyNumberFormat="1" applyFont="1" applyBorder="1" applyAlignment="1">
      <alignment horizontal="center"/>
    </xf>
    <xf numFmtId="3" fontId="11" fillId="0" borderId="24" xfId="0" applyNumberFormat="1" applyFont="1" applyBorder="1" applyAlignment="1">
      <alignment horizontal="center"/>
    </xf>
    <xf numFmtId="6" fontId="11" fillId="0" borderId="3" xfId="0" applyNumberFormat="1" applyFont="1" applyBorder="1" applyAlignment="1">
      <alignment horizontal="center"/>
    </xf>
    <xf numFmtId="6" fontId="11" fillId="0" borderId="4" xfId="0" applyNumberFormat="1" applyFont="1" applyBorder="1" applyAlignment="1">
      <alignment horizontal="center"/>
    </xf>
    <xf numFmtId="6" fontId="11" fillId="0" borderId="26" xfId="0" applyNumberFormat="1" applyFont="1" applyBorder="1" applyAlignment="1">
      <alignment horizontal="center"/>
    </xf>
    <xf numFmtId="6" fontId="11" fillId="0" borderId="24" xfId="0" applyNumberFormat="1" applyFont="1" applyBorder="1" applyAlignment="1">
      <alignment horizontal="center"/>
    </xf>
    <xf numFmtId="6" fontId="11" fillId="0" borderId="2" xfId="0" applyNumberFormat="1" applyFont="1" applyBorder="1" applyAlignment="1">
      <alignment horizontal="center"/>
    </xf>
    <xf numFmtId="0" fontId="3" fillId="0" borderId="4" xfId="0" applyFont="1" applyBorder="1" applyAlignment="1">
      <alignment horizontal="center" vertical="center"/>
    </xf>
    <xf numFmtId="0" fontId="3" fillId="0" borderId="4" xfId="0" applyFont="1" applyBorder="1"/>
    <xf numFmtId="3" fontId="11" fillId="0" borderId="0" xfId="0" applyNumberFormat="1" applyFont="1"/>
    <xf numFmtId="6" fontId="10" fillId="0" borderId="0" xfId="0" applyNumberFormat="1" applyFont="1"/>
    <xf numFmtId="6" fontId="11" fillId="0" borderId="0" xfId="0" applyNumberFormat="1" applyFont="1" applyAlignment="1">
      <alignment horizontal="center"/>
    </xf>
    <xf numFmtId="0" fontId="25" fillId="0" borderId="0" xfId="0" applyFont="1"/>
    <xf numFmtId="173" fontId="11" fillId="0" borderId="0" xfId="0" applyNumberFormat="1" applyFont="1"/>
    <xf numFmtId="6" fontId="11" fillId="0" borderId="0" xfId="0" applyNumberFormat="1" applyFont="1" applyAlignment="1">
      <alignment horizontal="right"/>
    </xf>
    <xf numFmtId="0" fontId="0" fillId="0" borderId="69" xfId="0" applyBorder="1"/>
    <xf numFmtId="0" fontId="0" fillId="0" borderId="0" xfId="0" applyAlignment="1">
      <alignment horizontal="left" vertical="top" wrapText="1"/>
    </xf>
    <xf numFmtId="0" fontId="0" fillId="0" borderId="0" xfId="0" applyAlignment="1">
      <alignment vertical="top" wrapText="1"/>
    </xf>
    <xf numFmtId="0" fontId="3" fillId="0" borderId="0" xfId="0" applyFont="1" applyAlignment="1">
      <alignment horizontal="center" vertical="center" textRotation="90" wrapText="1"/>
    </xf>
    <xf numFmtId="0" fontId="26" fillId="0" borderId="0" xfId="7" applyFont="1"/>
    <xf numFmtId="0" fontId="28" fillId="0" borderId="0" xfId="7" applyFont="1"/>
    <xf numFmtId="166" fontId="11" fillId="0" borderId="48" xfId="0" applyNumberFormat="1" applyFont="1" applyBorder="1" applyAlignment="1">
      <alignment horizontal="center"/>
    </xf>
    <xf numFmtId="3" fontId="0" fillId="0" borderId="0" xfId="0" applyNumberFormat="1"/>
    <xf numFmtId="0" fontId="10" fillId="0" borderId="0" xfId="0" applyFont="1" applyAlignment="1">
      <alignment horizontal="left"/>
    </xf>
    <xf numFmtId="0" fontId="11" fillId="0" borderId="16" xfId="0" applyFont="1" applyBorder="1" applyAlignment="1">
      <alignment horizontal="center" vertical="center"/>
    </xf>
    <xf numFmtId="0" fontId="11" fillId="0" borderId="17" xfId="0" applyFont="1" applyBorder="1" applyAlignment="1">
      <alignment horizontal="center" vertical="center"/>
    </xf>
    <xf numFmtId="0" fontId="11" fillId="0" borderId="18" xfId="0" applyFont="1" applyBorder="1" applyAlignment="1">
      <alignment horizontal="center" vertical="center"/>
    </xf>
    <xf numFmtId="166" fontId="11" fillId="0" borderId="28" xfId="0" applyNumberFormat="1" applyFont="1" applyBorder="1" applyAlignment="1">
      <alignment horizontal="center" vertical="center"/>
    </xf>
    <xf numFmtId="166" fontId="11" fillId="0" borderId="29" xfId="0" applyNumberFormat="1" applyFont="1" applyBorder="1" applyAlignment="1">
      <alignment horizontal="center" vertical="center"/>
    </xf>
    <xf numFmtId="0" fontId="30" fillId="0" borderId="0" xfId="0" applyFont="1" applyAlignment="1">
      <alignment vertical="center"/>
    </xf>
    <xf numFmtId="0" fontId="31" fillId="0" borderId="0" xfId="0" applyFont="1"/>
    <xf numFmtId="0" fontId="26" fillId="0" borderId="0" xfId="0" applyFont="1" applyAlignment="1">
      <alignment horizontal="left" vertical="center"/>
    </xf>
    <xf numFmtId="0" fontId="26" fillId="0" borderId="0" xfId="0" applyFont="1" applyAlignment="1">
      <alignment vertical="center"/>
    </xf>
    <xf numFmtId="0" fontId="32" fillId="0" borderId="0" xfId="0" applyFont="1"/>
    <xf numFmtId="0" fontId="33" fillId="0" borderId="0" xfId="0" applyFont="1" applyAlignment="1">
      <alignment horizontal="center" vertical="center"/>
    </xf>
    <xf numFmtId="0" fontId="33" fillId="0" borderId="0" xfId="0" applyFont="1" applyAlignment="1">
      <alignment vertical="center"/>
    </xf>
    <xf numFmtId="0" fontId="33" fillId="0" borderId="71" xfId="0" applyFont="1" applyBorder="1" applyAlignment="1">
      <alignment horizontal="center" vertical="center"/>
    </xf>
    <xf numFmtId="0" fontId="26" fillId="0" borderId="0" xfId="0" applyFont="1" applyAlignment="1">
      <alignment horizontal="center" vertical="center" wrapText="1"/>
    </xf>
    <xf numFmtId="0" fontId="26" fillId="0" borderId="0" xfId="0" applyFont="1" applyAlignment="1">
      <alignment vertical="center" wrapText="1"/>
    </xf>
    <xf numFmtId="0" fontId="26" fillId="0" borderId="71" xfId="0" applyFont="1" applyBorder="1" applyAlignment="1">
      <alignment horizontal="center" vertical="center" wrapText="1"/>
    </xf>
    <xf numFmtId="0" fontId="26" fillId="5" borderId="0" xfId="0" applyFont="1" applyFill="1" applyAlignment="1">
      <alignment vertical="center"/>
    </xf>
    <xf numFmtId="0" fontId="26" fillId="0" borderId="71" xfId="0" applyFont="1" applyBorder="1" applyAlignment="1">
      <alignment horizontal="left" vertical="center"/>
    </xf>
    <xf numFmtId="0" fontId="26" fillId="6" borderId="0" xfId="0" applyFont="1" applyFill="1" applyAlignment="1">
      <alignment vertical="center"/>
    </xf>
    <xf numFmtId="0" fontId="26" fillId="6" borderId="0" xfId="0" applyFont="1" applyFill="1" applyAlignment="1">
      <alignment horizontal="left" vertical="center"/>
    </xf>
    <xf numFmtId="14" fontId="26" fillId="0" borderId="71" xfId="0" applyNumberFormat="1" applyFont="1" applyBorder="1" applyAlignment="1">
      <alignment horizontal="left" vertical="center"/>
    </xf>
    <xf numFmtId="14" fontId="26" fillId="6" borderId="0" xfId="0" applyNumberFormat="1" applyFont="1" applyFill="1" applyAlignment="1">
      <alignment horizontal="left" vertical="center"/>
    </xf>
    <xf numFmtId="0" fontId="30" fillId="7" borderId="0" xfId="0" applyFont="1" applyFill="1" applyAlignment="1">
      <alignment vertical="center"/>
    </xf>
    <xf numFmtId="0" fontId="32" fillId="0" borderId="0" xfId="0" applyFont="1" applyAlignment="1">
      <alignment horizontal="center" vertical="center"/>
    </xf>
    <xf numFmtId="9" fontId="32" fillId="0" borderId="0" xfId="0" applyNumberFormat="1" applyFont="1" applyAlignment="1">
      <alignment horizontal="center" vertical="center"/>
    </xf>
    <xf numFmtId="10" fontId="32" fillId="0" borderId="0" xfId="0" applyNumberFormat="1" applyFont="1" applyAlignment="1">
      <alignment horizontal="center" vertical="center"/>
    </xf>
    <xf numFmtId="10" fontId="26" fillId="5" borderId="0" xfId="0" applyNumberFormat="1" applyFont="1" applyFill="1" applyAlignment="1">
      <alignment vertical="center"/>
    </xf>
    <xf numFmtId="8" fontId="26" fillId="0" borderId="0" xfId="0" applyNumberFormat="1" applyFont="1" applyAlignment="1">
      <alignment vertical="center"/>
    </xf>
    <xf numFmtId="8" fontId="32" fillId="0" borderId="0" xfId="0" applyNumberFormat="1" applyFont="1"/>
    <xf numFmtId="0" fontId="26" fillId="4" borderId="0" xfId="0" applyFont="1" applyFill="1" applyAlignment="1">
      <alignment vertical="center"/>
    </xf>
    <xf numFmtId="0" fontId="5" fillId="0" borderId="0" xfId="0" applyFont="1" applyAlignment="1">
      <alignment vertical="center"/>
    </xf>
    <xf numFmtId="9" fontId="0" fillId="0" borderId="0" xfId="0" applyNumberFormat="1"/>
    <xf numFmtId="0" fontId="7" fillId="0" borderId="37" xfId="12" applyFont="1" applyBorder="1"/>
    <xf numFmtId="0" fontId="7" fillId="0" borderId="50" xfId="12" applyFont="1" applyBorder="1"/>
    <xf numFmtId="0" fontId="7" fillId="0" borderId="38" xfId="12" applyFont="1" applyBorder="1"/>
    <xf numFmtId="0" fontId="7" fillId="0" borderId="25" xfId="12" applyFont="1" applyBorder="1"/>
    <xf numFmtId="175" fontId="7" fillId="0" borderId="4" xfId="12" applyNumberFormat="1" applyFont="1" applyBorder="1" applyAlignment="1">
      <alignment horizontal="center"/>
    </xf>
    <xf numFmtId="168" fontId="36" fillId="0" borderId="4" xfId="12" applyNumberFormat="1" applyFont="1" applyBorder="1" applyAlignment="1">
      <alignment horizontal="center"/>
    </xf>
    <xf numFmtId="0" fontId="7" fillId="0" borderId="26" xfId="12" applyFont="1" applyBorder="1"/>
    <xf numFmtId="168" fontId="36" fillId="0" borderId="4" xfId="13" applyNumberFormat="1" applyFont="1" applyBorder="1" applyAlignment="1">
      <alignment horizontal="center"/>
    </xf>
    <xf numFmtId="175" fontId="36" fillId="0" borderId="4" xfId="12" applyNumberFormat="1" applyFont="1" applyBorder="1" applyAlignment="1">
      <alignment horizontal="center"/>
    </xf>
    <xf numFmtId="176" fontId="36" fillId="0" borderId="4" xfId="13" applyNumberFormat="1" applyFont="1" applyBorder="1" applyAlignment="1">
      <alignment horizontal="center"/>
    </xf>
    <xf numFmtId="168" fontId="7" fillId="0" borderId="4" xfId="12" applyNumberFormat="1" applyFont="1" applyBorder="1" applyAlignment="1">
      <alignment horizontal="center"/>
    </xf>
    <xf numFmtId="0" fontId="7" fillId="0" borderId="34" xfId="12" applyFont="1" applyBorder="1"/>
    <xf numFmtId="176" fontId="36" fillId="0" borderId="35" xfId="13" applyNumberFormat="1" applyFont="1" applyBorder="1" applyAlignment="1">
      <alignment horizontal="center"/>
    </xf>
    <xf numFmtId="0" fontId="7" fillId="0" borderId="36" xfId="12" applyFont="1" applyBorder="1"/>
    <xf numFmtId="0" fontId="7" fillId="0" borderId="28" xfId="12" applyFont="1" applyBorder="1"/>
    <xf numFmtId="176" fontId="36" fillId="0" borderId="29" xfId="13" applyNumberFormat="1" applyFont="1" applyBorder="1" applyAlignment="1">
      <alignment horizontal="center"/>
    </xf>
    <xf numFmtId="168" fontId="7" fillId="0" borderId="29" xfId="12" applyNumberFormat="1" applyFont="1" applyBorder="1" applyAlignment="1">
      <alignment horizontal="center"/>
    </xf>
    <xf numFmtId="0" fontId="7" fillId="0" borderId="30" xfId="12" applyFont="1" applyBorder="1"/>
    <xf numFmtId="0" fontId="11" fillId="0" borderId="0" xfId="0" applyFont="1" applyAlignment="1">
      <alignment horizontal="left"/>
    </xf>
    <xf numFmtId="0" fontId="0" fillId="0" borderId="0" xfId="0" applyAlignment="1">
      <alignment vertical="center" wrapText="1"/>
    </xf>
    <xf numFmtId="0" fontId="0" fillId="0" borderId="0" xfId="0" applyAlignment="1">
      <alignment horizontal="right" vertical="center"/>
    </xf>
    <xf numFmtId="0" fontId="6" fillId="0" borderId="4" xfId="0" applyFont="1" applyBorder="1" applyAlignment="1">
      <alignment horizontal="left"/>
    </xf>
    <xf numFmtId="177" fontId="11" fillId="0" borderId="16" xfId="0" applyNumberFormat="1" applyFont="1" applyBorder="1" applyAlignment="1">
      <alignment horizontal="center"/>
    </xf>
    <xf numFmtId="177" fontId="11" fillId="0" borderId="17" xfId="0" applyNumberFormat="1" applyFont="1" applyBorder="1" applyAlignment="1">
      <alignment horizontal="center"/>
    </xf>
    <xf numFmtId="177" fontId="11" fillId="0" borderId="18" xfId="0" applyNumberFormat="1" applyFont="1" applyBorder="1" applyAlignment="1">
      <alignment horizontal="center"/>
    </xf>
    <xf numFmtId="177" fontId="11" fillId="0" borderId="25" xfId="0" applyNumberFormat="1" applyFont="1" applyBorder="1" applyAlignment="1">
      <alignment horizontal="center"/>
    </xf>
    <xf numFmtId="177" fontId="11" fillId="0" borderId="4" xfId="0" applyNumberFormat="1" applyFont="1" applyBorder="1" applyAlignment="1">
      <alignment horizontal="center"/>
    </xf>
    <xf numFmtId="177" fontId="11" fillId="0" borderId="26" xfId="0" applyNumberFormat="1" applyFont="1" applyBorder="1" applyAlignment="1">
      <alignment horizontal="center"/>
    </xf>
    <xf numFmtId="0" fontId="0" fillId="0" borderId="4" xfId="0" applyBorder="1" applyAlignment="1">
      <alignment horizontal="center" vertical="center"/>
    </xf>
    <xf numFmtId="6" fontId="0" fillId="2" borderId="4" xfId="0" applyNumberFormat="1" applyFill="1" applyBorder="1" applyAlignment="1">
      <alignment horizontal="right"/>
    </xf>
    <xf numFmtId="0" fontId="28" fillId="0" borderId="4" xfId="7" applyFont="1" applyBorder="1"/>
    <xf numFmtId="0" fontId="26" fillId="0" borderId="4" xfId="7" applyFont="1" applyBorder="1"/>
    <xf numFmtId="0" fontId="26" fillId="0" borderId="4" xfId="7" applyFont="1" applyBorder="1" applyAlignment="1">
      <alignment horizontal="center"/>
    </xf>
    <xf numFmtId="3" fontId="26" fillId="0" borderId="4" xfId="7" applyNumberFormat="1" applyFont="1" applyBorder="1" applyAlignment="1">
      <alignment horizontal="center"/>
    </xf>
    <xf numFmtId="2" fontId="26" fillId="0" borderId="4" xfId="7" applyNumberFormat="1" applyFont="1" applyBorder="1" applyAlignment="1">
      <alignment horizontal="center"/>
    </xf>
    <xf numFmtId="16" fontId="26" fillId="0" borderId="4" xfId="7" quotePrefix="1" applyNumberFormat="1" applyFont="1" applyBorder="1" applyAlignment="1">
      <alignment horizontal="center"/>
    </xf>
    <xf numFmtId="0" fontId="28" fillId="0" borderId="9" xfId="12" applyFont="1" applyBorder="1" applyAlignment="1">
      <alignment horizontal="left"/>
    </xf>
    <xf numFmtId="0" fontId="28" fillId="0" borderId="10" xfId="12" applyFont="1" applyBorder="1" applyAlignment="1">
      <alignment horizontal="left" wrapText="1"/>
    </xf>
    <xf numFmtId="0" fontId="28" fillId="0" borderId="11" xfId="12" applyFont="1" applyBorder="1" applyAlignment="1">
      <alignment horizontal="left" wrapText="1"/>
    </xf>
    <xf numFmtId="1" fontId="0" fillId="0" borderId="4" xfId="0" applyNumberFormat="1" applyBorder="1" applyAlignment="1">
      <alignment horizontal="center"/>
    </xf>
    <xf numFmtId="0" fontId="0" fillId="0" borderId="0" xfId="0" applyAlignment="1">
      <alignment horizontal="center" vertical="center"/>
    </xf>
    <xf numFmtId="0" fontId="0" fillId="0" borderId="0" xfId="0" applyAlignment="1">
      <alignment horizontal="left" vertical="center"/>
    </xf>
    <xf numFmtId="0" fontId="5" fillId="0" borderId="4" xfId="0" applyFont="1" applyBorder="1" applyAlignment="1">
      <alignment horizontal="center" vertical="center"/>
    </xf>
    <xf numFmtId="1" fontId="29" fillId="0" borderId="4" xfId="0" applyNumberFormat="1" applyFont="1" applyBorder="1" applyAlignment="1">
      <alignment horizontal="center" vertical="center" shrinkToFit="1"/>
    </xf>
    <xf numFmtId="168" fontId="29" fillId="0" borderId="4" xfId="0" applyNumberFormat="1" applyFont="1" applyBorder="1" applyAlignment="1">
      <alignment horizontal="center" vertical="center" shrinkToFit="1"/>
    </xf>
    <xf numFmtId="0" fontId="12" fillId="0" borderId="16" xfId="5" applyFont="1" applyBorder="1" applyAlignment="1">
      <alignment horizontal="left" vertical="center"/>
    </xf>
    <xf numFmtId="0" fontId="12" fillId="0" borderId="18" xfId="5" applyFont="1" applyBorder="1" applyAlignment="1">
      <alignment horizontal="center" vertical="center"/>
    </xf>
    <xf numFmtId="0" fontId="12" fillId="0" borderId="25" xfId="5" applyFont="1" applyBorder="1" applyAlignment="1">
      <alignment horizontal="left" vertical="center"/>
    </xf>
    <xf numFmtId="0" fontId="12" fillId="0" borderId="26" xfId="5" applyFont="1" applyBorder="1" applyAlignment="1">
      <alignment horizontal="center" vertical="center"/>
    </xf>
    <xf numFmtId="167" fontId="12" fillId="0" borderId="26" xfId="2" applyNumberFormat="1" applyFont="1" applyBorder="1" applyAlignment="1">
      <alignment horizontal="center" vertical="center"/>
    </xf>
    <xf numFmtId="167" fontId="12" fillId="0" borderId="26" xfId="2" applyNumberFormat="1" applyFont="1" applyFill="1" applyBorder="1" applyAlignment="1">
      <alignment horizontal="center" vertical="center"/>
    </xf>
    <xf numFmtId="165" fontId="12" fillId="0" borderId="26" xfId="5" applyNumberFormat="1" applyFont="1" applyBorder="1" applyAlignment="1">
      <alignment horizontal="center" vertical="center"/>
    </xf>
    <xf numFmtId="0" fontId="12" fillId="0" borderId="28" xfId="5" applyFont="1" applyBorder="1" applyAlignment="1">
      <alignment horizontal="left" vertical="center"/>
    </xf>
    <xf numFmtId="0" fontId="11" fillId="0" borderId="4" xfId="0" applyFont="1" applyBorder="1" applyAlignment="1">
      <alignment horizontal="center"/>
    </xf>
    <xf numFmtId="0" fontId="11" fillId="0" borderId="18" xfId="0" applyFont="1" applyBorder="1" applyAlignment="1">
      <alignment horizontal="center"/>
    </xf>
    <xf numFmtId="0" fontId="11" fillId="0" borderId="25" xfId="0" applyFont="1" applyBorder="1" applyAlignment="1">
      <alignment horizontal="center"/>
    </xf>
    <xf numFmtId="0" fontId="11" fillId="0" borderId="26" xfId="0" applyFont="1" applyBorder="1" applyAlignment="1">
      <alignment horizontal="center"/>
    </xf>
    <xf numFmtId="0" fontId="11" fillId="0" borderId="28" xfId="0" applyFont="1" applyBorder="1" applyAlignment="1">
      <alignment horizontal="center"/>
    </xf>
    <xf numFmtId="0" fontId="11" fillId="0" borderId="29" xfId="0" applyFont="1" applyBorder="1" applyAlignment="1">
      <alignment horizontal="center"/>
    </xf>
    <xf numFmtId="0" fontId="11" fillId="0" borderId="30" xfId="0" applyFont="1" applyBorder="1" applyAlignment="1">
      <alignment horizontal="center"/>
    </xf>
    <xf numFmtId="0" fontId="11" fillId="0" borderId="37" xfId="0" applyFont="1" applyBorder="1" applyAlignment="1">
      <alignment horizontal="center"/>
    </xf>
    <xf numFmtId="0" fontId="11" fillId="0" borderId="50" xfId="0" applyFont="1" applyBorder="1" applyAlignment="1">
      <alignment horizontal="center"/>
    </xf>
    <xf numFmtId="0" fontId="11" fillId="0" borderId="38" xfId="0" applyFont="1" applyBorder="1" applyAlignment="1">
      <alignment horizontal="center"/>
    </xf>
    <xf numFmtId="0" fontId="10" fillId="0" borderId="7" xfId="0" applyFont="1" applyBorder="1" applyAlignment="1">
      <alignment horizontal="center"/>
    </xf>
    <xf numFmtId="0" fontId="10" fillId="0" borderId="76" xfId="0" applyFont="1" applyBorder="1" applyAlignment="1">
      <alignment horizontal="center"/>
    </xf>
    <xf numFmtId="0" fontId="10" fillId="0" borderId="8" xfId="0" applyFont="1" applyBorder="1" applyAlignment="1">
      <alignment horizontal="center"/>
    </xf>
    <xf numFmtId="0" fontId="11" fillId="0" borderId="0" xfId="0" applyFont="1" applyAlignment="1">
      <alignment horizontal="right"/>
    </xf>
    <xf numFmtId="164" fontId="11" fillId="0" borderId="0" xfId="1" applyNumberFormat="1" applyFont="1"/>
    <xf numFmtId="164" fontId="11" fillId="0" borderId="0" xfId="0" applyNumberFormat="1" applyFont="1"/>
    <xf numFmtId="0" fontId="11" fillId="0" borderId="42" xfId="0" applyFont="1" applyBorder="1" applyAlignment="1">
      <alignment horizontal="center"/>
    </xf>
    <xf numFmtId="0" fontId="11" fillId="0" borderId="46" xfId="0" applyFont="1" applyBorder="1" applyAlignment="1">
      <alignment horizontal="center"/>
    </xf>
    <xf numFmtId="0" fontId="11" fillId="0" borderId="47" xfId="0" applyFont="1" applyBorder="1" applyAlignment="1">
      <alignment horizontal="center"/>
    </xf>
    <xf numFmtId="3" fontId="11" fillId="0" borderId="37" xfId="0" applyNumberFormat="1" applyFont="1" applyBorder="1" applyAlignment="1">
      <alignment horizontal="center"/>
    </xf>
    <xf numFmtId="3" fontId="11" fillId="0" borderId="50" xfId="0" applyNumberFormat="1" applyFont="1" applyBorder="1" applyAlignment="1">
      <alignment horizontal="center"/>
    </xf>
    <xf numFmtId="3" fontId="11" fillId="0" borderId="38" xfId="0" applyNumberFormat="1" applyFont="1" applyBorder="1" applyAlignment="1">
      <alignment horizontal="center"/>
    </xf>
    <xf numFmtId="4" fontId="11" fillId="0" borderId="49" xfId="0" applyNumberFormat="1" applyFont="1" applyBorder="1" applyAlignment="1">
      <alignment horizontal="center"/>
    </xf>
    <xf numFmtId="4" fontId="11" fillId="0" borderId="50" xfId="0" applyNumberFormat="1" applyFont="1" applyBorder="1" applyAlignment="1">
      <alignment horizontal="center"/>
    </xf>
    <xf numFmtId="4" fontId="11" fillId="0" borderId="48" xfId="0" applyNumberFormat="1" applyFont="1" applyBorder="1" applyAlignment="1">
      <alignment horizontal="center"/>
    </xf>
    <xf numFmtId="4" fontId="11" fillId="0" borderId="37" xfId="0" applyNumberFormat="1" applyFont="1" applyBorder="1" applyAlignment="1">
      <alignment horizontal="center"/>
    </xf>
    <xf numFmtId="4" fontId="11" fillId="0" borderId="38" xfId="0" applyNumberFormat="1" applyFont="1" applyBorder="1" applyAlignment="1">
      <alignment horizontal="center"/>
    </xf>
    <xf numFmtId="166" fontId="11" fillId="0" borderId="37" xfId="0" applyNumberFormat="1" applyFont="1" applyBorder="1" applyAlignment="1">
      <alignment horizontal="center"/>
    </xf>
    <xf numFmtId="166" fontId="11" fillId="0" borderId="38" xfId="0" applyNumberFormat="1" applyFont="1" applyBorder="1" applyAlignment="1">
      <alignment horizontal="center"/>
    </xf>
    <xf numFmtId="166" fontId="11" fillId="0" borderId="49" xfId="0" applyNumberFormat="1" applyFont="1" applyBorder="1" applyAlignment="1">
      <alignment horizontal="center"/>
    </xf>
    <xf numFmtId="0" fontId="11" fillId="0" borderId="16" xfId="0" applyFont="1" applyBorder="1"/>
    <xf numFmtId="0" fontId="11" fillId="0" borderId="16" xfId="0" applyFont="1" applyBorder="1" applyAlignment="1">
      <alignment horizontal="left"/>
    </xf>
    <xf numFmtId="0" fontId="11" fillId="0" borderId="17" xfId="0" applyFont="1" applyBorder="1"/>
    <xf numFmtId="3" fontId="11" fillId="0" borderId="25" xfId="0" applyNumberFormat="1" applyFont="1" applyBorder="1" applyAlignment="1">
      <alignment horizontal="center"/>
    </xf>
    <xf numFmtId="3" fontId="11" fillId="0" borderId="4" xfId="0" applyNumberFormat="1" applyFont="1" applyBorder="1" applyAlignment="1">
      <alignment horizontal="center"/>
    </xf>
    <xf numFmtId="3" fontId="11" fillId="0" borderId="26" xfId="0" applyNumberFormat="1" applyFont="1" applyBorder="1" applyAlignment="1">
      <alignment horizontal="center"/>
    </xf>
    <xf numFmtId="4" fontId="11" fillId="0" borderId="3" xfId="0" applyNumberFormat="1" applyFont="1" applyBorder="1" applyAlignment="1">
      <alignment horizontal="center"/>
    </xf>
    <xf numFmtId="4" fontId="11" fillId="0" borderId="4" xfId="0" applyNumberFormat="1" applyFont="1" applyBorder="1" applyAlignment="1">
      <alignment horizontal="center"/>
    </xf>
    <xf numFmtId="4" fontId="11" fillId="0" borderId="1" xfId="0" applyNumberFormat="1" applyFont="1" applyBorder="1" applyAlignment="1">
      <alignment horizontal="center"/>
    </xf>
    <xf numFmtId="4" fontId="11" fillId="0" borderId="25" xfId="0" applyNumberFormat="1" applyFont="1" applyBorder="1" applyAlignment="1">
      <alignment horizontal="center"/>
    </xf>
    <xf numFmtId="4" fontId="11" fillId="0" borderId="26" xfId="0" applyNumberFormat="1" applyFont="1" applyBorder="1" applyAlignment="1">
      <alignment horizontal="center"/>
    </xf>
    <xf numFmtId="166" fontId="11" fillId="0" borderId="25" xfId="0" applyNumberFormat="1" applyFont="1" applyBorder="1" applyAlignment="1">
      <alignment horizontal="center"/>
    </xf>
    <xf numFmtId="166" fontId="11" fillId="0" borderId="26" xfId="0" applyNumberFormat="1" applyFont="1" applyBorder="1" applyAlignment="1">
      <alignment horizontal="center"/>
    </xf>
    <xf numFmtId="166" fontId="11" fillId="0" borderId="3" xfId="0" applyNumberFormat="1" applyFont="1" applyBorder="1" applyAlignment="1">
      <alignment horizontal="center"/>
    </xf>
    <xf numFmtId="0" fontId="11" fillId="0" borderId="25" xfId="0" applyFont="1" applyBorder="1"/>
    <xf numFmtId="0" fontId="11" fillId="0" borderId="26" xfId="0" applyFont="1" applyBorder="1"/>
    <xf numFmtId="0" fontId="11" fillId="0" borderId="4" xfId="0" applyFont="1" applyBorder="1"/>
    <xf numFmtId="0" fontId="41" fillId="0" borderId="16" xfId="7" applyFont="1" applyBorder="1" applyAlignment="1">
      <alignment horizontal="left" vertical="top"/>
    </xf>
    <xf numFmtId="0" fontId="41" fillId="0" borderId="25" xfId="7" applyFont="1" applyBorder="1" applyAlignment="1">
      <alignment horizontal="left" vertical="top"/>
    </xf>
    <xf numFmtId="1" fontId="11" fillId="0" borderId="0" xfId="0" applyNumberFormat="1" applyFont="1"/>
    <xf numFmtId="0" fontId="41" fillId="0" borderId="0" xfId="7" applyFont="1" applyAlignment="1">
      <alignment horizontal="left" vertical="top"/>
    </xf>
    <xf numFmtId="0" fontId="41" fillId="0" borderId="28" xfId="7" applyFont="1" applyBorder="1" applyAlignment="1">
      <alignment horizontal="left" vertical="top"/>
    </xf>
    <xf numFmtId="167" fontId="11" fillId="0" borderId="30" xfId="2" applyNumberFormat="1" applyFont="1" applyBorder="1" applyAlignment="1">
      <alignment horizontal="center"/>
    </xf>
    <xf numFmtId="0" fontId="11" fillId="0" borderId="29" xfId="0" applyFont="1" applyBorder="1"/>
    <xf numFmtId="3" fontId="11" fillId="0" borderId="28" xfId="0" applyNumberFormat="1" applyFont="1" applyBorder="1" applyAlignment="1">
      <alignment horizontal="center"/>
    </xf>
    <xf numFmtId="3" fontId="11" fillId="0" borderId="29" xfId="0" applyNumberFormat="1" applyFont="1" applyBorder="1" applyAlignment="1">
      <alignment horizontal="center"/>
    </xf>
    <xf numFmtId="3" fontId="11" fillId="0" borderId="30" xfId="0" applyNumberFormat="1" applyFont="1" applyBorder="1" applyAlignment="1">
      <alignment horizontal="center"/>
    </xf>
    <xf numFmtId="4" fontId="11" fillId="0" borderId="42" xfId="0" applyNumberFormat="1" applyFont="1" applyBorder="1" applyAlignment="1">
      <alignment horizontal="center"/>
    </xf>
    <xf numFmtId="4" fontId="11" fillId="0" borderId="29" xfId="0" applyNumberFormat="1" applyFont="1" applyBorder="1" applyAlignment="1">
      <alignment horizontal="center"/>
    </xf>
    <xf numFmtId="4" fontId="11" fillId="0" borderId="46" xfId="0" applyNumberFormat="1" applyFont="1" applyBorder="1" applyAlignment="1">
      <alignment horizontal="center"/>
    </xf>
    <xf numFmtId="4" fontId="11" fillId="0" borderId="28" xfId="0" applyNumberFormat="1" applyFont="1" applyBorder="1" applyAlignment="1">
      <alignment horizontal="center"/>
    </xf>
    <xf numFmtId="4" fontId="11" fillId="0" borderId="30" xfId="0" applyNumberFormat="1" applyFont="1" applyBorder="1" applyAlignment="1">
      <alignment horizontal="center"/>
    </xf>
    <xf numFmtId="166" fontId="11" fillId="0" borderId="28" xfId="0" applyNumberFormat="1" applyFont="1" applyBorder="1" applyAlignment="1">
      <alignment horizontal="center"/>
    </xf>
    <xf numFmtId="166" fontId="11" fillId="0" borderId="30" xfId="0" applyNumberFormat="1" applyFont="1" applyBorder="1" applyAlignment="1">
      <alignment horizontal="center"/>
    </xf>
    <xf numFmtId="166" fontId="11" fillId="0" borderId="42" xfId="0" applyNumberFormat="1" applyFont="1" applyBorder="1" applyAlignment="1">
      <alignment horizontal="center"/>
    </xf>
    <xf numFmtId="167" fontId="11" fillId="0" borderId="0" xfId="2" applyNumberFormat="1" applyFont="1" applyBorder="1" applyAlignment="1">
      <alignment horizontal="center"/>
    </xf>
    <xf numFmtId="178" fontId="11" fillId="0" borderId="17" xfId="0" applyNumberFormat="1" applyFont="1" applyBorder="1"/>
    <xf numFmtId="178" fontId="11" fillId="0" borderId="0" xfId="0" applyNumberFormat="1" applyFont="1"/>
    <xf numFmtId="1" fontId="11" fillId="0" borderId="30" xfId="0" applyNumberFormat="1" applyFont="1" applyBorder="1" applyAlignment="1">
      <alignment horizontal="center"/>
    </xf>
    <xf numFmtId="1" fontId="11" fillId="0" borderId="26" xfId="0" applyNumberFormat="1" applyFont="1" applyBorder="1" applyAlignment="1">
      <alignment horizontal="center"/>
    </xf>
    <xf numFmtId="1" fontId="11" fillId="0" borderId="18" xfId="0" applyNumberFormat="1" applyFont="1" applyBorder="1" applyAlignment="1">
      <alignment horizontal="center"/>
    </xf>
    <xf numFmtId="0" fontId="42" fillId="0" borderId="0" xfId="0" applyFont="1"/>
    <xf numFmtId="0" fontId="12" fillId="0" borderId="0" xfId="0" applyFont="1"/>
    <xf numFmtId="0" fontId="12" fillId="0" borderId="0" xfId="0" applyFont="1" applyAlignment="1">
      <alignment horizontal="center"/>
    </xf>
    <xf numFmtId="166" fontId="12" fillId="0" borderId="37" xfId="0" applyNumberFormat="1" applyFont="1" applyBorder="1" applyAlignment="1">
      <alignment horizontal="center"/>
    </xf>
    <xf numFmtId="166" fontId="12" fillId="0" borderId="38" xfId="0" applyNumberFormat="1" applyFont="1" applyBorder="1" applyAlignment="1">
      <alignment horizontal="center"/>
    </xf>
    <xf numFmtId="171" fontId="12" fillId="0" borderId="37" xfId="11" applyNumberFormat="1" applyFont="1" applyBorder="1"/>
    <xf numFmtId="171" fontId="12" fillId="0" borderId="38" xfId="11" applyNumberFormat="1" applyFont="1" applyBorder="1"/>
    <xf numFmtId="166" fontId="12" fillId="0" borderId="49" xfId="0" applyNumberFormat="1" applyFont="1" applyBorder="1" applyAlignment="1">
      <alignment horizontal="center" vertical="center"/>
    </xf>
    <xf numFmtId="166" fontId="12" fillId="0" borderId="38" xfId="0" applyNumberFormat="1" applyFont="1" applyBorder="1" applyAlignment="1">
      <alignment horizontal="center" vertical="center"/>
    </xf>
    <xf numFmtId="166" fontId="12" fillId="0" borderId="25" xfId="0" applyNumberFormat="1" applyFont="1" applyBorder="1" applyAlignment="1">
      <alignment horizontal="center"/>
    </xf>
    <xf numFmtId="166" fontId="12" fillId="0" borderId="26" xfId="0" applyNumberFormat="1" applyFont="1" applyBorder="1" applyAlignment="1">
      <alignment horizontal="center"/>
    </xf>
    <xf numFmtId="171" fontId="12" fillId="0" borderId="25" xfId="11" applyNumberFormat="1" applyFont="1" applyBorder="1"/>
    <xf numFmtId="171" fontId="12" fillId="0" borderId="26" xfId="11" applyNumberFormat="1" applyFont="1" applyBorder="1"/>
    <xf numFmtId="166" fontId="12" fillId="0" borderId="3" xfId="0" applyNumberFormat="1" applyFont="1" applyBorder="1" applyAlignment="1">
      <alignment horizontal="center" vertical="center"/>
    </xf>
    <xf numFmtId="166" fontId="12" fillId="0" borderId="26" xfId="0" applyNumberFormat="1" applyFont="1" applyBorder="1" applyAlignment="1">
      <alignment horizontal="center" vertical="center"/>
    </xf>
    <xf numFmtId="166" fontId="12" fillId="0" borderId="28" xfId="0" applyNumberFormat="1" applyFont="1" applyBorder="1" applyAlignment="1">
      <alignment horizontal="center"/>
    </xf>
    <xf numFmtId="166" fontId="12" fillId="0" borderId="30" xfId="0" applyNumberFormat="1" applyFont="1" applyBorder="1" applyAlignment="1">
      <alignment horizontal="center"/>
    </xf>
    <xf numFmtId="171" fontId="12" fillId="0" borderId="28" xfId="11" applyNumberFormat="1" applyFont="1" applyBorder="1"/>
    <xf numFmtId="171" fontId="12" fillId="0" borderId="30" xfId="11" applyNumberFormat="1" applyFont="1" applyBorder="1"/>
    <xf numFmtId="166" fontId="12" fillId="0" borderId="42" xfId="0" applyNumberFormat="1" applyFont="1" applyBorder="1" applyAlignment="1">
      <alignment horizontal="center" vertical="center"/>
    </xf>
    <xf numFmtId="166" fontId="12" fillId="0" borderId="30" xfId="0" applyNumberFormat="1" applyFont="1" applyBorder="1" applyAlignment="1">
      <alignment horizontal="center" vertical="center"/>
    </xf>
    <xf numFmtId="6" fontId="12" fillId="0" borderId="0" xfId="0" applyNumberFormat="1" applyFont="1"/>
    <xf numFmtId="0" fontId="12" fillId="0" borderId="4" xfId="0" applyFont="1" applyBorder="1" applyAlignment="1">
      <alignment horizontal="center"/>
    </xf>
    <xf numFmtId="166" fontId="12" fillId="0" borderId="4" xfId="0" applyNumberFormat="1" applyFont="1" applyBorder="1" applyAlignment="1">
      <alignment horizontal="center"/>
    </xf>
    <xf numFmtId="0" fontId="12" fillId="0" borderId="4" xfId="0" applyFont="1" applyBorder="1" applyAlignment="1">
      <alignment horizontal="left"/>
    </xf>
    <xf numFmtId="9" fontId="12" fillId="0" borderId="4" xfId="0" applyNumberFormat="1" applyFont="1" applyBorder="1" applyAlignment="1">
      <alignment horizontal="center"/>
    </xf>
    <xf numFmtId="0" fontId="42" fillId="0" borderId="0" xfId="0" applyFont="1" applyAlignment="1">
      <alignment horizontal="left"/>
    </xf>
    <xf numFmtId="0" fontId="12" fillId="0" borderId="4" xfId="0" applyFont="1" applyBorder="1"/>
    <xf numFmtId="1" fontId="0" fillId="0" borderId="4" xfId="4" applyNumberFormat="1" applyFont="1" applyFill="1" applyBorder="1" applyAlignment="1">
      <alignment horizontal="center"/>
    </xf>
    <xf numFmtId="0" fontId="12" fillId="0" borderId="0" xfId="0" applyFont="1" applyAlignment="1">
      <alignment horizontal="right"/>
    </xf>
    <xf numFmtId="2" fontId="11" fillId="0" borderId="4" xfId="0" applyNumberFormat="1" applyFont="1" applyBorder="1" applyAlignment="1">
      <alignment horizontal="center"/>
    </xf>
    <xf numFmtId="169" fontId="11" fillId="0" borderId="4" xfId="0" applyNumberFormat="1" applyFont="1" applyBorder="1" applyAlignment="1">
      <alignment horizontal="center"/>
    </xf>
    <xf numFmtId="44" fontId="12" fillId="0" borderId="4" xfId="0" applyNumberFormat="1" applyFont="1" applyBorder="1"/>
    <xf numFmtId="0" fontId="12" fillId="0" borderId="4" xfId="0" applyFont="1" applyBorder="1" applyAlignment="1">
      <alignment vertical="center"/>
    </xf>
    <xf numFmtId="0" fontId="11" fillId="0" borderId="61" xfId="0" applyFont="1" applyBorder="1" applyAlignment="1">
      <alignment horizontal="center" vertical="center" wrapText="1"/>
    </xf>
    <xf numFmtId="166" fontId="11" fillId="0" borderId="16" xfId="0" applyNumberFormat="1" applyFont="1" applyBorder="1" applyAlignment="1">
      <alignment horizontal="center" vertical="center"/>
    </xf>
    <xf numFmtId="166" fontId="11" fillId="0" borderId="18" xfId="0" applyNumberFormat="1" applyFont="1" applyBorder="1" applyAlignment="1">
      <alignment horizontal="center" vertical="center"/>
    </xf>
    <xf numFmtId="166" fontId="11" fillId="0" borderId="61" xfId="0" applyNumberFormat="1" applyFont="1" applyBorder="1" applyAlignment="1">
      <alignment horizontal="center" vertical="center" wrapText="1"/>
    </xf>
    <xf numFmtId="166" fontId="11" fillId="0" borderId="18" xfId="0" applyNumberFormat="1" applyFont="1" applyBorder="1" applyAlignment="1">
      <alignment horizontal="center" vertical="center" wrapText="1"/>
    </xf>
    <xf numFmtId="170" fontId="18" fillId="0" borderId="0" xfId="0" applyNumberFormat="1" applyFont="1"/>
    <xf numFmtId="0" fontId="11" fillId="0" borderId="62" xfId="0" applyFont="1" applyBorder="1" applyAlignment="1">
      <alignment horizontal="center" vertical="center" wrapText="1"/>
    </xf>
    <xf numFmtId="166" fontId="11" fillId="0" borderId="34" xfId="0" applyNumberFormat="1" applyFont="1" applyBorder="1" applyAlignment="1">
      <alignment horizontal="center" vertical="center"/>
    </xf>
    <xf numFmtId="166" fontId="11" fillId="0" borderId="36" xfId="0" applyNumberFormat="1" applyFont="1" applyBorder="1" applyAlignment="1">
      <alignment horizontal="center" vertical="center"/>
    </xf>
    <xf numFmtId="0" fontId="18" fillId="0" borderId="0" xfId="0" applyFont="1"/>
    <xf numFmtId="166" fontId="11" fillId="0" borderId="61" xfId="0" applyNumberFormat="1" applyFont="1" applyBorder="1" applyAlignment="1">
      <alignment horizontal="center" vertical="center"/>
    </xf>
    <xf numFmtId="166" fontId="11" fillId="0" borderId="61" xfId="0" applyNumberFormat="1" applyFont="1" applyBorder="1" applyAlignment="1">
      <alignment horizontal="center"/>
    </xf>
    <xf numFmtId="166" fontId="11" fillId="0" borderId="51" xfId="0" applyNumberFormat="1" applyFont="1" applyBorder="1" applyAlignment="1">
      <alignment horizontal="center" vertical="center"/>
    </xf>
    <xf numFmtId="166" fontId="11" fillId="0" borderId="51" xfId="0" applyNumberFormat="1" applyFont="1" applyBorder="1" applyAlignment="1">
      <alignment horizontal="center"/>
    </xf>
    <xf numFmtId="0" fontId="12" fillId="0" borderId="4" xfId="4" applyNumberFormat="1" applyFont="1" applyFill="1" applyBorder="1" applyAlignment="1">
      <alignment horizontal="center"/>
    </xf>
    <xf numFmtId="166" fontId="10" fillId="0" borderId="4" xfId="0" applyNumberFormat="1" applyFont="1" applyBorder="1" applyAlignment="1">
      <alignment horizontal="center"/>
    </xf>
    <xf numFmtId="166" fontId="42" fillId="0" borderId="4" xfId="4" applyNumberFormat="1" applyFont="1" applyFill="1" applyBorder="1" applyAlignment="1">
      <alignment horizontal="center"/>
    </xf>
    <xf numFmtId="0" fontId="42" fillId="0" borderId="0" xfId="6" applyFont="1" applyAlignment="1">
      <alignment horizontal="center" vertical="center"/>
    </xf>
    <xf numFmtId="2" fontId="12" fillId="0" borderId="4" xfId="0" applyNumberFormat="1" applyFont="1" applyBorder="1" applyAlignment="1">
      <alignment horizontal="center"/>
    </xf>
    <xf numFmtId="166" fontId="12" fillId="0" borderId="4" xfId="4" applyNumberFormat="1" applyFont="1" applyFill="1" applyBorder="1" applyAlignment="1">
      <alignment horizontal="center" vertical="center"/>
    </xf>
    <xf numFmtId="171" fontId="12" fillId="0" borderId="0" xfId="4" applyNumberFormat="1" applyFont="1" applyFill="1" applyBorder="1" applyAlignment="1">
      <alignment horizontal="center"/>
    </xf>
    <xf numFmtId="166" fontId="11" fillId="0" borderId="4" xfId="0" applyNumberFormat="1" applyFont="1" applyBorder="1" applyAlignment="1">
      <alignment horizontal="center" vertical="center" wrapText="1"/>
    </xf>
    <xf numFmtId="171" fontId="42" fillId="0" borderId="0" xfId="4" applyNumberFormat="1" applyFont="1" applyFill="1" applyBorder="1" applyAlignment="1">
      <alignment horizontal="center"/>
    </xf>
    <xf numFmtId="166" fontId="11" fillId="0" borderId="52" xfId="0" applyNumberFormat="1" applyFont="1" applyBorder="1" applyAlignment="1">
      <alignment horizontal="center" vertical="center"/>
    </xf>
    <xf numFmtId="166" fontId="11" fillId="0" borderId="52" xfId="0" applyNumberFormat="1" applyFont="1" applyBorder="1" applyAlignment="1">
      <alignment horizontal="center"/>
    </xf>
    <xf numFmtId="166" fontId="11" fillId="0" borderId="0" xfId="0" applyNumberFormat="1" applyFont="1"/>
    <xf numFmtId="0" fontId="11" fillId="0" borderId="0" xfId="0" applyFont="1" applyAlignment="1">
      <alignment horizontal="left" vertical="top" wrapText="1"/>
    </xf>
    <xf numFmtId="1" fontId="0" fillId="0" borderId="0" xfId="0" applyNumberFormat="1" applyAlignment="1">
      <alignment horizontal="center"/>
    </xf>
    <xf numFmtId="174" fontId="0" fillId="0" borderId="4" xfId="0" applyNumberFormat="1" applyBorder="1"/>
    <xf numFmtId="1" fontId="0" fillId="0" borderId="4" xfId="0" applyNumberFormat="1" applyBorder="1"/>
    <xf numFmtId="2" fontId="0" fillId="0" borderId="4" xfId="0" applyNumberFormat="1" applyBorder="1" applyAlignment="1">
      <alignment horizontal="left"/>
    </xf>
    <xf numFmtId="174" fontId="0" fillId="0" borderId="0" xfId="0" applyNumberFormat="1"/>
    <xf numFmtId="168" fontId="11" fillId="0" borderId="45" xfId="0" applyNumberFormat="1" applyFont="1" applyBorder="1" applyAlignment="1">
      <alignment horizontal="center"/>
    </xf>
    <xf numFmtId="6" fontId="11" fillId="0" borderId="20" xfId="0" applyNumberFormat="1" applyFont="1" applyBorder="1" applyAlignment="1">
      <alignment horizontal="center"/>
    </xf>
    <xf numFmtId="6" fontId="11" fillId="0" borderId="22" xfId="0" applyNumberFormat="1" applyFont="1" applyBorder="1" applyAlignment="1">
      <alignment horizontal="center"/>
    </xf>
    <xf numFmtId="3" fontId="11" fillId="0" borderId="27" xfId="0" applyNumberFormat="1" applyFont="1" applyBorder="1" applyAlignment="1">
      <alignment horizontal="center"/>
    </xf>
    <xf numFmtId="177" fontId="11" fillId="0" borderId="28" xfId="0" applyNumberFormat="1" applyFont="1" applyBorder="1" applyAlignment="1">
      <alignment horizontal="center"/>
    </xf>
    <xf numFmtId="177" fontId="11" fillId="0" borderId="29" xfId="0" applyNumberFormat="1" applyFont="1" applyBorder="1" applyAlignment="1">
      <alignment horizontal="center"/>
    </xf>
    <xf numFmtId="177" fontId="11" fillId="0" borderId="30" xfId="0" applyNumberFormat="1" applyFont="1" applyBorder="1" applyAlignment="1">
      <alignment horizontal="center"/>
    </xf>
    <xf numFmtId="6" fontId="11" fillId="0" borderId="42" xfId="0" applyNumberFormat="1" applyFont="1" applyBorder="1" applyAlignment="1">
      <alignment horizontal="center"/>
    </xf>
    <xf numFmtId="6" fontId="11" fillId="0" borderId="29" xfId="0" applyNumberFormat="1" applyFont="1" applyBorder="1" applyAlignment="1">
      <alignment horizontal="center"/>
    </xf>
    <xf numFmtId="6" fontId="11" fillId="0" borderId="30" xfId="0" applyNumberFormat="1" applyFont="1" applyBorder="1" applyAlignment="1">
      <alignment horizontal="center"/>
    </xf>
    <xf numFmtId="6" fontId="11" fillId="0" borderId="27" xfId="0" applyNumberFormat="1" applyFont="1" applyBorder="1" applyAlignment="1">
      <alignment horizontal="center"/>
    </xf>
    <xf numFmtId="6" fontId="11" fillId="0" borderId="77" xfId="0" applyNumberFormat="1" applyFont="1" applyBorder="1" applyAlignment="1">
      <alignment horizontal="center"/>
    </xf>
    <xf numFmtId="168" fontId="0" fillId="0" borderId="0" xfId="0" applyNumberFormat="1" applyAlignment="1">
      <alignment horizontal="center"/>
    </xf>
    <xf numFmtId="0" fontId="5" fillId="0" borderId="16" xfId="0" applyFont="1" applyBorder="1" applyAlignment="1">
      <alignment horizontal="left" vertical="center"/>
    </xf>
    <xf numFmtId="1" fontId="29" fillId="0" borderId="17" xfId="0" applyNumberFormat="1" applyFont="1" applyBorder="1" applyAlignment="1">
      <alignment horizontal="center" vertical="center" shrinkToFit="1"/>
    </xf>
    <xf numFmtId="168" fontId="29" fillId="0" borderId="17" xfId="0" applyNumberFormat="1" applyFont="1" applyBorder="1" applyAlignment="1">
      <alignment horizontal="center" vertical="center" shrinkToFit="1"/>
    </xf>
    <xf numFmtId="0" fontId="5" fillId="0" borderId="25" xfId="0" applyFont="1" applyBorder="1" applyAlignment="1">
      <alignment horizontal="left" vertical="center"/>
    </xf>
    <xf numFmtId="0" fontId="5" fillId="0" borderId="26" xfId="0" applyFont="1" applyBorder="1" applyAlignment="1">
      <alignment horizontal="center" vertical="center"/>
    </xf>
    <xf numFmtId="0" fontId="5" fillId="0" borderId="28" xfId="0" applyFont="1" applyBorder="1" applyAlignment="1">
      <alignment horizontal="left" vertical="center"/>
    </xf>
    <xf numFmtId="1" fontId="29" fillId="0" borderId="29" xfId="0" applyNumberFormat="1" applyFont="1" applyBorder="1" applyAlignment="1">
      <alignment horizontal="center" vertical="center" shrinkToFit="1"/>
    </xf>
    <xf numFmtId="168" fontId="29" fillId="0" borderId="29" xfId="0" applyNumberFormat="1" applyFont="1" applyBorder="1" applyAlignment="1">
      <alignment horizontal="center" vertical="center" shrinkToFit="1"/>
    </xf>
    <xf numFmtId="0" fontId="0" fillId="0" borderId="16" xfId="0" applyBorder="1" applyAlignment="1">
      <alignment horizontal="left" vertical="center"/>
    </xf>
    <xf numFmtId="168" fontId="0" fillId="0" borderId="17" xfId="0" applyNumberFormat="1" applyBorder="1" applyAlignment="1">
      <alignment horizontal="center" vertical="center"/>
    </xf>
    <xf numFmtId="0" fontId="0" fillId="0" borderId="17" xfId="0" applyBorder="1" applyAlignment="1">
      <alignment horizontal="center" vertical="center"/>
    </xf>
    <xf numFmtId="0" fontId="5" fillId="0" borderId="28" xfId="0" applyFont="1" applyBorder="1" applyAlignment="1">
      <alignment horizontal="left" vertical="center" wrapText="1"/>
    </xf>
    <xf numFmtId="0" fontId="0" fillId="0" borderId="29" xfId="0" applyBorder="1" applyAlignment="1">
      <alignment horizontal="center" vertical="center"/>
    </xf>
    <xf numFmtId="0" fontId="0" fillId="0" borderId="30" xfId="0" applyBorder="1" applyAlignment="1">
      <alignment horizontal="center" vertical="center"/>
    </xf>
    <xf numFmtId="1" fontId="0" fillId="0" borderId="17" xfId="0" applyNumberFormat="1" applyBorder="1" applyAlignment="1">
      <alignment horizontal="center" vertical="center"/>
    </xf>
    <xf numFmtId="1" fontId="0" fillId="0" borderId="29" xfId="0" applyNumberFormat="1" applyBorder="1" applyAlignment="1">
      <alignment horizontal="center" vertical="center"/>
    </xf>
    <xf numFmtId="0" fontId="11" fillId="0" borderId="52" xfId="0" applyFont="1" applyBorder="1" applyAlignment="1">
      <alignment horizontal="center" vertical="center" wrapText="1"/>
    </xf>
    <xf numFmtId="167" fontId="11" fillId="0" borderId="74" xfId="2" applyNumberFormat="1" applyFont="1" applyBorder="1" applyAlignment="1">
      <alignment horizontal="center"/>
    </xf>
    <xf numFmtId="166" fontId="12" fillId="0" borderId="16" xfId="0" applyNumberFormat="1" applyFont="1" applyBorder="1" applyAlignment="1">
      <alignment horizontal="center"/>
    </xf>
    <xf numFmtId="166" fontId="12" fillId="0" borderId="18" xfId="0" applyNumberFormat="1" applyFont="1" applyBorder="1" applyAlignment="1">
      <alignment horizontal="center"/>
    </xf>
    <xf numFmtId="0" fontId="26" fillId="0" borderId="0" xfId="7" applyFont="1" applyAlignment="1">
      <alignment horizontal="center" vertical="top"/>
    </xf>
    <xf numFmtId="0" fontId="26" fillId="0" borderId="81" xfId="7" applyFont="1" applyBorder="1" applyAlignment="1">
      <alignment horizontal="center" vertical="top"/>
    </xf>
    <xf numFmtId="0" fontId="26" fillId="0" borderId="64" xfId="7" applyFont="1" applyBorder="1" applyAlignment="1">
      <alignment horizontal="center" vertical="center"/>
    </xf>
    <xf numFmtId="0" fontId="26" fillId="0" borderId="67" xfId="7" applyFont="1" applyBorder="1" applyAlignment="1">
      <alignment horizontal="center" vertical="center"/>
    </xf>
    <xf numFmtId="0" fontId="26" fillId="0" borderId="82" xfId="7" applyFont="1" applyBorder="1" applyAlignment="1">
      <alignment horizontal="center" vertical="center"/>
    </xf>
    <xf numFmtId="0" fontId="26" fillId="0" borderId="31" xfId="7" applyFont="1" applyBorder="1" applyAlignment="1">
      <alignment horizontal="center" vertical="center"/>
    </xf>
    <xf numFmtId="0" fontId="26" fillId="0" borderId="31" xfId="7" applyFont="1" applyBorder="1" applyAlignment="1">
      <alignment horizontal="left" vertical="center"/>
    </xf>
    <xf numFmtId="44" fontId="26" fillId="0" borderId="31" xfId="11" applyFont="1" applyFill="1" applyBorder="1" applyAlignment="1">
      <alignment horizontal="center" vertical="center"/>
    </xf>
    <xf numFmtId="1" fontId="26" fillId="0" borderId="31" xfId="7" applyNumberFormat="1" applyFont="1" applyBorder="1" applyAlignment="1">
      <alignment horizontal="center" vertical="center"/>
    </xf>
    <xf numFmtId="44" fontId="26" fillId="0" borderId="80" xfId="7" applyNumberFormat="1" applyFont="1" applyBorder="1" applyAlignment="1">
      <alignment horizontal="center" vertical="center"/>
    </xf>
    <xf numFmtId="179" fontId="26" fillId="0" borderId="31" xfId="7" applyNumberFormat="1" applyFont="1" applyBorder="1" applyAlignment="1">
      <alignment horizontal="center" vertical="center"/>
    </xf>
    <xf numFmtId="169" fontId="26" fillId="0" borderId="31" xfId="7" applyNumberFormat="1" applyFont="1" applyBorder="1" applyAlignment="1">
      <alignment horizontal="left" vertical="center"/>
    </xf>
    <xf numFmtId="169" fontId="26" fillId="0" borderId="31" xfId="7" applyNumberFormat="1" applyFont="1" applyBorder="1" applyAlignment="1">
      <alignment horizontal="center" vertical="center"/>
    </xf>
    <xf numFmtId="44" fontId="34" fillId="0" borderId="31" xfId="11" applyFont="1" applyFill="1" applyBorder="1" applyAlignment="1">
      <alignment horizontal="center" vertical="center"/>
    </xf>
    <xf numFmtId="1" fontId="26" fillId="0" borderId="72" xfId="7" applyNumberFormat="1" applyFont="1" applyBorder="1" applyAlignment="1">
      <alignment horizontal="center" vertical="center"/>
    </xf>
    <xf numFmtId="0" fontId="26" fillId="0" borderId="72" xfId="7" applyFont="1" applyBorder="1" applyAlignment="1">
      <alignment horizontal="center" vertical="center"/>
    </xf>
    <xf numFmtId="179" fontId="26" fillId="0" borderId="72" xfId="7" applyNumberFormat="1" applyFont="1" applyBorder="1" applyAlignment="1">
      <alignment horizontal="center" vertical="center"/>
    </xf>
    <xf numFmtId="169" fontId="26" fillId="0" borderId="72" xfId="7" applyNumberFormat="1" applyFont="1" applyBorder="1" applyAlignment="1">
      <alignment horizontal="left" vertical="center"/>
    </xf>
    <xf numFmtId="169" fontId="26" fillId="0" borderId="72" xfId="7" applyNumberFormat="1" applyFont="1" applyBorder="1" applyAlignment="1">
      <alignment horizontal="center" vertical="center"/>
    </xf>
    <xf numFmtId="44" fontId="26" fillId="0" borderId="72" xfId="11" applyFont="1" applyFill="1" applyBorder="1" applyAlignment="1">
      <alignment horizontal="center" vertical="center"/>
    </xf>
    <xf numFmtId="44" fontId="26" fillId="0" borderId="83" xfId="7" applyNumberFormat="1" applyFont="1" applyBorder="1" applyAlignment="1">
      <alignment horizontal="center" vertical="center"/>
    </xf>
    <xf numFmtId="0" fontId="44" fillId="0" borderId="31" xfId="0" applyFont="1" applyBorder="1"/>
    <xf numFmtId="168" fontId="26" fillId="0" borderId="31" xfId="7" applyNumberFormat="1" applyFont="1" applyBorder="1" applyAlignment="1">
      <alignment horizontal="center" vertical="center"/>
    </xf>
    <xf numFmtId="0" fontId="44" fillId="0" borderId="72" xfId="0" applyFont="1" applyBorder="1"/>
    <xf numFmtId="168" fontId="26" fillId="0" borderId="72" xfId="7" applyNumberFormat="1" applyFont="1" applyBorder="1" applyAlignment="1">
      <alignment horizontal="center" vertical="center"/>
    </xf>
    <xf numFmtId="44" fontId="26" fillId="0" borderId="60" xfId="11" applyFont="1" applyFill="1" applyBorder="1" applyAlignment="1">
      <alignment horizontal="center" vertical="center"/>
    </xf>
    <xf numFmtId="44" fontId="26" fillId="0" borderId="60" xfId="11" applyFont="1" applyBorder="1" applyAlignment="1">
      <alignment horizontal="center" vertical="center"/>
    </xf>
    <xf numFmtId="0" fontId="26" fillId="0" borderId="60" xfId="7" applyFont="1" applyBorder="1" applyAlignment="1">
      <alignment horizontal="center" vertical="center"/>
    </xf>
    <xf numFmtId="179" fontId="26" fillId="0" borderId="60" xfId="7" applyNumberFormat="1" applyFont="1" applyBorder="1" applyAlignment="1">
      <alignment horizontal="center" vertical="center"/>
    </xf>
    <xf numFmtId="169" fontId="26" fillId="0" borderId="73" xfId="7" applyNumberFormat="1" applyFont="1" applyBorder="1" applyAlignment="1">
      <alignment horizontal="left" vertical="center"/>
    </xf>
    <xf numFmtId="169" fontId="26" fillId="0" borderId="60" xfId="7" applyNumberFormat="1" applyFont="1" applyBorder="1" applyAlignment="1">
      <alignment horizontal="left" vertical="center"/>
    </xf>
    <xf numFmtId="169" fontId="26" fillId="0" borderId="60" xfId="7" applyNumberFormat="1" applyFont="1" applyBorder="1" applyAlignment="1">
      <alignment horizontal="center" vertical="center"/>
    </xf>
    <xf numFmtId="1" fontId="26" fillId="0" borderId="60" xfId="7" applyNumberFormat="1" applyFont="1" applyBorder="1" applyAlignment="1">
      <alignment horizontal="center" vertical="center"/>
    </xf>
    <xf numFmtId="0" fontId="44" fillId="0" borderId="31" xfId="0" applyFont="1" applyBorder="1" applyAlignment="1">
      <alignment horizontal="center" vertical="center"/>
    </xf>
    <xf numFmtId="0" fontId="44" fillId="0" borderId="31" xfId="0" applyFont="1" applyBorder="1" applyAlignment="1">
      <alignment vertical="center"/>
    </xf>
    <xf numFmtId="168" fontId="34" fillId="0" borderId="31" xfId="7" applyNumberFormat="1" applyFont="1" applyBorder="1" applyAlignment="1">
      <alignment horizontal="center" vertical="center"/>
    </xf>
    <xf numFmtId="169" fontId="34" fillId="0" borderId="31" xfId="7" applyNumberFormat="1" applyFont="1" applyBorder="1" applyAlignment="1">
      <alignment horizontal="left" vertical="center"/>
    </xf>
    <xf numFmtId="0" fontId="26" fillId="0" borderId="5" xfId="7" applyFont="1" applyBorder="1" applyAlignment="1">
      <alignment horizontal="left" vertical="center"/>
    </xf>
    <xf numFmtId="0" fontId="26" fillId="0" borderId="74" xfId="7" applyFont="1" applyBorder="1" applyAlignment="1">
      <alignment horizontal="left" vertical="center"/>
    </xf>
    <xf numFmtId="0" fontId="26" fillId="0" borderId="47" xfId="7" applyFont="1" applyBorder="1" applyAlignment="1">
      <alignment horizontal="center" vertical="center"/>
    </xf>
    <xf numFmtId="165" fontId="26" fillId="0" borderId="84" xfId="7" applyNumberFormat="1" applyFont="1" applyBorder="1" applyAlignment="1">
      <alignment horizontal="center" vertical="center"/>
    </xf>
    <xf numFmtId="9" fontId="26" fillId="0" borderId="9" xfId="7" applyNumberFormat="1" applyFont="1" applyBorder="1" applyAlignment="1">
      <alignment vertical="center"/>
    </xf>
    <xf numFmtId="0" fontId="34" fillId="0" borderId="5" xfId="7" applyFont="1" applyBorder="1" applyAlignment="1">
      <alignment horizontal="left" vertical="center"/>
    </xf>
    <xf numFmtId="0" fontId="26" fillId="0" borderId="53" xfId="7" applyFont="1" applyBorder="1" applyAlignment="1">
      <alignment horizontal="center" vertical="center"/>
    </xf>
    <xf numFmtId="165" fontId="26" fillId="0" borderId="44" xfId="7" applyNumberFormat="1" applyFont="1" applyBorder="1" applyAlignment="1">
      <alignment horizontal="center" vertical="center"/>
    </xf>
    <xf numFmtId="9" fontId="26" fillId="0" borderId="10" xfId="7" applyNumberFormat="1" applyFont="1" applyBorder="1" applyAlignment="1">
      <alignment vertical="center"/>
    </xf>
    <xf numFmtId="0" fontId="26" fillId="0" borderId="10" xfId="7" applyFont="1" applyBorder="1" applyAlignment="1">
      <alignment vertical="center"/>
    </xf>
    <xf numFmtId="0" fontId="26" fillId="0" borderId="11" xfId="7" applyFont="1" applyBorder="1" applyAlignment="1">
      <alignment vertical="center"/>
    </xf>
    <xf numFmtId="0" fontId="26" fillId="0" borderId="43" xfId="7" applyFont="1" applyBorder="1" applyAlignment="1">
      <alignment horizontal="center" vertical="center"/>
    </xf>
    <xf numFmtId="0" fontId="28" fillId="0" borderId="9" xfId="7" applyFont="1" applyBorder="1" applyAlignment="1">
      <alignment horizontal="center" vertical="center"/>
    </xf>
    <xf numFmtId="165" fontId="28" fillId="0" borderId="11" xfId="7" applyNumberFormat="1" applyFont="1" applyBorder="1" applyAlignment="1">
      <alignment horizontal="center" vertical="center"/>
    </xf>
    <xf numFmtId="0" fontId="0" fillId="0" borderId="23" xfId="0" applyBorder="1" applyAlignment="1">
      <alignment horizontal="left"/>
    </xf>
    <xf numFmtId="0" fontId="0" fillId="0" borderId="24" xfId="0" applyBorder="1" applyAlignment="1">
      <alignment vertical="center"/>
    </xf>
    <xf numFmtId="0" fontId="0" fillId="0" borderId="27" xfId="0" applyBorder="1" applyAlignment="1">
      <alignment vertical="center"/>
    </xf>
    <xf numFmtId="180" fontId="5" fillId="0" borderId="4" xfId="3" applyNumberFormat="1" applyFont="1" applyFill="1" applyBorder="1" applyAlignment="1">
      <alignment horizontal="center"/>
    </xf>
    <xf numFmtId="0" fontId="11" fillId="0" borderId="20" xfId="0" applyFont="1" applyBorder="1" applyAlignment="1">
      <alignment horizontal="left"/>
    </xf>
    <xf numFmtId="0" fontId="11" fillId="0" borderId="21" xfId="0" applyFont="1" applyBorder="1"/>
    <xf numFmtId="178" fontId="11" fillId="0" borderId="21" xfId="0" applyNumberFormat="1" applyFont="1" applyBorder="1"/>
    <xf numFmtId="178" fontId="11" fillId="0" borderId="18" xfId="0" applyNumberFormat="1" applyFont="1" applyBorder="1"/>
    <xf numFmtId="0" fontId="11" fillId="0" borderId="30" xfId="0" applyFont="1" applyBorder="1"/>
    <xf numFmtId="0" fontId="11" fillId="0" borderId="34" xfId="0" applyFont="1" applyBorder="1" applyAlignment="1">
      <alignment horizontal="left"/>
    </xf>
    <xf numFmtId="0" fontId="11" fillId="0" borderId="35" xfId="0" applyFont="1" applyBorder="1"/>
    <xf numFmtId="0" fontId="11" fillId="0" borderId="36" xfId="0" applyFont="1" applyBorder="1"/>
    <xf numFmtId="0" fontId="11" fillId="0" borderId="7" xfId="0" applyFont="1" applyBorder="1" applyAlignment="1">
      <alignment horizontal="left"/>
    </xf>
    <xf numFmtId="0" fontId="11" fillId="0" borderId="76" xfId="0" applyFont="1" applyBorder="1"/>
    <xf numFmtId="178" fontId="11" fillId="0" borderId="76" xfId="0" applyNumberFormat="1" applyFont="1" applyBorder="1"/>
    <xf numFmtId="178" fontId="11" fillId="0" borderId="8" xfId="0" applyNumberFormat="1" applyFont="1" applyBorder="1"/>
    <xf numFmtId="168" fontId="29" fillId="0" borderId="18" xfId="0" applyNumberFormat="1" applyFont="1" applyBorder="1" applyAlignment="1">
      <alignment horizontal="center" vertical="center" shrinkToFit="1"/>
    </xf>
    <xf numFmtId="168" fontId="29" fillId="0" borderId="26" xfId="0" applyNumberFormat="1" applyFont="1" applyBorder="1" applyAlignment="1">
      <alignment horizontal="center" vertical="center" shrinkToFit="1"/>
    </xf>
    <xf numFmtId="168" fontId="29" fillId="0" borderId="30" xfId="0" applyNumberFormat="1" applyFont="1" applyBorder="1" applyAlignment="1">
      <alignment horizontal="center" vertical="center" shrinkToFit="1"/>
    </xf>
    <xf numFmtId="1" fontId="0" fillId="0" borderId="18" xfId="0" applyNumberFormat="1" applyBorder="1" applyAlignment="1">
      <alignment horizontal="center" vertical="center"/>
    </xf>
    <xf numFmtId="168" fontId="0" fillId="0" borderId="18" xfId="0" applyNumberFormat="1" applyBorder="1" applyAlignment="1">
      <alignment horizontal="center" vertical="center"/>
    </xf>
    <xf numFmtId="1" fontId="11" fillId="0" borderId="17" xfId="0" applyNumberFormat="1" applyFont="1" applyBorder="1" applyAlignment="1">
      <alignment horizontal="center"/>
    </xf>
    <xf numFmtId="1" fontId="41" fillId="0" borderId="29" xfId="7" applyNumberFormat="1" applyFont="1" applyBorder="1" applyAlignment="1">
      <alignment horizontal="center" vertical="top"/>
    </xf>
    <xf numFmtId="0" fontId="11" fillId="0" borderId="30" xfId="0" applyFont="1" applyBorder="1" applyAlignment="1">
      <alignment vertical="center"/>
    </xf>
    <xf numFmtId="0" fontId="12" fillId="0" borderId="47" xfId="0" applyFont="1" applyBorder="1" applyAlignment="1">
      <alignment horizontal="center"/>
    </xf>
    <xf numFmtId="0" fontId="12" fillId="0" borderId="51" xfId="0" applyFont="1" applyBorder="1" applyAlignment="1">
      <alignment horizontal="center"/>
    </xf>
    <xf numFmtId="0" fontId="12" fillId="0" borderId="52" xfId="0" applyFont="1" applyBorder="1" applyAlignment="1">
      <alignment horizontal="center"/>
    </xf>
    <xf numFmtId="0" fontId="12" fillId="0" borderId="28" xfId="0" applyFont="1" applyBorder="1" applyAlignment="1">
      <alignment horizontal="center"/>
    </xf>
    <xf numFmtId="0" fontId="12" fillId="0" borderId="30" xfId="0" applyFont="1" applyBorder="1" applyAlignment="1">
      <alignment horizontal="center"/>
    </xf>
    <xf numFmtId="0" fontId="12" fillId="0" borderId="42" xfId="0" applyFont="1" applyBorder="1" applyAlignment="1">
      <alignment horizontal="center"/>
    </xf>
    <xf numFmtId="166" fontId="11" fillId="0" borderId="47" xfId="0" applyNumberFormat="1" applyFont="1" applyBorder="1" applyAlignment="1">
      <alignment horizontal="center"/>
    </xf>
    <xf numFmtId="174" fontId="0" fillId="0" borderId="4" xfId="0" applyNumberFormat="1" applyBorder="1" applyAlignment="1">
      <alignment horizontal="center" vertical="center"/>
    </xf>
    <xf numFmtId="11" fontId="0" fillId="0" borderId="4" xfId="0" applyNumberFormat="1" applyBorder="1" applyAlignment="1">
      <alignment horizontal="center" vertical="center"/>
    </xf>
    <xf numFmtId="0" fontId="0" fillId="0" borderId="25" xfId="0" applyBorder="1" applyAlignment="1">
      <alignment horizontal="center"/>
    </xf>
    <xf numFmtId="0" fontId="0" fillId="0" borderId="16" xfId="0" applyBorder="1" applyAlignment="1">
      <alignment horizontal="center"/>
    </xf>
    <xf numFmtId="0" fontId="0" fillId="0" borderId="17" xfId="0" applyBorder="1" applyAlignment="1">
      <alignment horizontal="center"/>
    </xf>
    <xf numFmtId="0" fontId="0" fillId="0" borderId="18" xfId="0" applyBorder="1" applyAlignment="1">
      <alignment horizontal="center"/>
    </xf>
    <xf numFmtId="166" fontId="0" fillId="0" borderId="28" xfId="0" applyNumberFormat="1" applyBorder="1" applyAlignment="1">
      <alignment horizontal="center"/>
    </xf>
    <xf numFmtId="166" fontId="0" fillId="0" borderId="29" xfId="0" applyNumberFormat="1" applyBorder="1" applyAlignment="1">
      <alignment horizontal="center"/>
    </xf>
    <xf numFmtId="0" fontId="0" fillId="0" borderId="16" xfId="0" applyBorder="1"/>
    <xf numFmtId="9" fontId="0" fillId="0" borderId="18" xfId="0" applyNumberFormat="1" applyBorder="1" applyAlignment="1">
      <alignment horizontal="center"/>
    </xf>
    <xf numFmtId="0" fontId="0" fillId="0" borderId="25" xfId="0" applyBorder="1"/>
    <xf numFmtId="166" fontId="0" fillId="0" borderId="26" xfId="0" applyNumberFormat="1" applyBorder="1" applyAlignment="1">
      <alignment horizontal="center"/>
    </xf>
    <xf numFmtId="2" fontId="0" fillId="0" borderId="26" xfId="0" applyNumberFormat="1" applyBorder="1" applyAlignment="1">
      <alignment horizontal="center"/>
    </xf>
    <xf numFmtId="0" fontId="0" fillId="0" borderId="28" xfId="0" applyBorder="1"/>
    <xf numFmtId="3" fontId="0" fillId="0" borderId="4" xfId="0" applyNumberFormat="1" applyBorder="1" applyAlignment="1">
      <alignment horizontal="center"/>
    </xf>
    <xf numFmtId="0" fontId="0" fillId="0" borderId="28" xfId="0" applyBorder="1" applyAlignment="1">
      <alignment horizontal="center"/>
    </xf>
    <xf numFmtId="4" fontId="0" fillId="0" borderId="4" xfId="0" applyNumberFormat="1" applyBorder="1" applyAlignment="1">
      <alignment horizontal="center"/>
    </xf>
    <xf numFmtId="4" fontId="0" fillId="0" borderId="26" xfId="0" applyNumberFormat="1" applyBorder="1" applyAlignment="1">
      <alignment horizontal="center"/>
    </xf>
    <xf numFmtId="4" fontId="0" fillId="0" borderId="29" xfId="0" applyNumberFormat="1" applyBorder="1" applyAlignment="1">
      <alignment horizontal="center"/>
    </xf>
    <xf numFmtId="4" fontId="0" fillId="0" borderId="30" xfId="0" applyNumberFormat="1" applyBorder="1" applyAlignment="1">
      <alignment horizontal="center"/>
    </xf>
    <xf numFmtId="165" fontId="12" fillId="0" borderId="4" xfId="11" applyNumberFormat="1" applyFont="1" applyBorder="1" applyAlignment="1">
      <alignment horizontal="center"/>
    </xf>
    <xf numFmtId="0" fontId="0" fillId="0" borderId="18" xfId="0" applyBorder="1" applyAlignment="1">
      <alignment horizontal="center" vertical="center"/>
    </xf>
    <xf numFmtId="175" fontId="0" fillId="0" borderId="26" xfId="0" applyNumberFormat="1" applyBorder="1" applyAlignment="1">
      <alignment horizontal="center"/>
    </xf>
    <xf numFmtId="4" fontId="0" fillId="0" borderId="0" xfId="0" applyNumberFormat="1" applyAlignment="1">
      <alignment horizontal="center"/>
    </xf>
    <xf numFmtId="166" fontId="0" fillId="0" borderId="4" xfId="0" applyNumberFormat="1" applyBorder="1" applyAlignment="1">
      <alignment horizontal="center"/>
    </xf>
    <xf numFmtId="0" fontId="50" fillId="0" borderId="4" xfId="0" applyFont="1" applyBorder="1" applyAlignment="1">
      <alignment vertical="center"/>
    </xf>
    <xf numFmtId="0" fontId="51" fillId="0" borderId="4" xfId="0" applyFont="1" applyBorder="1" applyAlignment="1">
      <alignment vertical="center"/>
    </xf>
    <xf numFmtId="166" fontId="51" fillId="0" borderId="4" xfId="0" applyNumberFormat="1" applyFont="1" applyBorder="1" applyAlignment="1">
      <alignment horizontal="center" vertical="center"/>
    </xf>
    <xf numFmtId="0" fontId="50" fillId="0" borderId="4" xfId="0" applyFont="1" applyBorder="1" applyAlignment="1">
      <alignment horizontal="center" vertical="center"/>
    </xf>
    <xf numFmtId="166" fontId="50" fillId="0" borderId="4" xfId="0" applyNumberFormat="1" applyFont="1" applyBorder="1" applyAlignment="1">
      <alignment horizontal="center" vertical="center"/>
    </xf>
    <xf numFmtId="0" fontId="51" fillId="0" borderId="4" xfId="0" applyFont="1" applyBorder="1" applyAlignment="1">
      <alignment horizontal="center" vertical="center"/>
    </xf>
    <xf numFmtId="3" fontId="50" fillId="0" borderId="4" xfId="0" applyNumberFormat="1" applyFont="1" applyBorder="1" applyAlignment="1">
      <alignment horizontal="center" vertical="center"/>
    </xf>
    <xf numFmtId="0" fontId="47" fillId="0" borderId="0" xfId="0" applyFont="1" applyAlignment="1">
      <alignment vertical="center"/>
    </xf>
    <xf numFmtId="1" fontId="0" fillId="0" borderId="18" xfId="0" applyNumberFormat="1" applyBorder="1"/>
    <xf numFmtId="0" fontId="0" fillId="0" borderId="26" xfId="0" applyBorder="1"/>
    <xf numFmtId="0" fontId="0" fillId="0" borderId="30" xfId="0" applyBorder="1"/>
    <xf numFmtId="9" fontId="0" fillId="0" borderId="0" xfId="2" applyFont="1"/>
    <xf numFmtId="0" fontId="0" fillId="11" borderId="0" xfId="0" applyFill="1"/>
    <xf numFmtId="0" fontId="2" fillId="11" borderId="0" xfId="0" applyFont="1" applyFill="1"/>
    <xf numFmtId="9" fontId="0" fillId="11" borderId="0" xfId="2" applyFont="1" applyFill="1"/>
    <xf numFmtId="0" fontId="55" fillId="11" borderId="0" xfId="0" applyFont="1" applyFill="1"/>
    <xf numFmtId="168" fontId="0" fillId="11" borderId="0" xfId="0" applyNumberFormat="1" applyFill="1" applyAlignment="1">
      <alignment horizontal="center"/>
    </xf>
    <xf numFmtId="0" fontId="0" fillId="11" borderId="0" xfId="0" applyFill="1" applyAlignment="1">
      <alignment horizontal="center"/>
    </xf>
    <xf numFmtId="1" fontId="0" fillId="11" borderId="0" xfId="0" applyNumberFormat="1" applyFill="1" applyAlignment="1">
      <alignment horizontal="center"/>
    </xf>
    <xf numFmtId="9" fontId="0" fillId="11" borderId="0" xfId="2" applyFont="1" applyFill="1" applyAlignment="1">
      <alignment horizontal="center"/>
    </xf>
    <xf numFmtId="165" fontId="0" fillId="11" borderId="0" xfId="0" applyNumberFormat="1" applyFill="1" applyAlignment="1">
      <alignment horizontal="center"/>
    </xf>
    <xf numFmtId="166" fontId="0" fillId="11" borderId="0" xfId="11" applyNumberFormat="1" applyFont="1" applyFill="1" applyAlignment="1">
      <alignment horizontal="center"/>
    </xf>
    <xf numFmtId="168" fontId="0" fillId="11" borderId="0" xfId="2" applyNumberFormat="1" applyFont="1" applyFill="1" applyAlignment="1">
      <alignment horizontal="center"/>
    </xf>
    <xf numFmtId="2" fontId="0" fillId="11" borderId="0" xfId="0" applyNumberFormat="1" applyFill="1" applyAlignment="1">
      <alignment horizontal="center"/>
    </xf>
    <xf numFmtId="0" fontId="0" fillId="12" borderId="0" xfId="0" applyFill="1" applyAlignment="1">
      <alignment horizontal="center"/>
    </xf>
    <xf numFmtId="0" fontId="0" fillId="12" borderId="0" xfId="0" applyFill="1"/>
    <xf numFmtId="169" fontId="0" fillId="11" borderId="0" xfId="0" applyNumberFormat="1" applyFill="1" applyAlignment="1">
      <alignment horizontal="center"/>
    </xf>
    <xf numFmtId="166" fontId="0" fillId="11" borderId="0" xfId="0" applyNumberFormat="1" applyFill="1" applyAlignment="1">
      <alignment horizontal="center"/>
    </xf>
    <xf numFmtId="165" fontId="0" fillId="11" borderId="0" xfId="11" applyNumberFormat="1" applyFont="1" applyFill="1" applyAlignment="1">
      <alignment horizontal="center"/>
    </xf>
    <xf numFmtId="168" fontId="0" fillId="0" borderId="4" xfId="0" applyNumberFormat="1" applyBorder="1" applyAlignment="1">
      <alignment horizontal="center"/>
    </xf>
    <xf numFmtId="174" fontId="0" fillId="0" borderId="0" xfId="0" applyNumberFormat="1" applyAlignment="1">
      <alignment horizontal="center"/>
    </xf>
    <xf numFmtId="169" fontId="0" fillId="0" borderId="0" xfId="0" applyNumberFormat="1" applyAlignment="1">
      <alignment horizontal="center"/>
    </xf>
    <xf numFmtId="1" fontId="0" fillId="0" borderId="0" xfId="0" applyNumberFormat="1" applyAlignment="1">
      <alignment horizontal="left"/>
    </xf>
    <xf numFmtId="181" fontId="0" fillId="0" borderId="0" xfId="0" applyNumberFormat="1" applyAlignment="1">
      <alignment horizontal="center"/>
    </xf>
    <xf numFmtId="0" fontId="11" fillId="0" borderId="37" xfId="0" applyFont="1" applyBorder="1"/>
    <xf numFmtId="18" fontId="0" fillId="0" borderId="25" xfId="0" applyNumberFormat="1" applyBorder="1" applyAlignment="1">
      <alignment horizontal="center"/>
    </xf>
    <xf numFmtId="18" fontId="0" fillId="0" borderId="28" xfId="0" applyNumberFormat="1" applyBorder="1" applyAlignment="1">
      <alignment horizontal="center"/>
    </xf>
    <xf numFmtId="0" fontId="3" fillId="8" borderId="4" xfId="0" applyFont="1" applyFill="1" applyBorder="1" applyAlignment="1">
      <alignment horizontal="center"/>
    </xf>
    <xf numFmtId="0" fontId="3" fillId="8" borderId="26" xfId="0" applyFont="1" applyFill="1" applyBorder="1" applyAlignment="1">
      <alignment horizontal="center"/>
    </xf>
    <xf numFmtId="1" fontId="56" fillId="13" borderId="4" xfId="15" applyNumberFormat="1" applyBorder="1" applyAlignment="1">
      <alignment horizontal="center"/>
    </xf>
    <xf numFmtId="1" fontId="56" fillId="13" borderId="26" xfId="15" applyNumberFormat="1" applyBorder="1" applyAlignment="1">
      <alignment horizontal="center"/>
    </xf>
    <xf numFmtId="1" fontId="0" fillId="9" borderId="4" xfId="0" applyNumberFormat="1" applyFill="1" applyBorder="1" applyAlignment="1">
      <alignment horizontal="center"/>
    </xf>
    <xf numFmtId="1" fontId="0" fillId="9" borderId="26" xfId="0" applyNumberFormat="1" applyFill="1" applyBorder="1" applyAlignment="1">
      <alignment horizontal="center"/>
    </xf>
    <xf numFmtId="1" fontId="0" fillId="0" borderId="29" xfId="0" applyNumberFormat="1" applyBorder="1" applyAlignment="1">
      <alignment horizontal="center"/>
    </xf>
    <xf numFmtId="1" fontId="0" fillId="9" borderId="29" xfId="0" applyNumberFormat="1" applyFill="1" applyBorder="1" applyAlignment="1">
      <alignment horizontal="center"/>
    </xf>
    <xf numFmtId="1" fontId="0" fillId="9" borderId="30" xfId="0" applyNumberFormat="1" applyFill="1" applyBorder="1" applyAlignment="1">
      <alignment horizontal="center"/>
    </xf>
    <xf numFmtId="18" fontId="0" fillId="0" borderId="4" xfId="0" applyNumberFormat="1" applyBorder="1" applyAlignment="1">
      <alignment horizontal="center"/>
    </xf>
    <xf numFmtId="167" fontId="0" fillId="0" borderId="4" xfId="2" applyNumberFormat="1" applyFont="1" applyBorder="1" applyAlignment="1">
      <alignment horizontal="center"/>
    </xf>
    <xf numFmtId="169" fontId="0" fillId="0" borderId="4" xfId="0" applyNumberFormat="1" applyBorder="1" applyAlignment="1">
      <alignment horizontal="center"/>
    </xf>
    <xf numFmtId="0" fontId="0" fillId="11" borderId="70" xfId="0" applyFill="1" applyBorder="1"/>
    <xf numFmtId="0" fontId="0" fillId="11" borderId="44" xfId="0" applyFill="1" applyBorder="1"/>
    <xf numFmtId="0" fontId="0" fillId="11" borderId="53" xfId="0" applyFill="1" applyBorder="1"/>
    <xf numFmtId="0" fontId="0" fillId="11" borderId="71" xfId="0" applyFill="1" applyBorder="1" applyAlignment="1">
      <alignment horizontal="center"/>
    </xf>
    <xf numFmtId="1" fontId="3" fillId="11" borderId="0" xfId="0" applyNumberFormat="1" applyFont="1" applyFill="1" applyAlignment="1">
      <alignment horizontal="center"/>
    </xf>
    <xf numFmtId="9" fontId="57" fillId="11" borderId="71" xfId="2" applyFont="1" applyFill="1" applyBorder="1" applyAlignment="1">
      <alignment horizontal="center"/>
    </xf>
    <xf numFmtId="9" fontId="57" fillId="11" borderId="0" xfId="2" applyFont="1" applyFill="1" applyBorder="1" applyAlignment="1">
      <alignment horizontal="center"/>
    </xf>
    <xf numFmtId="0" fontId="3" fillId="11" borderId="0" xfId="0" applyFont="1" applyFill="1" applyAlignment="1">
      <alignment horizontal="center"/>
    </xf>
    <xf numFmtId="0" fontId="0" fillId="12" borderId="71" xfId="0" applyFill="1" applyBorder="1" applyAlignment="1">
      <alignment horizontal="center"/>
    </xf>
    <xf numFmtId="0" fontId="3" fillId="11" borderId="53" xfId="0" applyFont="1" applyFill="1" applyBorder="1"/>
    <xf numFmtId="0" fontId="57" fillId="11" borderId="53" xfId="0" applyFont="1" applyFill="1" applyBorder="1"/>
    <xf numFmtId="0" fontId="0" fillId="11" borderId="71" xfId="0" applyFill="1" applyBorder="1"/>
    <xf numFmtId="0" fontId="0" fillId="11" borderId="45" xfId="0" applyFill="1" applyBorder="1"/>
    <xf numFmtId="0" fontId="0" fillId="11" borderId="5" xfId="0" applyFill="1" applyBorder="1"/>
    <xf numFmtId="0" fontId="0" fillId="11" borderId="74" xfId="0" applyFill="1" applyBorder="1"/>
    <xf numFmtId="0" fontId="3" fillId="11" borderId="43" xfId="0" applyFont="1" applyFill="1" applyBorder="1"/>
    <xf numFmtId="0" fontId="0" fillId="2" borderId="70" xfId="0" applyFill="1" applyBorder="1"/>
    <xf numFmtId="0" fontId="0" fillId="2" borderId="44" xfId="0" applyFill="1" applyBorder="1"/>
    <xf numFmtId="0" fontId="0" fillId="2" borderId="53" xfId="0" applyFill="1" applyBorder="1"/>
    <xf numFmtId="0" fontId="0" fillId="2" borderId="0" xfId="0" applyFill="1"/>
    <xf numFmtId="0" fontId="0" fillId="2" borderId="71" xfId="0" applyFill="1" applyBorder="1"/>
    <xf numFmtId="0" fontId="0" fillId="2" borderId="45" xfId="0" applyFill="1" applyBorder="1"/>
    <xf numFmtId="0" fontId="0" fillId="2" borderId="5" xfId="0" applyFill="1" applyBorder="1"/>
    <xf numFmtId="0" fontId="0" fillId="2" borderId="74" xfId="0" applyFill="1" applyBorder="1"/>
    <xf numFmtId="0" fontId="8" fillId="11" borderId="43" xfId="0" applyFont="1" applyFill="1" applyBorder="1"/>
    <xf numFmtId="0" fontId="3" fillId="2" borderId="43" xfId="0" applyFont="1" applyFill="1" applyBorder="1"/>
    <xf numFmtId="0" fontId="0" fillId="11" borderId="86" xfId="0" applyFill="1" applyBorder="1" applyAlignment="1">
      <alignment horizontal="center"/>
    </xf>
    <xf numFmtId="1" fontId="0" fillId="11" borderId="64" xfId="0" applyNumberFormat="1" applyFill="1" applyBorder="1" applyAlignment="1">
      <alignment horizontal="center"/>
    </xf>
    <xf numFmtId="0" fontId="0" fillId="11" borderId="69" xfId="0" applyFill="1" applyBorder="1" applyAlignment="1">
      <alignment horizontal="center"/>
    </xf>
    <xf numFmtId="0" fontId="0" fillId="11" borderId="48" xfId="0" applyFill="1" applyBorder="1" applyAlignment="1">
      <alignment horizontal="center"/>
    </xf>
    <xf numFmtId="0" fontId="0" fillId="11" borderId="49" xfId="0" applyFill="1" applyBorder="1" applyAlignment="1">
      <alignment horizontal="center"/>
    </xf>
    <xf numFmtId="0" fontId="0" fillId="11" borderId="64" xfId="0" applyFill="1" applyBorder="1" applyAlignment="1">
      <alignment horizontal="center"/>
    </xf>
    <xf numFmtId="0" fontId="0" fillId="11" borderId="88" xfId="0" applyFill="1" applyBorder="1" applyAlignment="1">
      <alignment horizontal="center"/>
    </xf>
    <xf numFmtId="0" fontId="0" fillId="11" borderId="65" xfId="0" applyFill="1" applyBorder="1" applyAlignment="1">
      <alignment horizontal="center"/>
    </xf>
    <xf numFmtId="1" fontId="0" fillId="11" borderId="87" xfId="0" applyNumberFormat="1" applyFill="1" applyBorder="1" applyAlignment="1">
      <alignment horizontal="center"/>
    </xf>
    <xf numFmtId="0" fontId="0" fillId="11" borderId="1" xfId="0" applyFill="1" applyBorder="1" applyAlignment="1">
      <alignment horizontal="center"/>
    </xf>
    <xf numFmtId="1" fontId="0" fillId="11" borderId="3" xfId="0" applyNumberFormat="1" applyFill="1" applyBorder="1" applyAlignment="1">
      <alignment horizontal="center"/>
    </xf>
    <xf numFmtId="0" fontId="0" fillId="11" borderId="3" xfId="0" applyFill="1" applyBorder="1" applyAlignment="1">
      <alignment horizontal="center"/>
    </xf>
    <xf numFmtId="0" fontId="0" fillId="0" borderId="87" xfId="0" applyBorder="1"/>
    <xf numFmtId="0" fontId="0" fillId="0" borderId="64" xfId="0" applyBorder="1"/>
    <xf numFmtId="0" fontId="0" fillId="0" borderId="65" xfId="0" applyBorder="1"/>
    <xf numFmtId="0" fontId="0" fillId="0" borderId="49" xfId="0" applyBorder="1"/>
    <xf numFmtId="1" fontId="0" fillId="11" borderId="49" xfId="0" applyNumberFormat="1" applyFill="1" applyBorder="1" applyAlignment="1">
      <alignment horizontal="center"/>
    </xf>
    <xf numFmtId="0" fontId="0" fillId="0" borderId="86" xfId="0" applyBorder="1" applyAlignment="1">
      <alignment horizontal="center"/>
    </xf>
    <xf numFmtId="0" fontId="0" fillId="0" borderId="69" xfId="0" applyBorder="1" applyAlignment="1">
      <alignment horizontal="center"/>
    </xf>
    <xf numFmtId="0" fontId="0" fillId="0" borderId="88" xfId="0" applyBorder="1" applyAlignment="1">
      <alignment horizontal="center"/>
    </xf>
    <xf numFmtId="0" fontId="0" fillId="0" borderId="48" xfId="0" applyBorder="1" applyAlignment="1">
      <alignment horizontal="center"/>
    </xf>
    <xf numFmtId="1" fontId="0" fillId="0" borderId="49" xfId="0" applyNumberFormat="1" applyBorder="1" applyAlignment="1">
      <alignment horizontal="center"/>
    </xf>
    <xf numFmtId="0" fontId="0" fillId="0" borderId="65" xfId="0" applyBorder="1" applyAlignment="1">
      <alignment horizontal="center"/>
    </xf>
    <xf numFmtId="0" fontId="0" fillId="0" borderId="87" xfId="0" applyBorder="1" applyAlignment="1">
      <alignment horizontal="center"/>
    </xf>
    <xf numFmtId="0" fontId="0" fillId="11" borderId="49" xfId="0" applyFill="1" applyBorder="1"/>
    <xf numFmtId="0" fontId="0" fillId="11" borderId="1" xfId="0" applyFill="1" applyBorder="1"/>
    <xf numFmtId="0" fontId="0" fillId="11" borderId="3" xfId="0" applyFill="1" applyBorder="1"/>
    <xf numFmtId="0" fontId="0" fillId="0" borderId="48" xfId="0" applyBorder="1"/>
    <xf numFmtId="0" fontId="0" fillId="11" borderId="48" xfId="0" applyFill="1" applyBorder="1"/>
    <xf numFmtId="1" fontId="0" fillId="11" borderId="65" xfId="0" applyNumberFormat="1" applyFill="1" applyBorder="1" applyAlignment="1">
      <alignment horizontal="center"/>
    </xf>
    <xf numFmtId="0" fontId="0" fillId="11" borderId="2" xfId="0" applyFill="1" applyBorder="1" applyAlignment="1">
      <alignment horizontal="center"/>
    </xf>
    <xf numFmtId="0" fontId="0" fillId="0" borderId="86" xfId="0" applyBorder="1"/>
    <xf numFmtId="1" fontId="0" fillId="11" borderId="2" xfId="0" applyNumberFormat="1" applyFill="1" applyBorder="1" applyAlignment="1">
      <alignment horizontal="center"/>
    </xf>
    <xf numFmtId="0" fontId="0" fillId="0" borderId="88" xfId="0" applyBorder="1"/>
    <xf numFmtId="1" fontId="0" fillId="0" borderId="64" xfId="0" applyNumberFormat="1" applyBorder="1" applyAlignment="1">
      <alignment horizontal="center"/>
    </xf>
    <xf numFmtId="168" fontId="0" fillId="0" borderId="0" xfId="0" applyNumberFormat="1"/>
    <xf numFmtId="1" fontId="0" fillId="11" borderId="49" xfId="0" applyNumberFormat="1" applyFill="1" applyBorder="1"/>
    <xf numFmtId="1" fontId="54" fillId="10" borderId="85" xfId="14" applyNumberFormat="1" applyAlignment="1">
      <alignment horizontal="center"/>
    </xf>
    <xf numFmtId="166" fontId="25" fillId="0" borderId="0" xfId="0" applyNumberFormat="1" applyFont="1" applyAlignment="1">
      <alignment horizontal="center"/>
    </xf>
    <xf numFmtId="44" fontId="11" fillId="0" borderId="0" xfId="11" applyFont="1" applyAlignment="1">
      <alignment horizontal="center"/>
    </xf>
    <xf numFmtId="166" fontId="11" fillId="0" borderId="53" xfId="0" applyNumberFormat="1" applyFont="1" applyBorder="1" applyAlignment="1">
      <alignment horizontal="center" vertical="center"/>
    </xf>
    <xf numFmtId="0" fontId="11" fillId="0" borderId="0" xfId="0" applyFont="1" applyAlignment="1">
      <alignment horizontal="left" wrapText="1"/>
    </xf>
    <xf numFmtId="0" fontId="11" fillId="0" borderId="0" xfId="0" applyFont="1" applyAlignment="1">
      <alignment horizontal="left" vertical="top" wrapText="1"/>
    </xf>
    <xf numFmtId="0" fontId="10" fillId="3" borderId="18" xfId="0" applyFont="1" applyFill="1" applyBorder="1" applyAlignment="1">
      <alignment horizontal="center" vertical="center" wrapText="1"/>
    </xf>
    <xf numFmtId="0" fontId="10" fillId="3" borderId="30" xfId="0" applyFont="1" applyFill="1" applyBorder="1" applyAlignment="1">
      <alignment horizontal="center" vertical="center" wrapText="1"/>
    </xf>
    <xf numFmtId="0" fontId="10" fillId="3" borderId="41" xfId="0" applyFont="1" applyFill="1" applyBorder="1" applyAlignment="1">
      <alignment horizontal="center" vertical="center" wrapText="1"/>
    </xf>
    <xf numFmtId="0" fontId="10" fillId="3" borderId="42" xfId="0" applyFont="1" applyFill="1" applyBorder="1" applyAlignment="1">
      <alignment horizontal="center" vertical="center" wrapText="1"/>
    </xf>
    <xf numFmtId="0" fontId="10" fillId="3" borderId="14" xfId="0" applyFont="1" applyFill="1" applyBorder="1" applyAlignment="1">
      <alignment horizontal="center" vertical="center" wrapText="1"/>
    </xf>
    <xf numFmtId="0" fontId="10" fillId="3" borderId="21" xfId="0" applyFont="1" applyFill="1" applyBorder="1" applyAlignment="1">
      <alignment horizontal="center" vertical="center" wrapText="1"/>
    </xf>
    <xf numFmtId="166" fontId="10" fillId="0" borderId="9" xfId="0" applyNumberFormat="1" applyFont="1" applyBorder="1" applyAlignment="1">
      <alignment horizontal="center" vertical="center"/>
    </xf>
    <xf numFmtId="166" fontId="10" fillId="0" borderId="10" xfId="0" applyNumberFormat="1" applyFont="1" applyBorder="1" applyAlignment="1">
      <alignment horizontal="center" vertical="center"/>
    </xf>
    <xf numFmtId="166" fontId="10" fillId="0" borderId="11" xfId="0" applyNumberFormat="1" applyFont="1" applyBorder="1" applyAlignment="1">
      <alignment horizontal="center" vertical="center"/>
    </xf>
    <xf numFmtId="0" fontId="10" fillId="0" borderId="10" xfId="0" applyFont="1" applyBorder="1" applyAlignment="1">
      <alignment horizontal="center" vertical="center"/>
    </xf>
    <xf numFmtId="0" fontId="10" fillId="0" borderId="11" xfId="0" applyFont="1" applyBorder="1" applyAlignment="1">
      <alignment horizontal="center" vertical="center"/>
    </xf>
    <xf numFmtId="0" fontId="10" fillId="3" borderId="13" xfId="0" applyFont="1" applyFill="1" applyBorder="1" applyAlignment="1">
      <alignment horizontal="center" vertical="center" wrapText="1"/>
    </xf>
    <xf numFmtId="0" fontId="10" fillId="3" borderId="20" xfId="0" applyFont="1" applyFill="1" applyBorder="1" applyAlignment="1">
      <alignment horizontal="center" vertical="center" wrapText="1"/>
    </xf>
    <xf numFmtId="0" fontId="10" fillId="3" borderId="15" xfId="0" applyFont="1" applyFill="1" applyBorder="1" applyAlignment="1">
      <alignment horizontal="center" vertical="center" wrapText="1"/>
    </xf>
    <xf numFmtId="0" fontId="10" fillId="3" borderId="22" xfId="0" applyFont="1" applyFill="1" applyBorder="1" applyAlignment="1">
      <alignment horizontal="center" vertical="center" wrapText="1"/>
    </xf>
    <xf numFmtId="0" fontId="10" fillId="3" borderId="6" xfId="0" applyFont="1" applyFill="1" applyBorder="1" applyAlignment="1">
      <alignment horizontal="center" vertical="center" wrapText="1"/>
    </xf>
    <xf numFmtId="0" fontId="10" fillId="3" borderId="19" xfId="0" applyFont="1" applyFill="1" applyBorder="1" applyAlignment="1">
      <alignment horizontal="center" vertical="center" wrapText="1"/>
    </xf>
    <xf numFmtId="0" fontId="10" fillId="3" borderId="6" xfId="0" applyFont="1" applyFill="1" applyBorder="1" applyAlignment="1">
      <alignment horizontal="center" vertical="center"/>
    </xf>
    <xf numFmtId="0" fontId="10" fillId="3" borderId="19" xfId="0" applyFont="1" applyFill="1" applyBorder="1" applyAlignment="1">
      <alignment horizontal="center" vertical="center"/>
    </xf>
    <xf numFmtId="0" fontId="10" fillId="3" borderId="43" xfId="0" applyFont="1" applyFill="1" applyBorder="1" applyAlignment="1">
      <alignment horizontal="center" vertical="center" wrapText="1"/>
    </xf>
    <xf numFmtId="0" fontId="10" fillId="3" borderId="45" xfId="0" applyFont="1" applyFill="1" applyBorder="1" applyAlignment="1">
      <alignment horizontal="center" vertical="center" wrapText="1"/>
    </xf>
    <xf numFmtId="0" fontId="0" fillId="0" borderId="0" xfId="0" applyAlignment="1">
      <alignment horizontal="left" vertical="top" wrapText="1"/>
    </xf>
    <xf numFmtId="0" fontId="5" fillId="0" borderId="17" xfId="0" applyFont="1" applyBorder="1" applyAlignment="1">
      <alignment horizontal="center" vertical="center"/>
    </xf>
    <xf numFmtId="0" fontId="5" fillId="0" borderId="18" xfId="0" applyFont="1" applyBorder="1" applyAlignment="1">
      <alignment horizontal="center" vertical="center"/>
    </xf>
    <xf numFmtId="0" fontId="3" fillId="0" borderId="65" xfId="0" applyFont="1" applyBorder="1" applyAlignment="1">
      <alignment horizontal="left"/>
    </xf>
    <xf numFmtId="0" fontId="6" fillId="2" borderId="4" xfId="0" applyFont="1" applyFill="1" applyBorder="1" applyAlignment="1">
      <alignment horizontal="center"/>
    </xf>
    <xf numFmtId="0" fontId="10" fillId="2" borderId="6" xfId="0" applyFont="1" applyFill="1" applyBorder="1" applyAlignment="1">
      <alignment horizontal="center" vertical="center" wrapText="1"/>
    </xf>
    <xf numFmtId="0" fontId="10" fillId="2" borderId="12" xfId="0" applyFont="1" applyFill="1" applyBorder="1" applyAlignment="1">
      <alignment horizontal="center" vertical="center" wrapText="1"/>
    </xf>
    <xf numFmtId="0" fontId="10" fillId="2" borderId="19" xfId="0" applyFont="1" applyFill="1" applyBorder="1" applyAlignment="1">
      <alignment horizontal="center" vertical="center" wrapText="1"/>
    </xf>
    <xf numFmtId="0" fontId="10" fillId="2" borderId="43" xfId="0" applyFont="1" applyFill="1" applyBorder="1" applyAlignment="1">
      <alignment horizontal="center" vertical="center" wrapText="1"/>
    </xf>
    <xf numFmtId="0" fontId="10" fillId="2" borderId="70" xfId="0" applyFont="1" applyFill="1" applyBorder="1" applyAlignment="1">
      <alignment horizontal="center" vertical="center" wrapText="1"/>
    </xf>
    <xf numFmtId="0" fontId="10" fillId="2" borderId="44" xfId="0" applyFont="1" applyFill="1" applyBorder="1" applyAlignment="1">
      <alignment horizontal="center" vertical="center" wrapText="1"/>
    </xf>
    <xf numFmtId="0" fontId="10" fillId="2" borderId="45" xfId="0" applyFont="1" applyFill="1" applyBorder="1" applyAlignment="1">
      <alignment horizontal="center" vertical="center" wrapText="1"/>
    </xf>
    <xf numFmtId="0" fontId="10" fillId="2" borderId="5" xfId="0" applyFont="1" applyFill="1" applyBorder="1" applyAlignment="1">
      <alignment horizontal="center" vertical="center" wrapText="1"/>
    </xf>
    <xf numFmtId="0" fontId="10" fillId="2" borderId="74" xfId="0" applyFont="1" applyFill="1" applyBorder="1" applyAlignment="1">
      <alignment horizontal="center" vertical="center" wrapText="1"/>
    </xf>
    <xf numFmtId="0" fontId="0" fillId="0" borderId="0" xfId="0" applyAlignment="1">
      <alignment horizontal="left" wrapText="1"/>
    </xf>
    <xf numFmtId="0" fontId="11" fillId="0" borderId="23" xfId="0" applyFont="1" applyBorder="1" applyAlignment="1">
      <alignment horizontal="center" vertical="center" wrapText="1"/>
    </xf>
    <xf numFmtId="0" fontId="11" fillId="0" borderId="33" xfId="0" applyFont="1" applyBorder="1" applyAlignment="1">
      <alignment horizontal="center" vertical="center" wrapText="1"/>
    </xf>
    <xf numFmtId="0" fontId="11" fillId="0" borderId="6" xfId="0" applyFont="1" applyBorder="1" applyAlignment="1">
      <alignment horizontal="center" vertical="center" wrapText="1"/>
    </xf>
    <xf numFmtId="0" fontId="11" fillId="0" borderId="12" xfId="0" applyFont="1" applyBorder="1" applyAlignment="1">
      <alignment horizontal="center" vertical="center" wrapText="1"/>
    </xf>
    <xf numFmtId="0" fontId="11" fillId="0" borderId="13" xfId="0" applyFont="1" applyBorder="1" applyAlignment="1">
      <alignment horizontal="center" vertical="center" wrapText="1"/>
    </xf>
    <xf numFmtId="0" fontId="11" fillId="0" borderId="66" xfId="0" applyFont="1" applyBorder="1" applyAlignment="1">
      <alignment horizontal="center" vertical="center" wrapText="1"/>
    </xf>
    <xf numFmtId="0" fontId="11" fillId="0" borderId="18" xfId="0" applyFont="1" applyBorder="1" applyAlignment="1">
      <alignment horizontal="center" vertical="center" wrapText="1"/>
    </xf>
    <xf numFmtId="0" fontId="11" fillId="0" borderId="36" xfId="0" applyFont="1" applyBorder="1" applyAlignment="1">
      <alignment horizontal="center" vertical="center"/>
    </xf>
    <xf numFmtId="0" fontId="11" fillId="0" borderId="19" xfId="0" applyFont="1" applyBorder="1" applyAlignment="1">
      <alignment horizontal="center" vertical="center" wrapText="1"/>
    </xf>
    <xf numFmtId="0" fontId="11" fillId="0" borderId="15" xfId="0" applyFont="1" applyBorder="1" applyAlignment="1">
      <alignment horizontal="center" vertical="center" wrapText="1"/>
    </xf>
    <xf numFmtId="0" fontId="11" fillId="0" borderId="67" xfId="0" applyFont="1" applyBorder="1" applyAlignment="1">
      <alignment horizontal="center" vertical="center" wrapText="1"/>
    </xf>
    <xf numFmtId="0" fontId="11" fillId="0" borderId="6" xfId="0" applyFont="1" applyBorder="1" applyAlignment="1">
      <alignment horizontal="center" vertical="center"/>
    </xf>
    <xf numFmtId="0" fontId="11" fillId="0" borderId="19" xfId="0" applyFont="1" applyBorder="1" applyAlignment="1">
      <alignment horizontal="center" vertical="center"/>
    </xf>
    <xf numFmtId="49" fontId="11" fillId="0" borderId="18" xfId="0" applyNumberFormat="1" applyFont="1" applyBorder="1" applyAlignment="1">
      <alignment horizontal="center" vertical="center" wrapText="1"/>
    </xf>
    <xf numFmtId="49" fontId="11" fillId="0" borderId="30" xfId="0" applyNumberFormat="1" applyFont="1" applyBorder="1" applyAlignment="1">
      <alignment horizontal="center" vertical="center" wrapText="1"/>
    </xf>
    <xf numFmtId="0" fontId="3" fillId="0" borderId="9" xfId="0" applyFont="1" applyBorder="1" applyAlignment="1">
      <alignment horizontal="center" vertical="center"/>
    </xf>
    <xf numFmtId="0" fontId="3" fillId="0" borderId="10" xfId="0" applyFont="1" applyBorder="1" applyAlignment="1">
      <alignment horizontal="center" vertical="center"/>
    </xf>
    <xf numFmtId="0" fontId="3" fillId="0" borderId="11" xfId="0" applyFont="1" applyBorder="1" applyAlignment="1">
      <alignment horizontal="center" vertical="center"/>
    </xf>
    <xf numFmtId="0" fontId="3" fillId="0" borderId="9" xfId="0" applyFont="1" applyBorder="1" applyAlignment="1">
      <alignment horizontal="center"/>
    </xf>
    <xf numFmtId="0" fontId="3" fillId="0" borderId="10" xfId="0" applyFont="1" applyBorder="1" applyAlignment="1">
      <alignment horizontal="center"/>
    </xf>
    <xf numFmtId="0" fontId="11" fillId="0" borderId="14" xfId="0" applyFont="1" applyBorder="1" applyAlignment="1">
      <alignment horizontal="center" vertical="center" wrapText="1"/>
    </xf>
    <xf numFmtId="0" fontId="11" fillId="0" borderId="63" xfId="0" applyFont="1" applyBorder="1" applyAlignment="1">
      <alignment horizontal="center" vertical="center" wrapText="1"/>
    </xf>
    <xf numFmtId="0" fontId="0" fillId="0" borderId="0" xfId="0" applyAlignment="1">
      <alignment horizontal="left"/>
    </xf>
    <xf numFmtId="0" fontId="10" fillId="2" borderId="13" xfId="0" applyFont="1" applyFill="1" applyBorder="1" applyAlignment="1">
      <alignment horizontal="center" vertical="center" wrapText="1"/>
    </xf>
    <xf numFmtId="0" fontId="10" fillId="2" borderId="20" xfId="0" applyFont="1" applyFill="1" applyBorder="1" applyAlignment="1">
      <alignment horizontal="center" vertical="center" wrapText="1"/>
    </xf>
    <xf numFmtId="0" fontId="10" fillId="2" borderId="14" xfId="0" applyFont="1" applyFill="1" applyBorder="1" applyAlignment="1">
      <alignment horizontal="center" vertical="center" wrapText="1"/>
    </xf>
    <xf numFmtId="0" fontId="10" fillId="2" borderId="21" xfId="0" applyFont="1" applyFill="1" applyBorder="1" applyAlignment="1">
      <alignment horizontal="center" vertical="center" wrapText="1"/>
    </xf>
    <xf numFmtId="0" fontId="10" fillId="2" borderId="15" xfId="0" applyFont="1" applyFill="1" applyBorder="1" applyAlignment="1">
      <alignment horizontal="center" vertical="center" wrapText="1"/>
    </xf>
    <xf numFmtId="0" fontId="10" fillId="2" borderId="22" xfId="0" applyFont="1" applyFill="1" applyBorder="1" applyAlignment="1">
      <alignment horizontal="center" vertical="center" wrapText="1"/>
    </xf>
    <xf numFmtId="0" fontId="10" fillId="2" borderId="39" xfId="0" applyFont="1" applyFill="1" applyBorder="1" applyAlignment="1">
      <alignment horizontal="center" vertical="center" wrapText="1"/>
    </xf>
    <xf numFmtId="0" fontId="10" fillId="2" borderId="40" xfId="0" applyFont="1" applyFill="1" applyBorder="1" applyAlignment="1">
      <alignment horizontal="center" vertical="center" wrapText="1"/>
    </xf>
    <xf numFmtId="0" fontId="3" fillId="0" borderId="0" xfId="0" applyFont="1" applyAlignment="1">
      <alignment horizontal="left"/>
    </xf>
    <xf numFmtId="0" fontId="6" fillId="2" borderId="9" xfId="0" applyFont="1" applyFill="1" applyBorder="1" applyAlignment="1">
      <alignment horizontal="center"/>
    </xf>
    <xf numFmtId="0" fontId="6" fillId="2" borderId="10" xfId="0" applyFont="1" applyFill="1" applyBorder="1" applyAlignment="1">
      <alignment horizontal="center"/>
    </xf>
    <xf numFmtId="0" fontId="6" fillId="2" borderId="11" xfId="0" applyFont="1" applyFill="1" applyBorder="1" applyAlignment="1">
      <alignment horizontal="center"/>
    </xf>
    <xf numFmtId="0" fontId="10" fillId="2" borderId="15" xfId="0" applyFont="1" applyFill="1" applyBorder="1" applyAlignment="1">
      <alignment horizontal="center" vertical="center"/>
    </xf>
    <xf numFmtId="0" fontId="10" fillId="2" borderId="22" xfId="0" applyFont="1" applyFill="1" applyBorder="1" applyAlignment="1">
      <alignment horizontal="center" vertical="center"/>
    </xf>
    <xf numFmtId="0" fontId="11" fillId="0" borderId="41" xfId="0" applyFont="1" applyBorder="1" applyAlignment="1">
      <alignment horizontal="center"/>
    </xf>
    <xf numFmtId="0" fontId="11" fillId="0" borderId="17" xfId="0" applyFont="1" applyBorder="1" applyAlignment="1">
      <alignment horizontal="center"/>
    </xf>
    <xf numFmtId="0" fontId="11" fillId="0" borderId="75" xfId="0" applyFont="1" applyBorder="1" applyAlignment="1">
      <alignment horizontal="center"/>
    </xf>
    <xf numFmtId="0" fontId="11" fillId="0" borderId="16" xfId="0" applyFont="1" applyBorder="1" applyAlignment="1">
      <alignment horizontal="center"/>
    </xf>
    <xf numFmtId="0" fontId="11" fillId="0" borderId="18" xfId="0" applyFont="1" applyBorder="1" applyAlignment="1">
      <alignment horizontal="center"/>
    </xf>
    <xf numFmtId="0" fontId="11" fillId="0" borderId="61" xfId="0" applyFont="1" applyBorder="1" applyAlignment="1">
      <alignment horizontal="center" vertical="center"/>
    </xf>
    <xf numFmtId="0" fontId="11" fillId="0" borderId="52" xfId="0" applyFont="1" applyBorder="1" applyAlignment="1">
      <alignment horizontal="center" vertical="center"/>
    </xf>
    <xf numFmtId="0" fontId="11" fillId="0" borderId="15" xfId="0" applyFont="1" applyBorder="1" applyAlignment="1">
      <alignment horizontal="center" vertical="center"/>
    </xf>
    <xf numFmtId="0" fontId="11" fillId="0" borderId="22" xfId="0" applyFont="1" applyBorder="1" applyAlignment="1">
      <alignment horizontal="center" vertical="center"/>
    </xf>
    <xf numFmtId="0" fontId="11" fillId="0" borderId="13" xfId="0" applyFont="1" applyBorder="1" applyAlignment="1">
      <alignment horizontal="center" vertical="center"/>
    </xf>
    <xf numFmtId="0" fontId="11" fillId="0" borderId="20" xfId="0" applyFont="1" applyBorder="1" applyAlignment="1">
      <alignment horizontal="center" vertical="center"/>
    </xf>
    <xf numFmtId="0" fontId="10" fillId="0" borderId="4" xfId="0" applyFont="1" applyBorder="1" applyAlignment="1">
      <alignment horizontal="center"/>
    </xf>
    <xf numFmtId="0" fontId="10" fillId="0" borderId="9" xfId="0" applyFont="1" applyBorder="1" applyAlignment="1">
      <alignment horizontal="center"/>
    </xf>
    <xf numFmtId="0" fontId="10" fillId="0" borderId="11" xfId="0" applyFont="1" applyBorder="1" applyAlignment="1">
      <alignment horizontal="center"/>
    </xf>
    <xf numFmtId="0" fontId="11" fillId="0" borderId="43" xfId="0" applyFont="1" applyBorder="1" applyAlignment="1">
      <alignment horizontal="center" vertical="center" wrapText="1"/>
    </xf>
    <xf numFmtId="0" fontId="11" fillId="0" borderId="45" xfId="0" applyFont="1" applyBorder="1" applyAlignment="1">
      <alignment horizontal="center" vertical="center" wrapText="1"/>
    </xf>
    <xf numFmtId="0" fontId="11" fillId="0" borderId="22" xfId="0" applyFont="1" applyBorder="1" applyAlignment="1">
      <alignment horizontal="center" vertical="center" wrapText="1"/>
    </xf>
    <xf numFmtId="0" fontId="42" fillId="0" borderId="4" xfId="0" applyFont="1" applyBorder="1" applyAlignment="1">
      <alignment horizontal="center" wrapText="1"/>
    </xf>
    <xf numFmtId="0" fontId="42" fillId="0" borderId="35" xfId="0" applyFont="1" applyBorder="1" applyAlignment="1">
      <alignment horizontal="left" vertical="center"/>
    </xf>
    <xf numFmtId="0" fontId="42" fillId="0" borderId="63" xfId="0" applyFont="1" applyBorder="1" applyAlignment="1">
      <alignment horizontal="left" vertical="center"/>
    </xf>
    <xf numFmtId="0" fontId="42" fillId="0" borderId="50" xfId="0" applyFont="1" applyBorder="1" applyAlignment="1">
      <alignment horizontal="left" vertical="center"/>
    </xf>
    <xf numFmtId="0" fontId="42" fillId="0" borderId="35" xfId="0" applyFont="1" applyBorder="1" applyAlignment="1">
      <alignment horizontal="center" vertical="center"/>
    </xf>
    <xf numFmtId="0" fontId="42" fillId="0" borderId="63" xfId="0" applyFont="1" applyBorder="1" applyAlignment="1">
      <alignment horizontal="center" vertical="center"/>
    </xf>
    <xf numFmtId="0" fontId="42" fillId="0" borderId="50" xfId="0" applyFont="1" applyBorder="1" applyAlignment="1">
      <alignment horizontal="center" vertical="center"/>
    </xf>
    <xf numFmtId="0" fontId="42" fillId="0" borderId="35" xfId="0" applyFont="1" applyBorder="1" applyAlignment="1">
      <alignment horizontal="center" vertical="center" wrapText="1"/>
    </xf>
    <xf numFmtId="0" fontId="42" fillId="0" borderId="63" xfId="0" applyFont="1" applyBorder="1" applyAlignment="1">
      <alignment horizontal="center" vertical="center" wrapText="1"/>
    </xf>
    <xf numFmtId="0" fontId="42" fillId="0" borderId="50" xfId="0" applyFont="1" applyBorder="1" applyAlignment="1">
      <alignment horizontal="center" vertical="center" wrapText="1"/>
    </xf>
    <xf numFmtId="0" fontId="42" fillId="0" borderId="4" xfId="0" applyFont="1" applyBorder="1" applyAlignment="1">
      <alignment horizontal="left" vertical="center"/>
    </xf>
    <xf numFmtId="0" fontId="42" fillId="0" borderId="4" xfId="6" applyFont="1" applyBorder="1" applyAlignment="1">
      <alignment horizontal="center" vertical="center"/>
    </xf>
    <xf numFmtId="0" fontId="12" fillId="0" borderId="0" xfId="0" applyFont="1" applyAlignment="1">
      <alignment horizontal="left"/>
    </xf>
    <xf numFmtId="0" fontId="12" fillId="0" borderId="0" xfId="0" applyFont="1" applyAlignment="1">
      <alignment horizontal="left" wrapText="1"/>
    </xf>
    <xf numFmtId="0" fontId="12" fillId="0" borderId="0" xfId="0" applyFont="1" applyAlignment="1">
      <alignment horizontal="left" vertical="top" wrapText="1"/>
    </xf>
    <xf numFmtId="0" fontId="12" fillId="0" borderId="41" xfId="0" applyFont="1" applyBorder="1" applyAlignment="1">
      <alignment horizontal="center"/>
    </xf>
    <xf numFmtId="0" fontId="12" fillId="0" borderId="18" xfId="0" applyFont="1" applyBorder="1" applyAlignment="1">
      <alignment horizontal="center"/>
    </xf>
    <xf numFmtId="0" fontId="12" fillId="0" borderId="13" xfId="0" applyFont="1" applyBorder="1" applyAlignment="1">
      <alignment horizontal="center" vertical="center"/>
    </xf>
    <xf numFmtId="0" fontId="12" fillId="0" borderId="20" xfId="0" applyFont="1" applyBorder="1" applyAlignment="1">
      <alignment horizontal="center" vertical="center"/>
    </xf>
    <xf numFmtId="0" fontId="12" fillId="0" borderId="15" xfId="0" applyFont="1" applyBorder="1" applyAlignment="1">
      <alignment horizontal="center" vertical="center"/>
    </xf>
    <xf numFmtId="0" fontId="12" fillId="0" borderId="22" xfId="0" applyFont="1" applyBorder="1" applyAlignment="1">
      <alignment horizontal="center" vertical="center"/>
    </xf>
    <xf numFmtId="0" fontId="12" fillId="0" borderId="23" xfId="0" applyFont="1" applyBorder="1" applyAlignment="1">
      <alignment horizontal="center" vertical="center"/>
    </xf>
    <xf numFmtId="0" fontId="12" fillId="0" borderId="27" xfId="0" applyFont="1" applyBorder="1" applyAlignment="1">
      <alignment horizontal="center" vertical="center"/>
    </xf>
    <xf numFmtId="0" fontId="12" fillId="0" borderId="16" xfId="0" applyFont="1" applyBorder="1" applyAlignment="1">
      <alignment horizontal="center"/>
    </xf>
    <xf numFmtId="0" fontId="3" fillId="0" borderId="0" xfId="0" applyFont="1" applyAlignment="1">
      <alignment horizontal="center"/>
    </xf>
    <xf numFmtId="0" fontId="3" fillId="0" borderId="48" xfId="0" applyFont="1" applyBorder="1" applyAlignment="1">
      <alignment horizontal="center"/>
    </xf>
    <xf numFmtId="0" fontId="3" fillId="0" borderId="65" xfId="0" applyFont="1" applyBorder="1" applyAlignment="1">
      <alignment horizontal="center"/>
    </xf>
    <xf numFmtId="0" fontId="3" fillId="0" borderId="49" xfId="0" applyFont="1" applyBorder="1" applyAlignment="1">
      <alignment horizontal="center"/>
    </xf>
    <xf numFmtId="0" fontId="3" fillId="0" borderId="86" xfId="0" applyFont="1" applyBorder="1" applyAlignment="1">
      <alignment horizontal="center"/>
    </xf>
    <xf numFmtId="0" fontId="3" fillId="0" borderId="87" xfId="0" applyFont="1" applyBorder="1" applyAlignment="1">
      <alignment horizontal="center"/>
    </xf>
    <xf numFmtId="0" fontId="3" fillId="0" borderId="64" xfId="0" applyFont="1" applyBorder="1" applyAlignment="1">
      <alignment horizontal="center"/>
    </xf>
    <xf numFmtId="0" fontId="0" fillId="0" borderId="4" xfId="0" applyBorder="1" applyAlignment="1">
      <alignment horizontal="center"/>
    </xf>
    <xf numFmtId="0" fontId="3" fillId="0" borderId="1" xfId="0" applyFont="1" applyBorder="1" applyAlignment="1">
      <alignment horizontal="center"/>
    </xf>
    <xf numFmtId="0" fontId="3" fillId="0" borderId="3" xfId="0" applyFont="1" applyBorder="1" applyAlignment="1">
      <alignment horizontal="center"/>
    </xf>
    <xf numFmtId="0" fontId="26" fillId="0" borderId="17" xfId="7" applyFont="1" applyBorder="1" applyAlignment="1">
      <alignment horizontal="center" vertical="center"/>
    </xf>
    <xf numFmtId="0" fontId="26" fillId="0" borderId="4" xfId="7" applyFont="1" applyBorder="1" applyAlignment="1">
      <alignment horizontal="center" vertical="center"/>
    </xf>
    <xf numFmtId="0" fontId="26" fillId="0" borderId="35" xfId="7" applyFont="1" applyBorder="1" applyAlignment="1">
      <alignment horizontal="center" vertical="center"/>
    </xf>
    <xf numFmtId="0" fontId="26" fillId="0" borderId="78" xfId="7" applyFont="1" applyBorder="1" applyAlignment="1">
      <alignment horizontal="center"/>
    </xf>
    <xf numFmtId="0" fontId="26" fillId="0" borderId="79" xfId="7" applyFont="1" applyBorder="1" applyAlignment="1">
      <alignment horizontal="center"/>
    </xf>
    <xf numFmtId="0" fontId="26" fillId="0" borderId="32" xfId="7" applyFont="1" applyBorder="1" applyAlignment="1">
      <alignment horizontal="center" vertical="top"/>
    </xf>
    <xf numFmtId="0" fontId="26" fillId="0" borderId="80" xfId="7" applyFont="1" applyBorder="1" applyAlignment="1">
      <alignment horizontal="center" vertical="top"/>
    </xf>
    <xf numFmtId="0" fontId="26" fillId="0" borderId="45" xfId="7" applyFont="1" applyBorder="1" applyAlignment="1">
      <alignment horizontal="left" vertical="center"/>
    </xf>
    <xf numFmtId="0" fontId="26" fillId="0" borderId="5" xfId="7" applyFont="1" applyBorder="1" applyAlignment="1">
      <alignment horizontal="left" vertical="center"/>
    </xf>
    <xf numFmtId="0" fontId="26" fillId="0" borderId="74" xfId="7" applyFont="1" applyBorder="1" applyAlignment="1">
      <alignment horizontal="left" vertical="center"/>
    </xf>
    <xf numFmtId="0" fontId="28" fillId="0" borderId="9" xfId="7" applyFont="1" applyBorder="1" applyAlignment="1">
      <alignment horizontal="left" vertical="center" indent="1"/>
    </xf>
    <xf numFmtId="0" fontId="28" fillId="0" borderId="10" xfId="7" applyFont="1" applyBorder="1" applyAlignment="1">
      <alignment horizontal="left" vertical="center" indent="1"/>
    </xf>
    <xf numFmtId="0" fontId="28" fillId="0" borderId="11" xfId="7" applyFont="1" applyBorder="1" applyAlignment="1">
      <alignment horizontal="left" vertical="center" indent="1"/>
    </xf>
    <xf numFmtId="0" fontId="26" fillId="0" borderId="18" xfId="7" applyFont="1" applyBorder="1" applyAlignment="1">
      <alignment horizontal="center" vertical="center" wrapText="1"/>
    </xf>
    <xf numFmtId="0" fontId="26" fillId="0" borderId="26" xfId="7" applyFont="1" applyBorder="1" applyAlignment="1">
      <alignment horizontal="center" vertical="center" wrapText="1"/>
    </xf>
    <xf numFmtId="0" fontId="26" fillId="0" borderId="36" xfId="7" applyFont="1" applyBorder="1" applyAlignment="1">
      <alignment horizontal="center" vertical="center" wrapText="1"/>
    </xf>
    <xf numFmtId="0" fontId="26" fillId="0" borderId="53" xfId="0" applyFont="1" applyBorder="1" applyAlignment="1">
      <alignment horizontal="left" vertical="center" wrapText="1"/>
    </xf>
    <xf numFmtId="0" fontId="26" fillId="0" borderId="0" xfId="0" applyFont="1" applyAlignment="1">
      <alignment horizontal="left" vertical="center" wrapText="1"/>
    </xf>
    <xf numFmtId="0" fontId="26" fillId="0" borderId="45" xfId="0" applyFont="1" applyBorder="1" applyAlignment="1">
      <alignment horizontal="left" vertical="center" wrapText="1"/>
    </xf>
    <xf numFmtId="0" fontId="26" fillId="0" borderId="5" xfId="0" applyFont="1" applyBorder="1" applyAlignment="1">
      <alignment horizontal="left" vertical="center" wrapText="1"/>
    </xf>
    <xf numFmtId="0" fontId="26" fillId="0" borderId="16" xfId="7" applyFont="1" applyBorder="1" applyAlignment="1">
      <alignment horizontal="center" vertical="center"/>
    </xf>
    <xf numFmtId="0" fontId="26" fillId="0" borderId="25" xfId="7" applyFont="1" applyBorder="1" applyAlignment="1">
      <alignment horizontal="center" vertical="center"/>
    </xf>
    <xf numFmtId="0" fontId="26" fillId="0" borderId="34" xfId="7" applyFont="1" applyBorder="1" applyAlignment="1">
      <alignment horizontal="center" vertical="center"/>
    </xf>
    <xf numFmtId="0" fontId="26" fillId="0" borderId="14" xfId="7" applyFont="1" applyBorder="1" applyAlignment="1">
      <alignment horizontal="center" vertical="center"/>
    </xf>
    <xf numFmtId="0" fontId="26" fillId="0" borderId="63" xfId="7" applyFont="1" applyBorder="1" applyAlignment="1">
      <alignment horizontal="center" vertical="center"/>
    </xf>
    <xf numFmtId="0" fontId="26" fillId="0" borderId="14" xfId="7" applyFont="1" applyBorder="1" applyAlignment="1">
      <alignment horizontal="center" vertical="center" wrapText="1"/>
    </xf>
    <xf numFmtId="0" fontId="30" fillId="0" borderId="0" xfId="0" applyFont="1" applyAlignment="1">
      <alignment horizontal="center" vertical="center"/>
    </xf>
    <xf numFmtId="0" fontId="26" fillId="0" borderId="43" xfId="0" applyFont="1" applyBorder="1" applyAlignment="1">
      <alignment horizontal="left" vertical="center"/>
    </xf>
    <xf numFmtId="0" fontId="26" fillId="0" borderId="70" xfId="0" applyFont="1" applyBorder="1" applyAlignment="1">
      <alignment horizontal="left" vertical="center"/>
    </xf>
    <xf numFmtId="0" fontId="26" fillId="4" borderId="0" xfId="0" applyFont="1" applyFill="1" applyAlignment="1">
      <alignment horizontal="left" vertical="center"/>
    </xf>
    <xf numFmtId="0" fontId="0" fillId="0" borderId="4" xfId="0" applyBorder="1" applyAlignment="1">
      <alignment horizontal="center" wrapText="1"/>
    </xf>
    <xf numFmtId="0" fontId="56" fillId="13" borderId="0" xfId="15" applyBorder="1" applyAlignment="1">
      <alignment horizontal="left" wrapText="1"/>
    </xf>
    <xf numFmtId="0" fontId="3" fillId="8" borderId="17" xfId="0" applyFont="1" applyFill="1" applyBorder="1" applyAlignment="1">
      <alignment horizontal="center"/>
    </xf>
    <xf numFmtId="0" fontId="3" fillId="8" borderId="18" xfId="0" applyFont="1" applyFill="1" applyBorder="1" applyAlignment="1">
      <alignment horizontal="center"/>
    </xf>
    <xf numFmtId="0" fontId="3" fillId="8" borderId="13" xfId="0" applyFont="1" applyFill="1" applyBorder="1" applyAlignment="1">
      <alignment horizontal="center" vertical="center"/>
    </xf>
    <xf numFmtId="0" fontId="3" fillId="8" borderId="37" xfId="0" applyFont="1" applyFill="1" applyBorder="1" applyAlignment="1">
      <alignment horizontal="center" vertical="center"/>
    </xf>
    <xf numFmtId="0" fontId="0" fillId="0" borderId="4" xfId="0" applyBorder="1" applyAlignment="1">
      <alignment horizontal="center" vertical="center" wrapText="1"/>
    </xf>
    <xf numFmtId="0" fontId="0" fillId="0" borderId="4" xfId="0" applyBorder="1" applyAlignment="1">
      <alignment horizontal="center" vertical="center"/>
    </xf>
  </cellXfs>
  <cellStyles count="16">
    <cellStyle name="Calculation" xfId="14" builtinId="22"/>
    <cellStyle name="Comma" xfId="1" builtinId="3"/>
    <cellStyle name="Comma 2" xfId="3" xr:uid="{CEBD8D4A-619D-4F10-9D94-95AD3555B4FA}"/>
    <cellStyle name="Comma 3" xfId="10" xr:uid="{4F91A042-0B1B-4938-9BEB-6A1E5146C153}"/>
    <cellStyle name="Currency" xfId="11" builtinId="4"/>
    <cellStyle name="Currency 2" xfId="4" xr:uid="{84693B01-AAF0-452B-BAD0-EBECA2B45F50}"/>
    <cellStyle name="Hyperlink" xfId="8" builtinId="8"/>
    <cellStyle name="Hyperlink 2" xfId="9" xr:uid="{3760AE62-5DA0-4F60-A68B-674107468E42}"/>
    <cellStyle name="Input" xfId="15" builtinId="20"/>
    <cellStyle name="Normal" xfId="0" builtinId="0"/>
    <cellStyle name="Normal 10" xfId="12" xr:uid="{9B163F80-8310-426C-9485-BAE30BDA6B3F}"/>
    <cellStyle name="Normal 16" xfId="5" xr:uid="{DC60DD19-BE5D-497E-AC0A-2CC6AA584E3A}"/>
    <cellStyle name="Normal 17" xfId="6" xr:uid="{9587E65F-9E45-4C05-AD3F-906FCEE5D437}"/>
    <cellStyle name="Normal 2" xfId="7" xr:uid="{43E24978-5895-4FD1-A1EB-F1C22C64669E}"/>
    <cellStyle name="Normal 7" xfId="13" xr:uid="{603A354D-7E7E-406C-B597-AEC3EC442535}"/>
    <cellStyle name="Percent" xfId="2" builtinId="5"/>
  </cellStyles>
  <dxfs count="0"/>
  <tableStyles count="0" defaultTableStyle="TableStyleMedium2" defaultPivotStyle="PivotStyleLight16"/>
  <colors>
    <mruColors>
      <color rgb="FF74F08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eetMetadata" Target="metadata.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scatterChart>
        <c:scatterStyle val="lineMarker"/>
        <c:varyColors val="0"/>
        <c:ser>
          <c:idx val="0"/>
          <c:order val="0"/>
          <c:spPr>
            <a:ln w="38100" cap="rnd">
              <a:noFill/>
              <a:round/>
            </a:ln>
            <a:effectLst/>
          </c:spPr>
          <c:marker>
            <c:symbol val="circle"/>
            <c:size val="5"/>
            <c:spPr>
              <a:solidFill>
                <a:schemeClr val="accent1"/>
              </a:solidFill>
              <a:ln w="9525">
                <a:solidFill>
                  <a:schemeClr val="accent1"/>
                </a:solidFill>
              </a:ln>
              <a:effectLst/>
            </c:spPr>
          </c:marker>
          <c:trendline>
            <c:spPr>
              <a:ln w="12700" cap="rnd">
                <a:solidFill>
                  <a:schemeClr val="accent1"/>
                </a:solidFill>
                <a:prstDash val="solid"/>
              </a:ln>
              <a:effectLst/>
            </c:spPr>
            <c:trendlineType val="poly"/>
            <c:order val="2"/>
            <c:dispRSqr val="0"/>
            <c:dispEq val="0"/>
          </c:trendline>
          <c:xVal>
            <c:numRef>
              <c:f>'Delay Calcs'!$H$3:$H$26</c:f>
              <c:numCache>
                <c:formatCode>0</c:formatCode>
                <c:ptCount val="24"/>
                <c:pt idx="0">
                  <c:v>261.71891535415119</c:v>
                </c:pt>
                <c:pt idx="1">
                  <c:v>143.28827561450606</c:v>
                </c:pt>
                <c:pt idx="2">
                  <c:v>97.678747203512188</c:v>
                </c:pt>
                <c:pt idx="3">
                  <c:v>81.216426557006429</c:v>
                </c:pt>
                <c:pt idx="4">
                  <c:v>128.88105590150772</c:v>
                </c:pt>
                <c:pt idx="5">
                  <c:v>192.46924107576859</c:v>
                </c:pt>
                <c:pt idx="6">
                  <c:v>506.70961964760608</c:v>
                </c:pt>
                <c:pt idx="7">
                  <c:v>979.550761860271</c:v>
                </c:pt>
                <c:pt idx="8">
                  <c:v>1660</c:v>
                </c:pt>
                <c:pt idx="9">
                  <c:v>1386.1669203270872</c:v>
                </c:pt>
                <c:pt idx="10">
                  <c:v>1149.1283909645099</c:v>
                </c:pt>
                <c:pt idx="11">
                  <c:v>1185.4223077874326</c:v>
                </c:pt>
                <c:pt idx="12">
                  <c:v>214.90460601540434</c:v>
                </c:pt>
                <c:pt idx="13">
                  <c:v>1292.4090126686538</c:v>
                </c:pt>
                <c:pt idx="14">
                  <c:v>1248.9706915807685</c:v>
                </c:pt>
                <c:pt idx="15">
                  <c:v>1244.0752850708016</c:v>
                </c:pt>
                <c:pt idx="16">
                  <c:v>1402.4167333263117</c:v>
                </c:pt>
                <c:pt idx="17">
                  <c:v>1770</c:v>
                </c:pt>
                <c:pt idx="18">
                  <c:v>1748.8309862496099</c:v>
                </c:pt>
                <c:pt idx="19">
                  <c:v>1200.0591467945014</c:v>
                </c:pt>
                <c:pt idx="20">
                  <c:v>825.61675733327274</c:v>
                </c:pt>
                <c:pt idx="21">
                  <c:v>646.55562782947675</c:v>
                </c:pt>
                <c:pt idx="22">
                  <c:v>485.62239991801584</c:v>
                </c:pt>
                <c:pt idx="23">
                  <c:v>341.30109426195679</c:v>
                </c:pt>
              </c:numCache>
            </c:numRef>
          </c:xVal>
          <c:yVal>
            <c:numRef>
              <c:f>'Delay Calcs'!$J$3:$J$26</c:f>
              <c:numCache>
                <c:formatCode>0.0</c:formatCode>
                <c:ptCount val="24"/>
                <c:pt idx="0">
                  <c:v>0.13178115411680322</c:v>
                </c:pt>
                <c:pt idx="1">
                  <c:v>3.9500663957132726E-2</c:v>
                </c:pt>
                <c:pt idx="2">
                  <c:v>1.8356219609532667E-2</c:v>
                </c:pt>
                <c:pt idx="3">
                  <c:v>1.2690269267585654E-2</c:v>
                </c:pt>
                <c:pt idx="4">
                  <c:v>3.1956650593187599E-2</c:v>
                </c:pt>
                <c:pt idx="5">
                  <c:v>7.1269834592003797E-2</c:v>
                </c:pt>
                <c:pt idx="6">
                  <c:v>0.49397091866845333</c:v>
                </c:pt>
                <c:pt idx="7">
                  <c:v>1.8460224428818461</c:v>
                </c:pt>
                <c:pt idx="8">
                  <c:v>5.3015060240963852</c:v>
                </c:pt>
                <c:pt idx="9">
                  <c:v>3.6966994620036431</c:v>
                </c:pt>
                <c:pt idx="10">
                  <c:v>2.5405058104091802</c:v>
                </c:pt>
                <c:pt idx="11">
                  <c:v>2.7035180569129378</c:v>
                </c:pt>
                <c:pt idx="12">
                  <c:v>8.0183530738580269E-2</c:v>
                </c:pt>
                <c:pt idx="13">
                  <c:v>2.899971194519964</c:v>
                </c:pt>
                <c:pt idx="14">
                  <c:v>2.7083090616910228</c:v>
                </c:pt>
                <c:pt idx="15">
                  <c:v>2.6871199486894004</c:v>
                </c:pt>
                <c:pt idx="16">
                  <c:v>3.4146633893749101</c:v>
                </c:pt>
                <c:pt idx="17">
                  <c:v>5.4392655367231635</c:v>
                </c:pt>
                <c:pt idx="18">
                  <c:v>5.3099374773411601</c:v>
                </c:pt>
                <c:pt idx="19">
                  <c:v>2.5003397836509391</c:v>
                </c:pt>
                <c:pt idx="20">
                  <c:v>1.1834522140411392</c:v>
                </c:pt>
                <c:pt idx="21">
                  <c:v>0.7257808764347945</c:v>
                </c:pt>
                <c:pt idx="22">
                  <c:v>0.40944083099326722</c:v>
                </c:pt>
                <c:pt idx="23">
                  <c:v>0.20224094671626938</c:v>
                </c:pt>
              </c:numCache>
            </c:numRef>
          </c:yVal>
          <c:smooth val="0"/>
          <c:extLst>
            <c:ext xmlns:c16="http://schemas.microsoft.com/office/drawing/2014/chart" uri="{C3380CC4-5D6E-409C-BE32-E72D297353CC}">
              <c16:uniqueId val="{00000000-4518-4A89-B3E3-1516A2742AFA}"/>
            </c:ext>
          </c:extLst>
        </c:ser>
        <c:dLbls>
          <c:showLegendKey val="0"/>
          <c:showVal val="0"/>
          <c:showCatName val="0"/>
          <c:showSerName val="0"/>
          <c:showPercent val="0"/>
          <c:showBubbleSize val="0"/>
        </c:dLbls>
        <c:axId val="1164789832"/>
        <c:axId val="1164787312"/>
      </c:scatterChart>
      <c:valAx>
        <c:axId val="1164789832"/>
        <c:scaling>
          <c:orientation val="minMax"/>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200" b="0" i="0" u="none" strike="noStrike" kern="1200" baseline="0">
                    <a:solidFill>
                      <a:sysClr val="windowText" lastClr="000000"/>
                    </a:solidFill>
                    <a:latin typeface="+mn-lt"/>
                    <a:ea typeface="+mn-ea"/>
                    <a:cs typeface="+mn-cs"/>
                  </a:defRPr>
                </a:pPr>
                <a:r>
                  <a:rPr lang="en-US" sz="1200">
                    <a:solidFill>
                      <a:sysClr val="windowText" lastClr="000000"/>
                    </a:solidFill>
                  </a:rPr>
                  <a:t>Hourly Traffic Volume</a:t>
                </a:r>
              </a:p>
            </c:rich>
          </c:tx>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n-lt"/>
                  <a:ea typeface="+mn-ea"/>
                  <a:cs typeface="+mn-cs"/>
                </a:defRPr>
              </a:pPr>
              <a:endParaRPr lang="en-US"/>
            </a:p>
          </c:txPr>
        </c:title>
        <c:numFmt formatCode="0"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1200" b="0" i="0" u="none" strike="noStrike" kern="1200" baseline="0">
                <a:solidFill>
                  <a:sysClr val="windowText" lastClr="000000"/>
                </a:solidFill>
                <a:latin typeface="+mn-lt"/>
                <a:ea typeface="+mn-ea"/>
                <a:cs typeface="+mn-cs"/>
              </a:defRPr>
            </a:pPr>
            <a:endParaRPr lang="en-US"/>
          </a:p>
        </c:txPr>
        <c:crossAx val="1164787312"/>
        <c:crosses val="autoZero"/>
        <c:crossBetween val="midCat"/>
      </c:valAx>
      <c:valAx>
        <c:axId val="1164787312"/>
        <c:scaling>
          <c:orientation val="minMax"/>
          <c:max val="6"/>
          <c:min val="0"/>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200" b="0" i="0" u="none" strike="noStrike" kern="1200" baseline="0">
                    <a:solidFill>
                      <a:sysClr val="windowText" lastClr="000000"/>
                    </a:solidFill>
                    <a:latin typeface="+mn-lt"/>
                    <a:ea typeface="+mn-ea"/>
                    <a:cs typeface="+mn-cs"/>
                  </a:defRPr>
                </a:pPr>
                <a:r>
                  <a:rPr lang="en-US" sz="1200">
                    <a:solidFill>
                      <a:sysClr val="windowText" lastClr="000000"/>
                    </a:solidFill>
                  </a:rPr>
                  <a:t>Per</a:t>
                </a:r>
                <a:r>
                  <a:rPr lang="en-US" sz="1200" baseline="0">
                    <a:solidFill>
                      <a:sysClr val="windowText" lastClr="000000"/>
                    </a:solidFill>
                  </a:rPr>
                  <a:t> Vehicle Delay (sec)</a:t>
                </a:r>
                <a:endParaRPr lang="en-US" sz="1200">
                  <a:solidFill>
                    <a:sysClr val="windowText" lastClr="000000"/>
                  </a:solidFill>
                </a:endParaRPr>
              </a:p>
            </c:rich>
          </c:tx>
          <c:overlay val="0"/>
          <c:spPr>
            <a:noFill/>
            <a:ln>
              <a:noFill/>
            </a:ln>
            <a:effectLst/>
          </c:spPr>
          <c:txPr>
            <a:bodyPr rot="-5400000" spcFirstLastPara="1" vertOverflow="ellipsis" vert="horz" wrap="square" anchor="ctr" anchorCtr="1"/>
            <a:lstStyle/>
            <a:p>
              <a:pPr>
                <a:defRPr sz="1200" b="0" i="0" u="none" strike="noStrike" kern="1200" baseline="0">
                  <a:solidFill>
                    <a:sysClr val="windowText" lastClr="000000"/>
                  </a:solidFill>
                  <a:latin typeface="+mn-lt"/>
                  <a:ea typeface="+mn-ea"/>
                  <a:cs typeface="+mn-cs"/>
                </a:defRPr>
              </a:pPr>
              <a:endParaRPr lang="en-US"/>
            </a:p>
          </c:txPr>
        </c:title>
        <c:numFmt formatCode="0.0"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1200" b="0" i="0" u="none" strike="noStrike" kern="1200" baseline="0">
                <a:solidFill>
                  <a:sysClr val="windowText" lastClr="000000"/>
                </a:solidFill>
                <a:latin typeface="+mn-lt"/>
                <a:ea typeface="+mn-ea"/>
                <a:cs typeface="+mn-cs"/>
              </a:defRPr>
            </a:pPr>
            <a:endParaRPr lang="en-US"/>
          </a:p>
        </c:txPr>
        <c:crossAx val="1164789832"/>
        <c:crosses val="autoZero"/>
        <c:crossBetween val="midCat"/>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1" Type="http://schemas.openxmlformats.org/officeDocument/2006/relationships/image" Target="../media/image5.png"/></Relationships>
</file>

<file path=xl/drawings/_rels/drawing3.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drawing4.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10.png"/></Relationships>
</file>

<file path=xl/drawings/_rels/drawing5.xml.rels><?xml version="1.0" encoding="UTF-8" standalone="yes"?>
<Relationships xmlns="http://schemas.openxmlformats.org/package/2006/relationships"><Relationship Id="rId1" Type="http://schemas.openxmlformats.org/officeDocument/2006/relationships/chart" Target="../charts/chart1.xml"/></Relationships>
</file>

<file path=xl/drawings/drawing1.xml><?xml version="1.0" encoding="utf-8"?>
<xdr:wsDr xmlns:xdr="http://schemas.openxmlformats.org/drawingml/2006/spreadsheetDrawing" xmlns:a="http://schemas.openxmlformats.org/drawingml/2006/main">
  <xdr:twoCellAnchor>
    <xdr:from>
      <xdr:col>19</xdr:col>
      <xdr:colOff>360588</xdr:colOff>
      <xdr:row>1</xdr:row>
      <xdr:rowOff>157843</xdr:rowOff>
    </xdr:from>
    <xdr:to>
      <xdr:col>48</xdr:col>
      <xdr:colOff>336776</xdr:colOff>
      <xdr:row>56</xdr:row>
      <xdr:rowOff>176892</xdr:rowOff>
    </xdr:to>
    <xdr:grpSp>
      <xdr:nvGrpSpPr>
        <xdr:cNvPr id="9" name="Group 8">
          <a:extLst>
            <a:ext uri="{FF2B5EF4-FFF2-40B4-BE49-F238E27FC236}">
              <a16:creationId xmlns:a16="http://schemas.microsoft.com/office/drawing/2014/main" id="{7CA3CA9D-55BF-4090-0633-D3A6856B003F}"/>
            </a:ext>
          </a:extLst>
        </xdr:cNvPr>
        <xdr:cNvGrpSpPr/>
      </xdr:nvGrpSpPr>
      <xdr:grpSpPr>
        <a:xfrm>
          <a:off x="15845517" y="348343"/>
          <a:ext cx="17733509" cy="10782299"/>
          <a:chOff x="16097249" y="285750"/>
          <a:chExt cx="17654588" cy="10591799"/>
        </a:xfrm>
      </xdr:grpSpPr>
      <xdr:sp macro="" textlink="">
        <xdr:nvSpPr>
          <xdr:cNvPr id="6" name="Rectangle 5">
            <a:extLst>
              <a:ext uri="{FF2B5EF4-FFF2-40B4-BE49-F238E27FC236}">
                <a16:creationId xmlns:a16="http://schemas.microsoft.com/office/drawing/2014/main" id="{CA5587EE-AEEB-23F4-D209-A4309471836D}"/>
              </a:ext>
            </a:extLst>
          </xdr:cNvPr>
          <xdr:cNvSpPr/>
        </xdr:nvSpPr>
        <xdr:spPr>
          <a:xfrm>
            <a:off x="16097249" y="285750"/>
            <a:ext cx="17654588" cy="10591799"/>
          </a:xfrm>
          <a:prstGeom prst="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pic>
        <xdr:nvPicPr>
          <xdr:cNvPr id="2" name="Picture 1" descr="A diagram of a diagram&#10;&#10;Description automatically generated with medium confidence">
            <a:extLst>
              <a:ext uri="{FF2B5EF4-FFF2-40B4-BE49-F238E27FC236}">
                <a16:creationId xmlns:a16="http://schemas.microsoft.com/office/drawing/2014/main" id="{B0BDDEF0-ADA2-47A4-939E-8551BA36574A}"/>
              </a:ext>
            </a:extLst>
          </xdr:cNvPr>
          <xdr:cNvPicPr>
            <a:picLocks noChangeAspect="1"/>
          </xdr:cNvPicPr>
        </xdr:nvPicPr>
        <xdr:blipFill>
          <a:blip xmlns:r="http://schemas.openxmlformats.org/officeDocument/2006/relationships" r:embed="rId1"/>
          <a:stretch>
            <a:fillRect/>
          </a:stretch>
        </xdr:blipFill>
        <xdr:spPr>
          <a:xfrm>
            <a:off x="26480458" y="1671159"/>
            <a:ext cx="6044824" cy="3398484"/>
          </a:xfrm>
          <a:prstGeom prst="rect">
            <a:avLst/>
          </a:prstGeom>
        </xdr:spPr>
      </xdr:pic>
      <xdr:pic>
        <xdr:nvPicPr>
          <xdr:cNvPr id="3" name="Picture 2" descr="A diagram of a diagram&#10;&#10;Description automatically generated with medium confidence">
            <a:extLst>
              <a:ext uri="{FF2B5EF4-FFF2-40B4-BE49-F238E27FC236}">
                <a16:creationId xmlns:a16="http://schemas.microsoft.com/office/drawing/2014/main" id="{1268E22D-0A50-4B9E-85FA-575F6FABB0A8}"/>
              </a:ext>
            </a:extLst>
          </xdr:cNvPr>
          <xdr:cNvPicPr>
            <a:picLocks noChangeAspect="1"/>
          </xdr:cNvPicPr>
        </xdr:nvPicPr>
        <xdr:blipFill>
          <a:blip xmlns:r="http://schemas.openxmlformats.org/officeDocument/2006/relationships" r:embed="rId2"/>
          <a:stretch>
            <a:fillRect/>
          </a:stretch>
        </xdr:blipFill>
        <xdr:spPr>
          <a:xfrm>
            <a:off x="26828122" y="5407281"/>
            <a:ext cx="5926212" cy="3338135"/>
          </a:xfrm>
          <a:prstGeom prst="rect">
            <a:avLst/>
          </a:prstGeom>
        </xdr:spPr>
      </xdr:pic>
      <xdr:pic>
        <xdr:nvPicPr>
          <xdr:cNvPr id="4" name="Picture 3" descr="A diagram of numbers and arrows&#10;&#10;Description automatically generated">
            <a:extLst>
              <a:ext uri="{FF2B5EF4-FFF2-40B4-BE49-F238E27FC236}">
                <a16:creationId xmlns:a16="http://schemas.microsoft.com/office/drawing/2014/main" id="{8CD1DEBD-3D8A-9F59-D0BC-5792F8EF92FC}"/>
              </a:ext>
            </a:extLst>
          </xdr:cNvPr>
          <xdr:cNvPicPr>
            <a:picLocks noChangeAspect="1"/>
          </xdr:cNvPicPr>
        </xdr:nvPicPr>
        <xdr:blipFill>
          <a:blip xmlns:r="http://schemas.openxmlformats.org/officeDocument/2006/relationships" r:embed="rId3"/>
          <a:stretch>
            <a:fillRect/>
          </a:stretch>
        </xdr:blipFill>
        <xdr:spPr>
          <a:xfrm>
            <a:off x="16720458" y="1835604"/>
            <a:ext cx="8231287" cy="3170053"/>
          </a:xfrm>
          <a:prstGeom prst="rect">
            <a:avLst/>
          </a:prstGeom>
        </xdr:spPr>
      </xdr:pic>
      <xdr:pic>
        <xdr:nvPicPr>
          <xdr:cNvPr id="5" name="Picture 4" descr="A graph of numbers and arrows&#10;&#10;Description automatically generated with medium confidence">
            <a:extLst>
              <a:ext uri="{FF2B5EF4-FFF2-40B4-BE49-F238E27FC236}">
                <a16:creationId xmlns:a16="http://schemas.microsoft.com/office/drawing/2014/main" id="{3156B7E1-5A6B-D9D5-E3A0-72FF734089A3}"/>
              </a:ext>
            </a:extLst>
          </xdr:cNvPr>
          <xdr:cNvPicPr>
            <a:picLocks noChangeAspect="1"/>
          </xdr:cNvPicPr>
        </xdr:nvPicPr>
        <xdr:blipFill>
          <a:blip xmlns:r="http://schemas.openxmlformats.org/officeDocument/2006/relationships" r:embed="rId4"/>
          <a:stretch>
            <a:fillRect/>
          </a:stretch>
        </xdr:blipFill>
        <xdr:spPr>
          <a:xfrm>
            <a:off x="16934771" y="5264604"/>
            <a:ext cx="8097954" cy="3376869"/>
          </a:xfrm>
          <a:prstGeom prst="rect">
            <a:avLst/>
          </a:prstGeom>
        </xdr:spPr>
      </xdr:pic>
      <xdr:sp macro="" textlink="">
        <xdr:nvSpPr>
          <xdr:cNvPr id="7" name="TextBox 6">
            <a:extLst>
              <a:ext uri="{FF2B5EF4-FFF2-40B4-BE49-F238E27FC236}">
                <a16:creationId xmlns:a16="http://schemas.microsoft.com/office/drawing/2014/main" id="{DE1F04F5-3E7E-43EC-D424-8D772B2BDBE6}"/>
              </a:ext>
            </a:extLst>
          </xdr:cNvPr>
          <xdr:cNvSpPr txBox="1"/>
        </xdr:nvSpPr>
        <xdr:spPr>
          <a:xfrm>
            <a:off x="16737466" y="885144"/>
            <a:ext cx="3477306" cy="39120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US" sz="2000"/>
              <a:t>2045 Turning Movements</a:t>
            </a:r>
          </a:p>
        </xdr:txBody>
      </xdr:sp>
      <xdr:sp macro="" textlink="">
        <xdr:nvSpPr>
          <xdr:cNvPr id="8" name="TextBox 7">
            <a:extLst>
              <a:ext uri="{FF2B5EF4-FFF2-40B4-BE49-F238E27FC236}">
                <a16:creationId xmlns:a16="http://schemas.microsoft.com/office/drawing/2014/main" id="{96B462FD-1BAA-4292-A6B0-B84B1EA356E0}"/>
              </a:ext>
            </a:extLst>
          </xdr:cNvPr>
          <xdr:cNvSpPr txBox="1"/>
        </xdr:nvSpPr>
        <xdr:spPr>
          <a:xfrm>
            <a:off x="26561823" y="860651"/>
            <a:ext cx="3477306" cy="39120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US" sz="2000"/>
              <a:t>2021 Turning Movements</a:t>
            </a:r>
          </a:p>
        </xdr:txBody>
      </xdr:sp>
    </xdr:grpSp>
    <xdr:clientData/>
  </xdr:twoCellAnchor>
  <xdr:twoCellAnchor>
    <xdr:from>
      <xdr:col>54</xdr:col>
      <xdr:colOff>39461</xdr:colOff>
      <xdr:row>12</xdr:row>
      <xdr:rowOff>204107</xdr:rowOff>
    </xdr:from>
    <xdr:to>
      <xdr:col>54</xdr:col>
      <xdr:colOff>39461</xdr:colOff>
      <xdr:row>23</xdr:row>
      <xdr:rowOff>144235</xdr:rowOff>
    </xdr:to>
    <xdr:cxnSp macro="">
      <xdr:nvCxnSpPr>
        <xdr:cNvPr id="16" name="Straight Connector 15">
          <a:extLst>
            <a:ext uri="{FF2B5EF4-FFF2-40B4-BE49-F238E27FC236}">
              <a16:creationId xmlns:a16="http://schemas.microsoft.com/office/drawing/2014/main" id="{AF1E2F9E-CE70-470B-8AC9-3899CC70DC30}"/>
            </a:ext>
          </a:extLst>
        </xdr:cNvPr>
        <xdr:cNvCxnSpPr/>
      </xdr:nvCxnSpPr>
      <xdr:spPr>
        <a:xfrm>
          <a:off x="36207247" y="2612571"/>
          <a:ext cx="0" cy="2171700"/>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twoCellAnchor>
    <xdr:from>
      <xdr:col>52</xdr:col>
      <xdr:colOff>0</xdr:colOff>
      <xdr:row>18</xdr:row>
      <xdr:rowOff>48985</xdr:rowOff>
    </xdr:from>
    <xdr:to>
      <xdr:col>71</xdr:col>
      <xdr:colOff>557893</xdr:colOff>
      <xdr:row>18</xdr:row>
      <xdr:rowOff>81643</xdr:rowOff>
    </xdr:to>
    <xdr:cxnSp macro="">
      <xdr:nvCxnSpPr>
        <xdr:cNvPr id="17" name="Straight Connector 16">
          <a:extLst>
            <a:ext uri="{FF2B5EF4-FFF2-40B4-BE49-F238E27FC236}">
              <a16:creationId xmlns:a16="http://schemas.microsoft.com/office/drawing/2014/main" id="{E1E4C6E1-F574-4476-9769-B42D86240F4E}"/>
            </a:ext>
          </a:extLst>
        </xdr:cNvPr>
        <xdr:cNvCxnSpPr/>
      </xdr:nvCxnSpPr>
      <xdr:spPr>
        <a:xfrm>
          <a:off x="34943143" y="3709306"/>
          <a:ext cx="12192000" cy="32658"/>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twoCellAnchor>
    <xdr:from>
      <xdr:col>61</xdr:col>
      <xdr:colOff>219075</xdr:colOff>
      <xdr:row>13</xdr:row>
      <xdr:rowOff>97971</xdr:rowOff>
    </xdr:from>
    <xdr:to>
      <xdr:col>61</xdr:col>
      <xdr:colOff>219075</xdr:colOff>
      <xdr:row>24</xdr:row>
      <xdr:rowOff>119742</xdr:rowOff>
    </xdr:to>
    <xdr:cxnSp macro="">
      <xdr:nvCxnSpPr>
        <xdr:cNvPr id="22" name="Straight Connector 21">
          <a:extLst>
            <a:ext uri="{FF2B5EF4-FFF2-40B4-BE49-F238E27FC236}">
              <a16:creationId xmlns:a16="http://schemas.microsoft.com/office/drawing/2014/main" id="{B0379C91-A453-490F-8B7F-F7F3770701C8}"/>
            </a:ext>
          </a:extLst>
        </xdr:cNvPr>
        <xdr:cNvCxnSpPr/>
      </xdr:nvCxnSpPr>
      <xdr:spPr>
        <a:xfrm>
          <a:off x="40673111" y="2778578"/>
          <a:ext cx="0" cy="2171700"/>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twoCellAnchor>
    <xdr:from>
      <xdr:col>69</xdr:col>
      <xdr:colOff>249011</xdr:colOff>
      <xdr:row>12</xdr:row>
      <xdr:rowOff>223157</xdr:rowOff>
    </xdr:from>
    <xdr:to>
      <xdr:col>69</xdr:col>
      <xdr:colOff>249011</xdr:colOff>
      <xdr:row>23</xdr:row>
      <xdr:rowOff>163285</xdr:rowOff>
    </xdr:to>
    <xdr:cxnSp macro="">
      <xdr:nvCxnSpPr>
        <xdr:cNvPr id="24" name="Straight Connector 23">
          <a:extLst>
            <a:ext uri="{FF2B5EF4-FFF2-40B4-BE49-F238E27FC236}">
              <a16:creationId xmlns:a16="http://schemas.microsoft.com/office/drawing/2014/main" id="{BE2B4C5C-F261-42BC-A3B5-542D4EAE03F4}"/>
            </a:ext>
          </a:extLst>
        </xdr:cNvPr>
        <xdr:cNvCxnSpPr/>
      </xdr:nvCxnSpPr>
      <xdr:spPr>
        <a:xfrm>
          <a:off x="45601618" y="2631621"/>
          <a:ext cx="0" cy="2171700"/>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twoCellAnchor>
    <xdr:from>
      <xdr:col>53</xdr:col>
      <xdr:colOff>1362</xdr:colOff>
      <xdr:row>38</xdr:row>
      <xdr:rowOff>95250</xdr:rowOff>
    </xdr:from>
    <xdr:to>
      <xdr:col>66</xdr:col>
      <xdr:colOff>503464</xdr:colOff>
      <xdr:row>38</xdr:row>
      <xdr:rowOff>133349</xdr:rowOff>
    </xdr:to>
    <xdr:cxnSp macro="">
      <xdr:nvCxnSpPr>
        <xdr:cNvPr id="26" name="Straight Connector 25">
          <a:extLst>
            <a:ext uri="{FF2B5EF4-FFF2-40B4-BE49-F238E27FC236}">
              <a16:creationId xmlns:a16="http://schemas.microsoft.com/office/drawing/2014/main" id="{AEB1AA61-1647-48C7-8575-2229FD47B06B}"/>
            </a:ext>
          </a:extLst>
        </xdr:cNvPr>
        <xdr:cNvCxnSpPr/>
      </xdr:nvCxnSpPr>
      <xdr:spPr>
        <a:xfrm flipH="1">
          <a:off x="35556826" y="7620000"/>
          <a:ext cx="8462281" cy="38099"/>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twoCellAnchor>
    <xdr:from>
      <xdr:col>54</xdr:col>
      <xdr:colOff>231321</xdr:colOff>
      <xdr:row>38</xdr:row>
      <xdr:rowOff>163286</xdr:rowOff>
    </xdr:from>
    <xdr:to>
      <xdr:col>56</xdr:col>
      <xdr:colOff>326571</xdr:colOff>
      <xdr:row>49</xdr:row>
      <xdr:rowOff>108857</xdr:rowOff>
    </xdr:to>
    <xdr:cxnSp macro="">
      <xdr:nvCxnSpPr>
        <xdr:cNvPr id="28" name="Straight Connector 27">
          <a:extLst>
            <a:ext uri="{FF2B5EF4-FFF2-40B4-BE49-F238E27FC236}">
              <a16:creationId xmlns:a16="http://schemas.microsoft.com/office/drawing/2014/main" id="{32200A7A-183F-41DC-83B8-48DF6F12ABB4}"/>
            </a:ext>
          </a:extLst>
        </xdr:cNvPr>
        <xdr:cNvCxnSpPr/>
      </xdr:nvCxnSpPr>
      <xdr:spPr>
        <a:xfrm>
          <a:off x="36399107" y="7688036"/>
          <a:ext cx="1319893" cy="2041071"/>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twoCellAnchor>
    <xdr:from>
      <xdr:col>58</xdr:col>
      <xdr:colOff>258536</xdr:colOff>
      <xdr:row>38</xdr:row>
      <xdr:rowOff>149679</xdr:rowOff>
    </xdr:from>
    <xdr:to>
      <xdr:col>60</xdr:col>
      <xdr:colOff>149679</xdr:colOff>
      <xdr:row>49</xdr:row>
      <xdr:rowOff>13607</xdr:rowOff>
    </xdr:to>
    <xdr:cxnSp macro="">
      <xdr:nvCxnSpPr>
        <xdr:cNvPr id="31" name="Straight Connector 30">
          <a:extLst>
            <a:ext uri="{FF2B5EF4-FFF2-40B4-BE49-F238E27FC236}">
              <a16:creationId xmlns:a16="http://schemas.microsoft.com/office/drawing/2014/main" id="{F4AC2574-0CC9-44A7-AECE-14F6361127D4}"/>
            </a:ext>
          </a:extLst>
        </xdr:cNvPr>
        <xdr:cNvCxnSpPr/>
      </xdr:nvCxnSpPr>
      <xdr:spPr>
        <a:xfrm flipH="1">
          <a:off x="38875607" y="7674429"/>
          <a:ext cx="1115786" cy="1959428"/>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twoCellAnchor>
    <xdr:from>
      <xdr:col>57</xdr:col>
      <xdr:colOff>557893</xdr:colOff>
      <xdr:row>28</xdr:row>
      <xdr:rowOff>68035</xdr:rowOff>
    </xdr:from>
    <xdr:to>
      <xdr:col>60</xdr:col>
      <xdr:colOff>152400</xdr:colOff>
      <xdr:row>38</xdr:row>
      <xdr:rowOff>125186</xdr:rowOff>
    </xdr:to>
    <xdr:cxnSp macro="">
      <xdr:nvCxnSpPr>
        <xdr:cNvPr id="34" name="Straight Connector 33">
          <a:extLst>
            <a:ext uri="{FF2B5EF4-FFF2-40B4-BE49-F238E27FC236}">
              <a16:creationId xmlns:a16="http://schemas.microsoft.com/office/drawing/2014/main" id="{8DD336BB-B541-4E23-9979-47AC9A6C24A0}"/>
            </a:ext>
          </a:extLst>
        </xdr:cNvPr>
        <xdr:cNvCxnSpPr/>
      </xdr:nvCxnSpPr>
      <xdr:spPr>
        <a:xfrm>
          <a:off x="38562643" y="5660571"/>
          <a:ext cx="1431471" cy="1989365"/>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twoCellAnchor>
    <xdr:from>
      <xdr:col>54</xdr:col>
      <xdr:colOff>209550</xdr:colOff>
      <xdr:row>28</xdr:row>
      <xdr:rowOff>68035</xdr:rowOff>
    </xdr:from>
    <xdr:to>
      <xdr:col>56</xdr:col>
      <xdr:colOff>285750</xdr:colOff>
      <xdr:row>38</xdr:row>
      <xdr:rowOff>127907</xdr:rowOff>
    </xdr:to>
    <xdr:cxnSp macro="">
      <xdr:nvCxnSpPr>
        <xdr:cNvPr id="36" name="Straight Connector 35">
          <a:extLst>
            <a:ext uri="{FF2B5EF4-FFF2-40B4-BE49-F238E27FC236}">
              <a16:creationId xmlns:a16="http://schemas.microsoft.com/office/drawing/2014/main" id="{9D0145DA-4EEF-4D84-A03F-E3E76B2F8E56}"/>
            </a:ext>
          </a:extLst>
        </xdr:cNvPr>
        <xdr:cNvCxnSpPr/>
      </xdr:nvCxnSpPr>
      <xdr:spPr>
        <a:xfrm flipH="1">
          <a:off x="36377336" y="5660571"/>
          <a:ext cx="1300843" cy="1992086"/>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twoCellAnchor>
    <xdr:from>
      <xdr:col>64</xdr:col>
      <xdr:colOff>0</xdr:colOff>
      <xdr:row>28</xdr:row>
      <xdr:rowOff>95250</xdr:rowOff>
    </xdr:from>
    <xdr:to>
      <xdr:col>64</xdr:col>
      <xdr:colOff>54429</xdr:colOff>
      <xdr:row>48</xdr:row>
      <xdr:rowOff>149679</xdr:rowOff>
    </xdr:to>
    <xdr:cxnSp macro="">
      <xdr:nvCxnSpPr>
        <xdr:cNvPr id="39" name="Straight Connector 38">
          <a:extLst>
            <a:ext uri="{FF2B5EF4-FFF2-40B4-BE49-F238E27FC236}">
              <a16:creationId xmlns:a16="http://schemas.microsoft.com/office/drawing/2014/main" id="{59E17CAD-9962-41F8-9023-D5B29087669E}"/>
            </a:ext>
          </a:extLst>
        </xdr:cNvPr>
        <xdr:cNvCxnSpPr/>
      </xdr:nvCxnSpPr>
      <xdr:spPr>
        <a:xfrm flipH="1">
          <a:off x="42291000" y="5687786"/>
          <a:ext cx="54429" cy="3891643"/>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wsDr>
</file>

<file path=xl/drawings/drawing2.xml><?xml version="1.0" encoding="utf-8"?>
<xdr:wsDr xmlns:xdr="http://schemas.openxmlformats.org/drawingml/2006/spreadsheetDrawing" xmlns:a="http://schemas.openxmlformats.org/drawingml/2006/main">
  <xdr:twoCellAnchor editAs="oneCell">
    <xdr:from>
      <xdr:col>10</xdr:col>
      <xdr:colOff>942975</xdr:colOff>
      <xdr:row>20</xdr:row>
      <xdr:rowOff>66675</xdr:rowOff>
    </xdr:from>
    <xdr:to>
      <xdr:col>25</xdr:col>
      <xdr:colOff>598920</xdr:colOff>
      <xdr:row>32</xdr:row>
      <xdr:rowOff>9304</xdr:rowOff>
    </xdr:to>
    <xdr:pic>
      <xdr:nvPicPr>
        <xdr:cNvPr id="2" name="Picture 1" descr="A screenshot of a data&#10;&#10;Description automatically generated">
          <a:extLst>
            <a:ext uri="{FF2B5EF4-FFF2-40B4-BE49-F238E27FC236}">
              <a16:creationId xmlns:a16="http://schemas.microsoft.com/office/drawing/2014/main" id="{2DE683F2-AC11-4DC8-95AC-11496D1F45AD}"/>
            </a:ext>
          </a:extLst>
        </xdr:cNvPr>
        <xdr:cNvPicPr>
          <a:picLocks noChangeAspect="1"/>
        </xdr:cNvPicPr>
      </xdr:nvPicPr>
      <xdr:blipFill>
        <a:blip xmlns:r="http://schemas.openxmlformats.org/officeDocument/2006/relationships" r:embed="rId1"/>
        <a:stretch>
          <a:fillRect/>
        </a:stretch>
      </xdr:blipFill>
      <xdr:spPr>
        <a:xfrm>
          <a:off x="10039350" y="3171825"/>
          <a:ext cx="9238095" cy="177142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45</xdr:col>
      <xdr:colOff>0</xdr:colOff>
      <xdr:row>1</xdr:row>
      <xdr:rowOff>163286</xdr:rowOff>
    </xdr:from>
    <xdr:to>
      <xdr:col>45</xdr:col>
      <xdr:colOff>10886</xdr:colOff>
      <xdr:row>18</xdr:row>
      <xdr:rowOff>34018</xdr:rowOff>
    </xdr:to>
    <xdr:cxnSp macro="">
      <xdr:nvCxnSpPr>
        <xdr:cNvPr id="60" name="Straight Connector 59">
          <a:extLst>
            <a:ext uri="{FF2B5EF4-FFF2-40B4-BE49-F238E27FC236}">
              <a16:creationId xmlns:a16="http://schemas.microsoft.com/office/drawing/2014/main" id="{4B0EBBFB-EFC1-4263-807C-BFF6BAE0254D}"/>
            </a:ext>
          </a:extLst>
        </xdr:cNvPr>
        <xdr:cNvCxnSpPr/>
      </xdr:nvCxnSpPr>
      <xdr:spPr>
        <a:xfrm>
          <a:off x="8858250" y="7021286"/>
          <a:ext cx="10886" cy="3109232"/>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twoCellAnchor>
    <xdr:from>
      <xdr:col>37</xdr:col>
      <xdr:colOff>134751</xdr:colOff>
      <xdr:row>53</xdr:row>
      <xdr:rowOff>27215</xdr:rowOff>
    </xdr:from>
    <xdr:to>
      <xdr:col>45</xdr:col>
      <xdr:colOff>489860</xdr:colOff>
      <xdr:row>67</xdr:row>
      <xdr:rowOff>156837</xdr:rowOff>
    </xdr:to>
    <xdr:pic>
      <xdr:nvPicPr>
        <xdr:cNvPr id="25" name="Picture 24" descr="A diagram of a diagram&#10;&#10;Description automatically generated with medium confidence">
          <a:extLst>
            <a:ext uri="{FF2B5EF4-FFF2-40B4-BE49-F238E27FC236}">
              <a16:creationId xmlns:a16="http://schemas.microsoft.com/office/drawing/2014/main" id="{0D82C45D-9640-D3F0-0482-75B741E5650D}"/>
            </a:ext>
          </a:extLst>
        </xdr:cNvPr>
        <xdr:cNvPicPr>
          <a:picLocks noChangeAspect="1"/>
        </xdr:cNvPicPr>
      </xdr:nvPicPr>
      <xdr:blipFill rotWithShape="1">
        <a:blip xmlns:r="http://schemas.openxmlformats.org/officeDocument/2006/relationships" r:embed="rId1"/>
        <a:srcRect t="18783" r="1603"/>
        <a:stretch/>
      </xdr:blipFill>
      <xdr:spPr>
        <a:xfrm>
          <a:off x="22273572" y="9089572"/>
          <a:ext cx="5580252" cy="2796622"/>
        </a:xfrm>
        <a:prstGeom prst="rect">
          <a:avLst/>
        </a:prstGeom>
      </xdr:spPr>
    </xdr:pic>
    <xdr:clientData/>
  </xdr:twoCellAnchor>
  <xdr:twoCellAnchor>
    <xdr:from>
      <xdr:col>47</xdr:col>
      <xdr:colOff>25493</xdr:colOff>
      <xdr:row>53</xdr:row>
      <xdr:rowOff>108857</xdr:rowOff>
    </xdr:from>
    <xdr:to>
      <xdr:col>55</xdr:col>
      <xdr:colOff>585107</xdr:colOff>
      <xdr:row>67</xdr:row>
      <xdr:rowOff>175762</xdr:rowOff>
    </xdr:to>
    <xdr:pic>
      <xdr:nvPicPr>
        <xdr:cNvPr id="26" name="Picture 25" descr="A diagram of a diagram&#10;&#10;Description automatically generated with medium confidence">
          <a:extLst>
            <a:ext uri="{FF2B5EF4-FFF2-40B4-BE49-F238E27FC236}">
              <a16:creationId xmlns:a16="http://schemas.microsoft.com/office/drawing/2014/main" id="{BD84FA4E-E588-2588-2D94-53477CF9CC31}"/>
            </a:ext>
          </a:extLst>
        </xdr:cNvPr>
        <xdr:cNvPicPr>
          <a:picLocks noChangeAspect="1"/>
        </xdr:cNvPicPr>
      </xdr:nvPicPr>
      <xdr:blipFill rotWithShape="1">
        <a:blip xmlns:r="http://schemas.openxmlformats.org/officeDocument/2006/relationships" r:embed="rId2"/>
        <a:srcRect t="18773" r="1829"/>
        <a:stretch/>
      </xdr:blipFill>
      <xdr:spPr>
        <a:xfrm>
          <a:off x="28614100" y="9171214"/>
          <a:ext cx="5458186" cy="2733905"/>
        </a:xfrm>
        <a:prstGeom prst="rect">
          <a:avLst/>
        </a:prstGeom>
      </xdr:spPr>
    </xdr:pic>
    <xdr:clientData/>
  </xdr:twoCellAnchor>
  <xdr:twoCellAnchor>
    <xdr:from>
      <xdr:col>36</xdr:col>
      <xdr:colOff>367393</xdr:colOff>
      <xdr:row>11</xdr:row>
      <xdr:rowOff>27214</xdr:rowOff>
    </xdr:from>
    <xdr:to>
      <xdr:col>36</xdr:col>
      <xdr:colOff>571500</xdr:colOff>
      <xdr:row>18</xdr:row>
      <xdr:rowOff>0</xdr:rowOff>
    </xdr:to>
    <xdr:cxnSp macro="">
      <xdr:nvCxnSpPr>
        <xdr:cNvPr id="51" name="Straight Connector 50">
          <a:extLst>
            <a:ext uri="{FF2B5EF4-FFF2-40B4-BE49-F238E27FC236}">
              <a16:creationId xmlns:a16="http://schemas.microsoft.com/office/drawing/2014/main" id="{DD8730C2-52A2-464E-B2AE-C6901ED1809A}"/>
            </a:ext>
          </a:extLst>
        </xdr:cNvPr>
        <xdr:cNvCxnSpPr/>
      </xdr:nvCxnSpPr>
      <xdr:spPr>
        <a:xfrm>
          <a:off x="3959679" y="8790214"/>
          <a:ext cx="204107" cy="1306286"/>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twoCellAnchor>
    <xdr:from>
      <xdr:col>40</xdr:col>
      <xdr:colOff>13608</xdr:colOff>
      <xdr:row>10</xdr:row>
      <xdr:rowOff>176893</xdr:rowOff>
    </xdr:from>
    <xdr:to>
      <xdr:col>40</xdr:col>
      <xdr:colOff>231322</xdr:colOff>
      <xdr:row>18</xdr:row>
      <xdr:rowOff>13607</xdr:rowOff>
    </xdr:to>
    <xdr:cxnSp macro="">
      <xdr:nvCxnSpPr>
        <xdr:cNvPr id="53" name="Straight Connector 52">
          <a:extLst>
            <a:ext uri="{FF2B5EF4-FFF2-40B4-BE49-F238E27FC236}">
              <a16:creationId xmlns:a16="http://schemas.microsoft.com/office/drawing/2014/main" id="{D1D572B3-080C-4DDA-A73B-5AF3F2BDF440}"/>
            </a:ext>
          </a:extLst>
        </xdr:cNvPr>
        <xdr:cNvCxnSpPr/>
      </xdr:nvCxnSpPr>
      <xdr:spPr>
        <a:xfrm flipH="1">
          <a:off x="6531429" y="8749393"/>
          <a:ext cx="217714" cy="1360714"/>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twoCellAnchor>
    <xdr:from>
      <xdr:col>36</xdr:col>
      <xdr:colOff>326571</xdr:colOff>
      <xdr:row>3</xdr:row>
      <xdr:rowOff>13607</xdr:rowOff>
    </xdr:from>
    <xdr:to>
      <xdr:col>37</xdr:col>
      <xdr:colOff>13607</xdr:colOff>
      <xdr:row>9</xdr:row>
      <xdr:rowOff>176893</xdr:rowOff>
    </xdr:to>
    <xdr:cxnSp macro="">
      <xdr:nvCxnSpPr>
        <xdr:cNvPr id="56" name="Straight Connector 55">
          <a:extLst>
            <a:ext uri="{FF2B5EF4-FFF2-40B4-BE49-F238E27FC236}">
              <a16:creationId xmlns:a16="http://schemas.microsoft.com/office/drawing/2014/main" id="{E5078ACC-E083-4743-BC1F-4D7A9F244A4A}"/>
            </a:ext>
          </a:extLst>
        </xdr:cNvPr>
        <xdr:cNvCxnSpPr/>
      </xdr:nvCxnSpPr>
      <xdr:spPr>
        <a:xfrm flipH="1">
          <a:off x="31337250" y="693964"/>
          <a:ext cx="299357" cy="1333500"/>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twoCellAnchor>
    <xdr:from>
      <xdr:col>40</xdr:col>
      <xdr:colOff>54429</xdr:colOff>
      <xdr:row>3</xdr:row>
      <xdr:rowOff>27214</xdr:rowOff>
    </xdr:from>
    <xdr:to>
      <xdr:col>40</xdr:col>
      <xdr:colOff>217715</xdr:colOff>
      <xdr:row>9</xdr:row>
      <xdr:rowOff>176893</xdr:rowOff>
    </xdr:to>
    <xdr:cxnSp macro="">
      <xdr:nvCxnSpPr>
        <xdr:cNvPr id="58" name="Straight Connector 57">
          <a:extLst>
            <a:ext uri="{FF2B5EF4-FFF2-40B4-BE49-F238E27FC236}">
              <a16:creationId xmlns:a16="http://schemas.microsoft.com/office/drawing/2014/main" id="{F8DE014B-7408-49AD-A4ED-4D4685F24F99}"/>
            </a:ext>
          </a:extLst>
        </xdr:cNvPr>
        <xdr:cNvCxnSpPr/>
      </xdr:nvCxnSpPr>
      <xdr:spPr>
        <a:xfrm>
          <a:off x="6572250" y="7266214"/>
          <a:ext cx="163286" cy="1292679"/>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twoCellAnchor>
    <xdr:from>
      <xdr:col>45</xdr:col>
      <xdr:colOff>574221</xdr:colOff>
      <xdr:row>2</xdr:row>
      <xdr:rowOff>2721</xdr:rowOff>
    </xdr:from>
    <xdr:to>
      <xdr:col>46</xdr:col>
      <xdr:colOff>0</xdr:colOff>
      <xdr:row>18</xdr:row>
      <xdr:rowOff>63953</xdr:rowOff>
    </xdr:to>
    <xdr:cxnSp macro="">
      <xdr:nvCxnSpPr>
        <xdr:cNvPr id="74" name="Straight Connector 73">
          <a:extLst>
            <a:ext uri="{FF2B5EF4-FFF2-40B4-BE49-F238E27FC236}">
              <a16:creationId xmlns:a16="http://schemas.microsoft.com/office/drawing/2014/main" id="{2AA16AA7-73ED-4215-B80F-65311FF1BC1D}"/>
            </a:ext>
          </a:extLst>
        </xdr:cNvPr>
        <xdr:cNvCxnSpPr/>
      </xdr:nvCxnSpPr>
      <xdr:spPr>
        <a:xfrm>
          <a:off x="9432471" y="7051221"/>
          <a:ext cx="10886" cy="3109232"/>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twoCellAnchor>
    <xdr:from>
      <xdr:col>36</xdr:col>
      <xdr:colOff>2720</xdr:colOff>
      <xdr:row>11</xdr:row>
      <xdr:rowOff>16328</xdr:rowOff>
    </xdr:from>
    <xdr:to>
      <xdr:col>36</xdr:col>
      <xdr:colOff>190500</xdr:colOff>
      <xdr:row>17</xdr:row>
      <xdr:rowOff>176893</xdr:rowOff>
    </xdr:to>
    <xdr:cxnSp macro="">
      <xdr:nvCxnSpPr>
        <xdr:cNvPr id="77" name="Straight Connector 76">
          <a:extLst>
            <a:ext uri="{FF2B5EF4-FFF2-40B4-BE49-F238E27FC236}">
              <a16:creationId xmlns:a16="http://schemas.microsoft.com/office/drawing/2014/main" id="{9F204007-F9E8-42DC-862C-662645A0461E}"/>
            </a:ext>
          </a:extLst>
        </xdr:cNvPr>
        <xdr:cNvCxnSpPr/>
      </xdr:nvCxnSpPr>
      <xdr:spPr>
        <a:xfrm>
          <a:off x="3595006" y="8779328"/>
          <a:ext cx="187780" cy="1303565"/>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twoCellAnchor>
    <xdr:from>
      <xdr:col>35</xdr:col>
      <xdr:colOff>547006</xdr:colOff>
      <xdr:row>3</xdr:row>
      <xdr:rowOff>16328</xdr:rowOff>
    </xdr:from>
    <xdr:to>
      <xdr:col>36</xdr:col>
      <xdr:colOff>234042</xdr:colOff>
      <xdr:row>9</xdr:row>
      <xdr:rowOff>179614</xdr:rowOff>
    </xdr:to>
    <xdr:cxnSp macro="">
      <xdr:nvCxnSpPr>
        <xdr:cNvPr id="87" name="Straight Connector 86">
          <a:extLst>
            <a:ext uri="{FF2B5EF4-FFF2-40B4-BE49-F238E27FC236}">
              <a16:creationId xmlns:a16="http://schemas.microsoft.com/office/drawing/2014/main" id="{091911F0-7F6D-4264-98A8-E6EAC2B94756}"/>
            </a:ext>
          </a:extLst>
        </xdr:cNvPr>
        <xdr:cNvCxnSpPr/>
      </xdr:nvCxnSpPr>
      <xdr:spPr>
        <a:xfrm flipH="1">
          <a:off x="3554185" y="7255328"/>
          <a:ext cx="272143" cy="1306286"/>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twoCellAnchor>
    <xdr:from>
      <xdr:col>40</xdr:col>
      <xdr:colOff>421822</xdr:colOff>
      <xdr:row>11</xdr:row>
      <xdr:rowOff>16328</xdr:rowOff>
    </xdr:from>
    <xdr:to>
      <xdr:col>41</xdr:col>
      <xdr:colOff>2721</xdr:colOff>
      <xdr:row>18</xdr:row>
      <xdr:rowOff>0</xdr:rowOff>
    </xdr:to>
    <xdr:cxnSp macro="">
      <xdr:nvCxnSpPr>
        <xdr:cNvPr id="90" name="Straight Connector 89">
          <a:extLst>
            <a:ext uri="{FF2B5EF4-FFF2-40B4-BE49-F238E27FC236}">
              <a16:creationId xmlns:a16="http://schemas.microsoft.com/office/drawing/2014/main" id="{6DA4D85A-F3D0-4DB3-A358-5B864EC233D7}"/>
            </a:ext>
          </a:extLst>
        </xdr:cNvPr>
        <xdr:cNvCxnSpPr/>
      </xdr:nvCxnSpPr>
      <xdr:spPr>
        <a:xfrm flipH="1">
          <a:off x="6939643" y="8779328"/>
          <a:ext cx="166007" cy="1317172"/>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twoCellAnchor>
    <xdr:from>
      <xdr:col>40</xdr:col>
      <xdr:colOff>408215</xdr:colOff>
      <xdr:row>3</xdr:row>
      <xdr:rowOff>0</xdr:rowOff>
    </xdr:from>
    <xdr:to>
      <xdr:col>41</xdr:col>
      <xdr:colOff>2722</xdr:colOff>
      <xdr:row>9</xdr:row>
      <xdr:rowOff>166007</xdr:rowOff>
    </xdr:to>
    <xdr:cxnSp macro="">
      <xdr:nvCxnSpPr>
        <xdr:cNvPr id="98" name="Straight Connector 97">
          <a:extLst>
            <a:ext uri="{FF2B5EF4-FFF2-40B4-BE49-F238E27FC236}">
              <a16:creationId xmlns:a16="http://schemas.microsoft.com/office/drawing/2014/main" id="{CE9F1C48-4959-437F-AAD4-ED2DF3E79188}"/>
            </a:ext>
          </a:extLst>
        </xdr:cNvPr>
        <xdr:cNvCxnSpPr/>
      </xdr:nvCxnSpPr>
      <xdr:spPr>
        <a:xfrm>
          <a:off x="6926036" y="7239000"/>
          <a:ext cx="179615" cy="1309007"/>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twoCellAnchor editAs="oneCell">
    <xdr:from>
      <xdr:col>17</xdr:col>
      <xdr:colOff>489856</xdr:colOff>
      <xdr:row>33</xdr:row>
      <xdr:rowOff>149678</xdr:rowOff>
    </xdr:from>
    <xdr:to>
      <xdr:col>24</xdr:col>
      <xdr:colOff>1356680</xdr:colOff>
      <xdr:row>69</xdr:row>
      <xdr:rowOff>58733</xdr:rowOff>
    </xdr:to>
    <xdr:pic>
      <xdr:nvPicPr>
        <xdr:cNvPr id="115" name="Picture 114" descr="A map of a highway&#10;&#10;Description automatically generated with medium confidence">
          <a:extLst>
            <a:ext uri="{FF2B5EF4-FFF2-40B4-BE49-F238E27FC236}">
              <a16:creationId xmlns:a16="http://schemas.microsoft.com/office/drawing/2014/main" id="{2F52CDD2-258C-6806-DFDF-375DE9AB44FA}"/>
            </a:ext>
          </a:extLst>
        </xdr:cNvPr>
        <xdr:cNvPicPr>
          <a:picLocks noChangeAspect="1"/>
        </xdr:cNvPicPr>
      </xdr:nvPicPr>
      <xdr:blipFill>
        <a:blip xmlns:r="http://schemas.openxmlformats.org/officeDocument/2006/relationships" r:embed="rId3"/>
        <a:stretch>
          <a:fillRect/>
        </a:stretch>
      </xdr:blipFill>
      <xdr:spPr>
        <a:xfrm>
          <a:off x="14328320" y="13865678"/>
          <a:ext cx="4962574" cy="6858594"/>
        </a:xfrm>
        <a:prstGeom prst="rect">
          <a:avLst/>
        </a:prstGeom>
      </xdr:spPr>
    </xdr:pic>
    <xdr:clientData/>
  </xdr:twoCellAnchor>
  <xdr:twoCellAnchor editAs="oneCell">
    <xdr:from>
      <xdr:col>17</xdr:col>
      <xdr:colOff>476251</xdr:colOff>
      <xdr:row>72</xdr:row>
      <xdr:rowOff>163285</xdr:rowOff>
    </xdr:from>
    <xdr:to>
      <xdr:col>24</xdr:col>
      <xdr:colOff>1282110</xdr:colOff>
      <xdr:row>108</xdr:row>
      <xdr:rowOff>82236</xdr:rowOff>
    </xdr:to>
    <xdr:pic>
      <xdr:nvPicPr>
        <xdr:cNvPr id="130" name="Picture 129" descr="A map of a highway&#10;&#10;Description automatically generated with medium confidence">
          <a:extLst>
            <a:ext uri="{FF2B5EF4-FFF2-40B4-BE49-F238E27FC236}">
              <a16:creationId xmlns:a16="http://schemas.microsoft.com/office/drawing/2014/main" id="{DE93BFBE-C5DB-6C44-4977-45FC4C8B4EF7}"/>
            </a:ext>
          </a:extLst>
        </xdr:cNvPr>
        <xdr:cNvPicPr>
          <a:picLocks noChangeAspect="1"/>
        </xdr:cNvPicPr>
      </xdr:nvPicPr>
      <xdr:blipFill>
        <a:blip xmlns:r="http://schemas.openxmlformats.org/officeDocument/2006/relationships" r:embed="rId4"/>
        <a:stretch>
          <a:fillRect/>
        </a:stretch>
      </xdr:blipFill>
      <xdr:spPr>
        <a:xfrm>
          <a:off x="14409965" y="21499285"/>
          <a:ext cx="4901609" cy="6858594"/>
        </a:xfrm>
        <a:prstGeom prst="rect">
          <a:avLst/>
        </a:prstGeom>
      </xdr:spPr>
    </xdr:pic>
    <xdr:clientData/>
  </xdr:twoCellAnchor>
  <xdr:twoCellAnchor editAs="oneCell">
    <xdr:from>
      <xdr:col>16</xdr:col>
      <xdr:colOff>1238250</xdr:colOff>
      <xdr:row>112</xdr:row>
      <xdr:rowOff>27214</xdr:rowOff>
    </xdr:from>
    <xdr:to>
      <xdr:col>25</xdr:col>
      <xdr:colOff>581740</xdr:colOff>
      <xdr:row>138</xdr:row>
      <xdr:rowOff>152622</xdr:rowOff>
    </xdr:to>
    <xdr:pic>
      <xdr:nvPicPr>
        <xdr:cNvPr id="131" name="Picture 130" descr="A map of a highway&#10;&#10;Description automatically generated with medium confidence">
          <a:extLst>
            <a:ext uri="{FF2B5EF4-FFF2-40B4-BE49-F238E27FC236}">
              <a16:creationId xmlns:a16="http://schemas.microsoft.com/office/drawing/2014/main" id="{0C547921-AF74-87A4-5B4B-C95DC15CB022}"/>
            </a:ext>
          </a:extLst>
        </xdr:cNvPr>
        <xdr:cNvPicPr>
          <a:picLocks noChangeAspect="1"/>
        </xdr:cNvPicPr>
      </xdr:nvPicPr>
      <xdr:blipFill>
        <a:blip xmlns:r="http://schemas.openxmlformats.org/officeDocument/2006/relationships" r:embed="rId5"/>
        <a:stretch>
          <a:fillRect/>
        </a:stretch>
      </xdr:blipFill>
      <xdr:spPr>
        <a:xfrm>
          <a:off x="14178643" y="32031214"/>
          <a:ext cx="6364776" cy="5078408"/>
        </a:xfrm>
        <a:prstGeom prst="rect">
          <a:avLst/>
        </a:prstGeom>
      </xdr:spPr>
    </xdr:pic>
    <xdr:clientData/>
  </xdr:twoCellAnchor>
  <xdr:twoCellAnchor editAs="oneCell">
    <xdr:from>
      <xdr:col>17</xdr:col>
      <xdr:colOff>408213</xdr:colOff>
      <xdr:row>2</xdr:row>
      <xdr:rowOff>112462</xdr:rowOff>
    </xdr:from>
    <xdr:to>
      <xdr:col>27</xdr:col>
      <xdr:colOff>432709</xdr:colOff>
      <xdr:row>28</xdr:row>
      <xdr:rowOff>17954</xdr:rowOff>
    </xdr:to>
    <xdr:pic>
      <xdr:nvPicPr>
        <xdr:cNvPr id="132" name="Picture 131" descr="An aerial view of a road&#10;&#10;Description automatically generated">
          <a:extLst>
            <a:ext uri="{FF2B5EF4-FFF2-40B4-BE49-F238E27FC236}">
              <a16:creationId xmlns:a16="http://schemas.microsoft.com/office/drawing/2014/main" id="{2A154137-F163-B41A-8715-9202858E8ADC}"/>
            </a:ext>
          </a:extLst>
        </xdr:cNvPr>
        <xdr:cNvPicPr>
          <a:picLocks noChangeAspect="1"/>
        </xdr:cNvPicPr>
      </xdr:nvPicPr>
      <xdr:blipFill>
        <a:blip xmlns:r="http://schemas.openxmlformats.org/officeDocument/2006/relationships" r:embed="rId6"/>
        <a:stretch>
          <a:fillRect/>
        </a:stretch>
      </xdr:blipFill>
      <xdr:spPr>
        <a:xfrm>
          <a:off x="14668499" y="10399462"/>
          <a:ext cx="8556175" cy="492405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228600</xdr:colOff>
      <xdr:row>25</xdr:row>
      <xdr:rowOff>124691</xdr:rowOff>
    </xdr:to>
    <xdr:pic>
      <xdr:nvPicPr>
        <xdr:cNvPr id="3" name="Picture 2" descr="A close-up of a document&#10;&#10;Description automatically generated">
          <a:extLst>
            <a:ext uri="{FF2B5EF4-FFF2-40B4-BE49-F238E27FC236}">
              <a16:creationId xmlns:a16="http://schemas.microsoft.com/office/drawing/2014/main" id="{3CF7EEE6-F9C0-99B2-64A5-B1B1800026D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6324600" cy="4887191"/>
        </a:xfrm>
        <a:prstGeom prst="rect">
          <a:avLst/>
        </a:prstGeom>
      </xdr:spPr>
    </xdr:pic>
    <xdr:clientData/>
  </xdr:twoCellAnchor>
  <xdr:twoCellAnchor editAs="oneCell">
    <xdr:from>
      <xdr:col>0</xdr:col>
      <xdr:colOff>0</xdr:colOff>
      <xdr:row>24</xdr:row>
      <xdr:rowOff>9524</xdr:rowOff>
    </xdr:from>
    <xdr:to>
      <xdr:col>10</xdr:col>
      <xdr:colOff>276787</xdr:colOff>
      <xdr:row>49</xdr:row>
      <xdr:rowOff>171449</xdr:rowOff>
    </xdr:to>
    <xdr:pic>
      <xdr:nvPicPr>
        <xdr:cNvPr id="5" name="Picture 4" descr="A close-up of a document&#10;&#10;Description automatically generated">
          <a:extLst>
            <a:ext uri="{FF2B5EF4-FFF2-40B4-BE49-F238E27FC236}">
              <a16:creationId xmlns:a16="http://schemas.microsoft.com/office/drawing/2014/main" id="{B3147962-2668-91BA-B888-3B3CAAEC9FE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4581524"/>
          <a:ext cx="6372787" cy="4924425"/>
        </a:xfrm>
        <a:prstGeom prst="rect">
          <a:avLst/>
        </a:prstGeom>
      </xdr:spPr>
    </xdr:pic>
    <xdr:clientData/>
  </xdr:twoCellAnchor>
  <xdr:twoCellAnchor editAs="oneCell">
    <xdr:from>
      <xdr:col>10</xdr:col>
      <xdr:colOff>352425</xdr:colOff>
      <xdr:row>0</xdr:row>
      <xdr:rowOff>0</xdr:rowOff>
    </xdr:from>
    <xdr:to>
      <xdr:col>21</xdr:col>
      <xdr:colOff>9525</xdr:colOff>
      <xdr:row>25</xdr:row>
      <xdr:rowOff>154131</xdr:rowOff>
    </xdr:to>
    <xdr:pic>
      <xdr:nvPicPr>
        <xdr:cNvPr id="7" name="Picture 6" descr="A close-up of a document&#10;&#10;Description automatically generated">
          <a:extLst>
            <a:ext uri="{FF2B5EF4-FFF2-40B4-BE49-F238E27FC236}">
              <a16:creationId xmlns:a16="http://schemas.microsoft.com/office/drawing/2014/main" id="{354EFC3C-EE2D-1B11-CDA5-73AA4BB1ADA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448425" y="0"/>
          <a:ext cx="6362700" cy="491663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6</xdr:col>
      <xdr:colOff>22413</xdr:colOff>
      <xdr:row>31</xdr:row>
      <xdr:rowOff>124385</xdr:rowOff>
    </xdr:from>
    <xdr:to>
      <xdr:col>12</xdr:col>
      <xdr:colOff>145677</xdr:colOff>
      <xdr:row>45</xdr:row>
      <xdr:rowOff>10085</xdr:rowOff>
    </xdr:to>
    <xdr:graphicFrame macro="">
      <xdr:nvGraphicFramePr>
        <xdr:cNvPr id="5" name="Chart 4">
          <a:extLst>
            <a:ext uri="{FF2B5EF4-FFF2-40B4-BE49-F238E27FC236}">
              <a16:creationId xmlns:a16="http://schemas.microsoft.com/office/drawing/2014/main" id="{12077AAF-EA58-A7CE-3E5C-B423CAD2391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1.v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064128-8553-4224-A3EC-4D477614D8C0}">
  <sheetPr>
    <pageSetUpPr fitToPage="1"/>
  </sheetPr>
  <dimension ref="B3:N43"/>
  <sheetViews>
    <sheetView view="pageBreakPreview" zoomScaleNormal="70" zoomScaleSheetLayoutView="100" workbookViewId="0">
      <selection activeCell="C32" sqref="C32:E35"/>
    </sheetView>
  </sheetViews>
  <sheetFormatPr defaultRowHeight="12" x14ac:dyDescent="0.2"/>
  <cols>
    <col min="1" max="1" width="3.140625" style="30" customWidth="1"/>
    <col min="2" max="2" width="4.42578125" style="30" customWidth="1"/>
    <col min="3" max="3" width="27.42578125" style="30" customWidth="1"/>
    <col min="4" max="4" width="13.42578125" style="30" customWidth="1"/>
    <col min="5" max="5" width="7.7109375" style="30" bestFit="1" customWidth="1"/>
    <col min="6" max="8" width="9.140625" style="30"/>
    <col min="9" max="10" width="9.28515625" style="30" bestFit="1" customWidth="1"/>
    <col min="11" max="11" width="9.85546875" style="30" bestFit="1" customWidth="1"/>
    <col min="12" max="12" width="9.28515625" style="30" bestFit="1" customWidth="1"/>
    <col min="13" max="16384" width="9.140625" style="30"/>
  </cols>
  <sheetData>
    <row r="3" spans="3:4" ht="14.25" thickBot="1" x14ac:dyDescent="0.25">
      <c r="C3" s="45" t="s">
        <v>312</v>
      </c>
      <c r="D3" s="46"/>
    </row>
    <row r="4" spans="3:4" x14ac:dyDescent="0.2">
      <c r="C4" s="248" t="s">
        <v>21</v>
      </c>
      <c r="D4" s="249">
        <v>2022</v>
      </c>
    </row>
    <row r="5" spans="3:4" x14ac:dyDescent="0.2">
      <c r="C5" s="250" t="s">
        <v>22</v>
      </c>
      <c r="D5" s="251">
        <v>2028</v>
      </c>
    </row>
    <row r="6" spans="3:4" x14ac:dyDescent="0.2">
      <c r="C6" s="250" t="s">
        <v>23</v>
      </c>
      <c r="D6" s="251">
        <v>2</v>
      </c>
    </row>
    <row r="7" spans="3:4" x14ac:dyDescent="0.2">
      <c r="C7" s="250" t="s">
        <v>24</v>
      </c>
      <c r="D7" s="251">
        <v>20</v>
      </c>
    </row>
    <row r="8" spans="3:4" x14ac:dyDescent="0.2">
      <c r="C8" s="250" t="s">
        <v>25</v>
      </c>
      <c r="D8" s="251">
        <f>2028+D6</f>
        <v>2030</v>
      </c>
    </row>
    <row r="9" spans="3:4" x14ac:dyDescent="0.2">
      <c r="C9" s="250" t="s">
        <v>26</v>
      </c>
      <c r="D9" s="251">
        <f>D8+20-1</f>
        <v>2049</v>
      </c>
    </row>
    <row r="10" spans="3:4" x14ac:dyDescent="0.2">
      <c r="C10" s="250" t="s">
        <v>27</v>
      </c>
      <c r="D10" s="251">
        <v>2045</v>
      </c>
    </row>
    <row r="11" spans="3:4" ht="13.5" x14ac:dyDescent="0.2">
      <c r="C11" s="250" t="s">
        <v>313</v>
      </c>
      <c r="D11" s="251">
        <v>255</v>
      </c>
    </row>
    <row r="12" spans="3:4" x14ac:dyDescent="0.2">
      <c r="C12" s="250" t="s">
        <v>237</v>
      </c>
      <c r="D12" s="251">
        <v>365</v>
      </c>
    </row>
    <row r="13" spans="3:4" x14ac:dyDescent="0.2">
      <c r="C13" s="250" t="s">
        <v>28</v>
      </c>
      <c r="D13" s="252">
        <v>3.1E-2</v>
      </c>
    </row>
    <row r="14" spans="3:4" ht="13.5" x14ac:dyDescent="0.2">
      <c r="C14" s="250" t="s">
        <v>315</v>
      </c>
      <c r="D14" s="253">
        <f>E29/D29</f>
        <v>0.13110539845758354</v>
      </c>
    </row>
    <row r="15" spans="3:4" x14ac:dyDescent="0.2">
      <c r="C15" s="250" t="s">
        <v>29</v>
      </c>
      <c r="D15" s="251">
        <v>1.67</v>
      </c>
    </row>
    <row r="16" spans="3:4" x14ac:dyDescent="0.2">
      <c r="C16" s="250" t="s">
        <v>30</v>
      </c>
      <c r="D16" s="251">
        <v>1</v>
      </c>
    </row>
    <row r="17" spans="2:6" x14ac:dyDescent="0.2">
      <c r="C17" s="250" t="s">
        <v>31</v>
      </c>
      <c r="D17" s="254">
        <v>19.600000000000001</v>
      </c>
    </row>
    <row r="18" spans="2:6" x14ac:dyDescent="0.2">
      <c r="C18" s="250" t="s">
        <v>32</v>
      </c>
      <c r="D18" s="254">
        <v>33.5</v>
      </c>
    </row>
    <row r="19" spans="2:6" x14ac:dyDescent="0.2">
      <c r="C19" s="250" t="s">
        <v>34</v>
      </c>
      <c r="D19" s="254">
        <v>1.32</v>
      </c>
    </row>
    <row r="20" spans="2:6" x14ac:dyDescent="0.2">
      <c r="C20" s="250" t="s">
        <v>33</v>
      </c>
      <c r="D20" s="254">
        <v>0.52</v>
      </c>
    </row>
    <row r="21" spans="2:6" ht="12.75" thickBot="1" x14ac:dyDescent="0.25">
      <c r="C21" s="255" t="s">
        <v>365</v>
      </c>
      <c r="D21" s="423">
        <v>1.9E-2</v>
      </c>
    </row>
    <row r="23" spans="2:6" ht="14.25" thickBot="1" x14ac:dyDescent="0.25">
      <c r="C23" s="170" t="s">
        <v>496</v>
      </c>
    </row>
    <row r="24" spans="2:6" ht="12.75" thickBot="1" x14ac:dyDescent="0.25">
      <c r="C24" s="266" t="s">
        <v>311</v>
      </c>
      <c r="D24" s="267" t="s">
        <v>17</v>
      </c>
      <c r="E24" s="268" t="s">
        <v>74</v>
      </c>
    </row>
    <row r="25" spans="2:6" x14ac:dyDescent="0.2">
      <c r="C25" s="263" t="s">
        <v>142</v>
      </c>
      <c r="D25" s="264">
        <v>3555</v>
      </c>
      <c r="E25" s="265">
        <v>530</v>
      </c>
    </row>
    <row r="26" spans="2:6" x14ac:dyDescent="0.2">
      <c r="C26" s="258" t="s">
        <v>143</v>
      </c>
      <c r="D26" s="256">
        <v>410</v>
      </c>
      <c r="E26" s="259">
        <v>55</v>
      </c>
    </row>
    <row r="27" spans="2:6" x14ac:dyDescent="0.2">
      <c r="C27" s="258" t="s">
        <v>144</v>
      </c>
      <c r="D27" s="256">
        <v>430</v>
      </c>
      <c r="E27" s="259">
        <v>70</v>
      </c>
    </row>
    <row r="28" spans="2:6" x14ac:dyDescent="0.2">
      <c r="C28" s="258" t="s">
        <v>145</v>
      </c>
      <c r="D28" s="256">
        <v>3385</v>
      </c>
      <c r="E28" s="259">
        <v>365</v>
      </c>
    </row>
    <row r="29" spans="2:6" ht="12.75" thickBot="1" x14ac:dyDescent="0.25">
      <c r="C29" s="260" t="s">
        <v>5</v>
      </c>
      <c r="D29" s="261">
        <f>SUM(D25:D28)</f>
        <v>7780</v>
      </c>
      <c r="E29" s="262">
        <f>SUM(E25:E28)</f>
        <v>1020</v>
      </c>
    </row>
    <row r="30" spans="2:6" x14ac:dyDescent="0.2">
      <c r="F30" s="31"/>
    </row>
    <row r="31" spans="2:6" x14ac:dyDescent="0.2">
      <c r="C31" s="221" t="s">
        <v>261</v>
      </c>
      <c r="F31" s="31"/>
    </row>
    <row r="32" spans="2:6" x14ac:dyDescent="0.2">
      <c r="B32" s="269" t="s">
        <v>18</v>
      </c>
      <c r="C32" s="649" t="s">
        <v>332</v>
      </c>
      <c r="D32" s="649"/>
      <c r="E32" s="649"/>
      <c r="F32" s="31"/>
    </row>
    <row r="33" spans="2:14" x14ac:dyDescent="0.2">
      <c r="B33" s="269"/>
      <c r="C33" s="649"/>
      <c r="D33" s="649"/>
      <c r="E33" s="649"/>
      <c r="F33" s="31"/>
    </row>
    <row r="34" spans="2:14" x14ac:dyDescent="0.2">
      <c r="B34" s="269"/>
      <c r="C34" s="649"/>
      <c r="D34" s="649"/>
      <c r="E34" s="649"/>
      <c r="F34" s="31"/>
    </row>
    <row r="35" spans="2:14" x14ac:dyDescent="0.2">
      <c r="B35" s="269"/>
      <c r="C35" s="649"/>
      <c r="D35" s="649"/>
      <c r="E35" s="649"/>
      <c r="F35" s="31"/>
      <c r="J35" s="270"/>
      <c r="K35" s="270"/>
      <c r="L35" s="270"/>
      <c r="M35" s="270"/>
    </row>
    <row r="36" spans="2:14" x14ac:dyDescent="0.2">
      <c r="B36" s="269" t="s">
        <v>19</v>
      </c>
      <c r="C36" s="649" t="s">
        <v>314</v>
      </c>
      <c r="D36" s="649"/>
      <c r="E36" s="649"/>
      <c r="J36" s="270"/>
      <c r="K36" s="270"/>
      <c r="L36" s="270"/>
      <c r="M36" s="270"/>
      <c r="N36" s="271"/>
    </row>
    <row r="37" spans="2:14" ht="12" customHeight="1" x14ac:dyDescent="0.2">
      <c r="B37" s="269"/>
      <c r="C37" s="649"/>
      <c r="D37" s="649"/>
      <c r="E37" s="649"/>
      <c r="J37" s="270"/>
      <c r="K37" s="270"/>
      <c r="L37" s="270"/>
      <c r="M37" s="270"/>
      <c r="N37" s="271"/>
    </row>
    <row r="38" spans="2:14" ht="12" customHeight="1" x14ac:dyDescent="0.2">
      <c r="B38" s="269" t="s">
        <v>279</v>
      </c>
      <c r="C38" s="650" t="s">
        <v>555</v>
      </c>
      <c r="D38" s="650"/>
      <c r="E38" s="650"/>
    </row>
    <row r="39" spans="2:14" x14ac:dyDescent="0.2">
      <c r="C39" s="650"/>
      <c r="D39" s="650"/>
      <c r="E39" s="650"/>
    </row>
    <row r="40" spans="2:14" x14ac:dyDescent="0.2">
      <c r="C40" s="650"/>
      <c r="D40" s="650"/>
      <c r="E40" s="650"/>
    </row>
    <row r="41" spans="2:14" x14ac:dyDescent="0.2">
      <c r="C41" s="650"/>
      <c r="D41" s="650"/>
      <c r="E41" s="650"/>
    </row>
    <row r="42" spans="2:14" x14ac:dyDescent="0.2">
      <c r="C42" s="650"/>
      <c r="D42" s="650"/>
      <c r="E42" s="650"/>
    </row>
    <row r="43" spans="2:14" x14ac:dyDescent="0.2">
      <c r="C43" s="650"/>
      <c r="D43" s="650"/>
      <c r="E43" s="650"/>
    </row>
  </sheetData>
  <mergeCells count="3">
    <mergeCell ref="C32:E35"/>
    <mergeCell ref="C36:E37"/>
    <mergeCell ref="C38:E43"/>
  </mergeCells>
  <pageMargins left="0.7" right="0.7" top="0.75" bottom="0.75" header="0.3" footer="0.3"/>
  <pageSetup orientation="portrait" horizontalDpi="1200" verticalDpi="1200"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364C72-6E3E-4840-A6A8-56878A8C428C}">
  <sheetPr>
    <tabColor rgb="FF0070C0"/>
    <pageSetUpPr fitToPage="1"/>
  </sheetPr>
  <dimension ref="B1:Y60"/>
  <sheetViews>
    <sheetView tabSelected="1" view="pageBreakPreview" zoomScaleNormal="100" zoomScaleSheetLayoutView="100" workbookViewId="0">
      <selection activeCell="E36" sqref="E36"/>
    </sheetView>
  </sheetViews>
  <sheetFormatPr defaultRowHeight="15" x14ac:dyDescent="0.25"/>
  <cols>
    <col min="1" max="1" width="4.7109375" customWidth="1"/>
    <col min="2" max="2" width="13.7109375" customWidth="1"/>
    <col min="3" max="3" width="14.140625" customWidth="1"/>
    <col min="4" max="4" width="14.28515625" customWidth="1"/>
    <col min="5" max="6" width="12" customWidth="1"/>
    <col min="7" max="7" width="12.140625" customWidth="1"/>
    <col min="8" max="8" width="11.85546875" customWidth="1"/>
    <col min="9" max="11" width="12.85546875" bestFit="1" customWidth="1"/>
    <col min="12" max="12" width="9.28515625" customWidth="1"/>
    <col min="13" max="13" width="11.28515625" customWidth="1"/>
    <col min="14" max="14" width="11.85546875" customWidth="1"/>
    <col min="15" max="15" width="11.85546875" bestFit="1" customWidth="1"/>
    <col min="18" max="18" width="36.140625" bestFit="1" customWidth="1"/>
    <col min="19" max="19" width="14.28515625" bestFit="1" customWidth="1"/>
  </cols>
  <sheetData>
    <row r="1" spans="2:13" ht="24" x14ac:dyDescent="0.4">
      <c r="B1" s="72" t="s">
        <v>288</v>
      </c>
      <c r="C1" s="72"/>
    </row>
    <row r="3" spans="2:13" ht="16.5" thickBot="1" x14ac:dyDescent="0.3">
      <c r="B3" s="73" t="s">
        <v>41</v>
      </c>
      <c r="E3" s="73"/>
    </row>
    <row r="4" spans="2:13" s="74" customFormat="1" ht="15.75" thickBot="1" x14ac:dyDescent="0.3">
      <c r="C4" s="657" t="s">
        <v>310</v>
      </c>
      <c r="D4" s="658"/>
      <c r="E4" s="659"/>
      <c r="F4" s="660" t="s">
        <v>333</v>
      </c>
      <c r="G4" s="660"/>
      <c r="H4" s="661"/>
      <c r="I4" s="657" t="s">
        <v>289</v>
      </c>
      <c r="J4" s="659"/>
    </row>
    <row r="5" spans="2:13" ht="24" customHeight="1" x14ac:dyDescent="0.25">
      <c r="B5" s="670" t="s">
        <v>8</v>
      </c>
      <c r="C5" s="662" t="s">
        <v>130</v>
      </c>
      <c r="D5" s="655" t="s">
        <v>129</v>
      </c>
      <c r="E5" s="664" t="s">
        <v>156</v>
      </c>
      <c r="F5" s="653" t="s">
        <v>371</v>
      </c>
      <c r="G5" s="655" t="s">
        <v>290</v>
      </c>
      <c r="H5" s="655" t="s">
        <v>471</v>
      </c>
      <c r="I5" s="651" t="s">
        <v>42</v>
      </c>
      <c r="J5" s="653" t="s">
        <v>242</v>
      </c>
      <c r="K5" s="651" t="s">
        <v>43</v>
      </c>
    </row>
    <row r="6" spans="2:13" ht="24" customHeight="1" thickBot="1" x14ac:dyDescent="0.3">
      <c r="B6" s="671"/>
      <c r="C6" s="663"/>
      <c r="D6" s="656"/>
      <c r="E6" s="665"/>
      <c r="F6" s="654"/>
      <c r="G6" s="656"/>
      <c r="H6" s="656"/>
      <c r="I6" s="652"/>
      <c r="J6" s="654"/>
      <c r="K6" s="652"/>
    </row>
    <row r="7" spans="2:13" ht="15" customHeight="1" x14ac:dyDescent="0.25">
      <c r="B7" s="80">
        <f>B8-1</f>
        <v>2028</v>
      </c>
      <c r="C7" s="507"/>
      <c r="D7" s="168"/>
      <c r="E7" s="284"/>
      <c r="F7" s="285"/>
      <c r="G7" s="168"/>
      <c r="H7" s="168">
        <f>-_xlfn.XLOOKUP($B7,'Construction Disbenefits'!$B$6:$B$7,'Construction Disbenefits'!$C$6:$C$7)</f>
        <v>-426393.57007630984</v>
      </c>
      <c r="I7" s="76"/>
      <c r="J7" s="77">
        <f>H7</f>
        <v>-426393.57007630984</v>
      </c>
      <c r="K7" s="78">
        <f>J7*((1+Assumptions!$D$13)^-(B7-Assumptions!$D$4))+I7+C7</f>
        <v>-355024.77045495069</v>
      </c>
      <c r="L7" s="79"/>
    </row>
    <row r="8" spans="2:13" ht="15" customHeight="1" x14ac:dyDescent="0.25">
      <c r="B8" s="80">
        <f>B9-1</f>
        <v>2029</v>
      </c>
      <c r="C8" s="374"/>
      <c r="D8" s="86"/>
      <c r="E8" s="298"/>
      <c r="F8" s="299"/>
      <c r="G8" s="86"/>
      <c r="H8" s="168">
        <f>-_xlfn.XLOOKUP($B8,'Construction Disbenefits'!$B$6:$B$7,'Construction Disbenefits'!$C$6:$C$7)</f>
        <v>-674109.17505943705</v>
      </c>
      <c r="I8" s="81"/>
      <c r="J8" s="82">
        <f>H8</f>
        <v>-674109.17505943705</v>
      </c>
      <c r="K8" s="78">
        <f>J8*((1+Assumptions!$D$13)^-(B8-Assumptions!$D$4))+I8+C8</f>
        <v>-544401.83603244415</v>
      </c>
      <c r="L8" s="79"/>
    </row>
    <row r="9" spans="2:13" ht="15" customHeight="1" x14ac:dyDescent="0.25">
      <c r="B9" s="75">
        <f>Assumptions!D8</f>
        <v>2030</v>
      </c>
      <c r="C9" s="507">
        <f>-_xlfn.XLOOKUP($B9,'Air Quality'!$B$5:$B$24,'Air Quality'!$E$5:$E$24,0,0,1)</f>
        <v>4766.0107348685187</v>
      </c>
      <c r="D9" s="168">
        <f>-_xlfn.XLOOKUP($B9,'Air Quality'!$B$5:$B$24,'Air Quality'!$M$5:$M$24,0,0,1)</f>
        <v>10179.189155158989</v>
      </c>
      <c r="E9" s="284">
        <f>_xlfn.XLOOKUP($B9,'Crash Cost Savings'!$B$5:$B$24,'Crash Cost Savings'!$S$5:$S$24,0,0,1)</f>
        <v>68829.951491709246</v>
      </c>
      <c r="F9" s="285">
        <f>_xlfn.XLOOKUP($B9,'Travel Time Delay Savings'!$B$7:$B$26,'Travel Time Delay Savings'!$F$7:$F$26,0,0,1)</f>
        <v>2440960.1574532427</v>
      </c>
      <c r="G9" s="168">
        <f>_xlfn.XLOOKUP($B9,'Ops and Main'!$C$6:$C$25,'Ops and Main'!$L$6:$L$25,0,0,1)</f>
        <v>0</v>
      </c>
      <c r="H9" s="168"/>
      <c r="I9" s="76">
        <f>_xlfn.XLOOKUP($B9,'Capital Costs'!$B$7:$B$34,'Capital Costs'!$F$7:$F$34,0,0,1)</f>
        <v>0</v>
      </c>
      <c r="J9" s="77">
        <f>SUM(D9:G9)</f>
        <v>2519969.2981001111</v>
      </c>
      <c r="K9" s="78">
        <f>J9*((1+Assumptions!$D$13)^-(B9-Assumptions!$D$4))+I9+C9</f>
        <v>1978669.5572641625</v>
      </c>
      <c r="L9" s="79"/>
    </row>
    <row r="10" spans="2:13" ht="15" customHeight="1" x14ac:dyDescent="0.25">
      <c r="B10" s="80">
        <f>B9+1</f>
        <v>2031</v>
      </c>
      <c r="C10" s="374">
        <f>-_xlfn.XLOOKUP($B10,'Air Quality'!$B$5:$B$24,'Air Quality'!$E$5:$E$24,0,0,1)</f>
        <v>5338.397068313182</v>
      </c>
      <c r="D10" s="86">
        <f>-_xlfn.XLOOKUP($B10,'Air Quality'!$B$5:$B$24,'Air Quality'!$M$5:$M$24,0,0,1)</f>
        <v>11407.777595409483</v>
      </c>
      <c r="E10" s="298">
        <f>_xlfn.XLOOKUP($B10,'Crash Cost Savings'!$B$5:$B$24,'Crash Cost Savings'!$S$5:$S$24,0,0,1)</f>
        <v>70137.720570051722</v>
      </c>
      <c r="F10" s="299">
        <f>_xlfn.XLOOKUP($B10,'Travel Time Delay Savings'!$B$7:$B$26,'Travel Time Delay Savings'!$F$7:$F$26,0,0,1)</f>
        <v>2735574.5306461374</v>
      </c>
      <c r="G10" s="86">
        <f>_xlfn.XLOOKUP($B10,'Ops and Main'!$C$6:$C$25,'Ops and Main'!$L$6:$L$25,0,0,1)</f>
        <v>16298.099999999999</v>
      </c>
      <c r="H10" s="86"/>
      <c r="I10" s="81">
        <f>_xlfn.XLOOKUP($B10,'Capital Costs'!$B$7:$B$34,'Capital Costs'!$F$7:$F$34,0,0,1)</f>
        <v>0</v>
      </c>
      <c r="J10" s="82">
        <f t="shared" ref="J10:J28" si="0">SUM(D10:G10)</f>
        <v>2833418.1288115988</v>
      </c>
      <c r="K10" s="84">
        <f>J10*((1+Assumptions!$D$13)^-(B10-Assumptions!$D$4))+I10+C10</f>
        <v>2158034.2825403619</v>
      </c>
      <c r="L10" s="79"/>
      <c r="M10" s="87"/>
    </row>
    <row r="11" spans="2:13" ht="15" customHeight="1" x14ac:dyDescent="0.25">
      <c r="B11" s="85">
        <f>B10+1</f>
        <v>2032</v>
      </c>
      <c r="C11" s="374">
        <f>-_xlfn.XLOOKUP($B11,'Air Quality'!$B$5:$B$24,'Air Quality'!$E$5:$E$24,0,0,1)</f>
        <v>5863.7633689096283</v>
      </c>
      <c r="D11" s="86">
        <f>-_xlfn.XLOOKUP($B11,'Air Quality'!$B$5:$B$24,'Air Quality'!$M$5:$M$24,0,0,1)</f>
        <v>12636.366035660103</v>
      </c>
      <c r="E11" s="298">
        <f>_xlfn.XLOOKUP($B11,'Crash Cost Savings'!$B$5:$B$24,'Crash Cost Savings'!$S$5:$S$24,0,0,1)</f>
        <v>71470.337260882734</v>
      </c>
      <c r="F11" s="299">
        <f>_xlfn.XLOOKUP($B11,'Travel Time Delay Savings'!$B$7:$B$26,'Travel Time Delay Savings'!$F$7:$F$26,0,0,1)</f>
        <v>3030188.9038390629</v>
      </c>
      <c r="G11" s="86">
        <f>_xlfn.XLOOKUP($B11,'Ops and Main'!$C$6:$C$25,'Ops and Main'!$L$6:$L$25,0,0,1)</f>
        <v>0</v>
      </c>
      <c r="H11" s="86"/>
      <c r="I11" s="81">
        <f>_xlfn.XLOOKUP($B11,'Capital Costs'!$B$7:$B$34,'Capital Costs'!$F$7:$F$34,0,0,1)</f>
        <v>0</v>
      </c>
      <c r="J11" s="82">
        <f t="shared" si="0"/>
        <v>3114295.6071356055</v>
      </c>
      <c r="K11" s="84">
        <f>J11*((1+Assumptions!$D$13)^-(B11-Assumptions!$D$4))+I11+C11</f>
        <v>2300813.5113990833</v>
      </c>
      <c r="L11" s="79"/>
      <c r="M11" s="87"/>
    </row>
    <row r="12" spans="2:13" ht="15" customHeight="1" x14ac:dyDescent="0.25">
      <c r="B12" s="85">
        <f t="shared" ref="B12:B28" si="1">B11+1</f>
        <v>2033</v>
      </c>
      <c r="C12" s="374">
        <f>-_xlfn.XLOOKUP($B12,'Air Quality'!$B$5:$B$24,'Air Quality'!$E$5:$E$24,0,0,1)</f>
        <v>6426.7351833982657</v>
      </c>
      <c r="D12" s="86">
        <f>-_xlfn.XLOOKUP($B12,'Air Quality'!$B$5:$B$24,'Air Quality'!$M$5:$M$24,0,0,1)</f>
        <v>13864.954475910599</v>
      </c>
      <c r="E12" s="298">
        <f>_xlfn.XLOOKUP($B12,'Crash Cost Savings'!$B$5:$B$24,'Crash Cost Savings'!$S$5:$S$24,0,0,1)</f>
        <v>72828.27366883948</v>
      </c>
      <c r="F12" s="299">
        <f>_xlfn.XLOOKUP($B12,'Travel Time Delay Savings'!$B$7:$B$26,'Travel Time Delay Savings'!$F$7:$F$26,0,0,1)</f>
        <v>3324803.2770319581</v>
      </c>
      <c r="G12" s="86">
        <f>_xlfn.XLOOKUP($B12,'Ops and Main'!$C$6:$C$25,'Ops and Main'!$L$6:$L$25,0,0,1)</f>
        <v>5532639.9868392833</v>
      </c>
      <c r="H12" s="86"/>
      <c r="I12" s="81">
        <f>_xlfn.XLOOKUP($B12,'Capital Costs'!$B$7:$B$34,'Capital Costs'!$F$7:$F$34,0,0,1)</f>
        <v>0</v>
      </c>
      <c r="J12" s="82">
        <f t="shared" si="0"/>
        <v>8944136.4920159914</v>
      </c>
      <c r="K12" s="84">
        <f>J12*((1+Assumptions!$D$13)^-(B12-Assumptions!$D$4))+I12+C12</f>
        <v>6399255.9156354778</v>
      </c>
      <c r="L12" s="79"/>
      <c r="M12" s="87"/>
    </row>
    <row r="13" spans="2:13" ht="15" customHeight="1" x14ac:dyDescent="0.25">
      <c r="B13" s="85">
        <f t="shared" si="1"/>
        <v>2034</v>
      </c>
      <c r="C13" s="374">
        <f>-_xlfn.XLOOKUP($B13,'Air Quality'!$B$5:$B$24,'Air Quality'!$E$5:$E$24,0,0,1)</f>
        <v>6960.6496959297692</v>
      </c>
      <c r="D13" s="86">
        <f>-_xlfn.XLOOKUP($B13,'Air Quality'!$B$5:$B$24,'Air Quality'!$M$5:$M$24,0,0,1)</f>
        <v>15093.542916161094</v>
      </c>
      <c r="E13" s="298">
        <f>_xlfn.XLOOKUP($B13,'Crash Cost Savings'!$B$5:$B$24,'Crash Cost Savings'!$S$5:$S$24,0,0,1)</f>
        <v>74212.010868547412</v>
      </c>
      <c r="F13" s="299">
        <f>_xlfn.XLOOKUP($B13,'Travel Time Delay Savings'!$B$7:$B$26,'Travel Time Delay Savings'!$F$7:$F$26,0,0,1)</f>
        <v>3619417.6502248533</v>
      </c>
      <c r="G13" s="86">
        <f>_xlfn.XLOOKUP($B13,'Ops and Main'!$C$6:$C$25,'Ops and Main'!$L$6:$L$25,0,0,1)</f>
        <v>-16298.099999999999</v>
      </c>
      <c r="H13" s="86"/>
      <c r="I13" s="81">
        <f>_xlfn.XLOOKUP($B13,'Capital Costs'!$B$7:$B$34,'Capital Costs'!$F$7:$F$34,0,0,1)</f>
        <v>0</v>
      </c>
      <c r="J13" s="82">
        <f t="shared" si="0"/>
        <v>3692425.1040095617</v>
      </c>
      <c r="K13" s="84">
        <f>J13*((1+Assumptions!$D$13)^-(B13-Assumptions!$D$4))+I13+C13</f>
        <v>2566770.5333227948</v>
      </c>
      <c r="L13" s="79"/>
      <c r="M13" s="87"/>
    </row>
    <row r="14" spans="2:13" ht="15" customHeight="1" x14ac:dyDescent="0.25">
      <c r="B14" s="85">
        <f t="shared" si="1"/>
        <v>2035</v>
      </c>
      <c r="C14" s="374">
        <f>-_xlfn.XLOOKUP($B14,'Air Quality'!$B$5:$B$24,'Air Quality'!$E$5:$E$24,0,0,1)</f>
        <v>7487.3737736487856</v>
      </c>
      <c r="D14" s="86">
        <f>-_xlfn.XLOOKUP($B14,'Air Quality'!$B$5:$B$24,'Air Quality'!$M$5:$M$24,0,0,1)</f>
        <v>16322.131356411715</v>
      </c>
      <c r="E14" s="298">
        <f>_xlfn.XLOOKUP($B14,'Crash Cost Savings'!$B$5:$B$24,'Crash Cost Savings'!$S$5:$S$24,0,0,1)</f>
        <v>75622.039075049805</v>
      </c>
      <c r="F14" s="299">
        <f>_xlfn.XLOOKUP($B14,'Travel Time Delay Savings'!$B$7:$B$26,'Travel Time Delay Savings'!$F$7:$F$26,0,0,1)</f>
        <v>3914032.0234177788</v>
      </c>
      <c r="G14" s="86">
        <f>_xlfn.XLOOKUP($B14,'Ops and Main'!$C$6:$C$25,'Ops and Main'!$L$6:$L$25,0,0,1)</f>
        <v>0</v>
      </c>
      <c r="H14" s="86"/>
      <c r="I14" s="81">
        <f>_xlfn.XLOOKUP($B14,'Capital Costs'!$B$7:$B$34,'Capital Costs'!$F$7:$F$34,0,0,1)</f>
        <v>0</v>
      </c>
      <c r="J14" s="82">
        <f t="shared" si="0"/>
        <v>4005976.1938492404</v>
      </c>
      <c r="K14" s="84">
        <f>J14*((1+Assumptions!$D$13)^-(B14-Assumptions!$D$4))+I14+C14</f>
        <v>2701165.5978205795</v>
      </c>
      <c r="L14" s="79"/>
      <c r="M14" s="87"/>
    </row>
    <row r="15" spans="2:13" ht="15" customHeight="1" x14ac:dyDescent="0.25">
      <c r="B15" s="85">
        <f t="shared" si="1"/>
        <v>2036</v>
      </c>
      <c r="C15" s="374">
        <f>-_xlfn.XLOOKUP($B15,'Air Quality'!$B$5:$B$24,'Air Quality'!$E$5:$E$24,0,0,1)</f>
        <v>8006.6661165062751</v>
      </c>
      <c r="D15" s="86">
        <f>-_xlfn.XLOOKUP($B15,'Air Quality'!$B$5:$B$24,'Air Quality'!$M$5:$M$24,0,0,1)</f>
        <v>17550.719796661702</v>
      </c>
      <c r="E15" s="298">
        <f>_xlfn.XLOOKUP($B15,'Crash Cost Savings'!$B$5:$B$24,'Crash Cost Savings'!$S$5:$S$24,0,0,1)</f>
        <v>77058.857817475771</v>
      </c>
      <c r="F15" s="299">
        <f>_xlfn.XLOOKUP($B15,'Travel Time Delay Savings'!$B$7:$B$26,'Travel Time Delay Savings'!$F$7:$F$26,0,0,1)</f>
        <v>4208646.3966105515</v>
      </c>
      <c r="G15" s="86">
        <f>_xlfn.XLOOKUP($B15,'Ops and Main'!$C$6:$C$25,'Ops and Main'!$L$6:$L$25,0,0,1)</f>
        <v>0</v>
      </c>
      <c r="H15" s="86"/>
      <c r="I15" s="81">
        <f>_xlfn.XLOOKUP($B15,'Capital Costs'!$B$7:$B$34,'Capital Costs'!$F$7:$F$34,0,0,1)</f>
        <v>0</v>
      </c>
      <c r="J15" s="82">
        <f t="shared" si="0"/>
        <v>4303255.9742246894</v>
      </c>
      <c r="K15" s="84">
        <f>J15*((1+Assumptions!$D$13)^-(B15-Assumptions!$D$4))+I15+C15</f>
        <v>2814576.5869670408</v>
      </c>
      <c r="L15" s="79"/>
      <c r="M15" s="87"/>
    </row>
    <row r="16" spans="2:13" ht="15" customHeight="1" x14ac:dyDescent="0.25">
      <c r="B16" s="85">
        <f t="shared" si="1"/>
        <v>2037</v>
      </c>
      <c r="C16" s="374">
        <f>-_xlfn.XLOOKUP($B16,'Air Quality'!$B$5:$B$24,'Air Quality'!$E$5:$E$24,0,0,1)</f>
        <v>8548.088166409314</v>
      </c>
      <c r="D16" s="86">
        <f>-_xlfn.XLOOKUP($B16,'Air Quality'!$B$5:$B$24,'Air Quality'!$M$5:$M$24,0,0,1)</f>
        <v>18779.308236912322</v>
      </c>
      <c r="E16" s="298">
        <f>_xlfn.XLOOKUP($B16,'Crash Cost Savings'!$B$5:$B$24,'Crash Cost Savings'!$S$5:$S$24,0,0,1)</f>
        <v>78522.976116007791</v>
      </c>
      <c r="F16" s="299">
        <f>_xlfn.XLOOKUP($B16,'Travel Time Delay Savings'!$B$7:$B$26,'Travel Time Delay Savings'!$F$7:$F$26,0,0,1)</f>
        <v>4503260.7698034775</v>
      </c>
      <c r="G16" s="86">
        <f>_xlfn.XLOOKUP($B16,'Ops and Main'!$C$6:$C$25,'Ops and Main'!$L$6:$L$25,0,0,1)</f>
        <v>16298.099999999999</v>
      </c>
      <c r="H16" s="86"/>
      <c r="I16" s="81">
        <f>_xlfn.XLOOKUP($B16,'Capital Costs'!$B$7:$B$34,'Capital Costs'!$F$7:$F$34,0,0,1)</f>
        <v>0</v>
      </c>
      <c r="J16" s="82">
        <f t="shared" si="0"/>
        <v>4616861.1541563971</v>
      </c>
      <c r="K16" s="84">
        <f>J16*((1+Assumptions!$D$13)^-(B16-Assumptions!$D$4))+I16+C16</f>
        <v>2929112.8080730564</v>
      </c>
      <c r="L16" s="79"/>
      <c r="M16" s="87"/>
    </row>
    <row r="17" spans="2:25" ht="15" customHeight="1" x14ac:dyDescent="0.25">
      <c r="B17" s="85">
        <f t="shared" si="1"/>
        <v>2038</v>
      </c>
      <c r="C17" s="374">
        <f>-_xlfn.XLOOKUP($B17,'Air Quality'!$B$5:$B$24,'Air Quality'!$E$5:$E$24,0,0,1)</f>
        <v>9022.0819570765834</v>
      </c>
      <c r="D17" s="86">
        <f>-_xlfn.XLOOKUP($B17,'Air Quality'!$B$5:$B$24,'Air Quality'!$M$5:$M$24,0,0,1)</f>
        <v>20007.896677162811</v>
      </c>
      <c r="E17" s="298">
        <f>_xlfn.XLOOKUP($B17,'Crash Cost Savings'!$B$5:$B$24,'Crash Cost Savings'!$S$5:$S$24,0,0,1)</f>
        <v>80014.912662211951</v>
      </c>
      <c r="F17" s="299">
        <f>_xlfn.XLOOKUP($B17,'Travel Time Delay Savings'!$B$7:$B$26,'Travel Time Delay Savings'!$F$7:$F$26,0,0,1)</f>
        <v>4797875.1429963717</v>
      </c>
      <c r="G17" s="86">
        <f>_xlfn.XLOOKUP($B17,'Ops and Main'!$C$6:$C$25,'Ops and Main'!$L$6:$L$25,0,0,1)</f>
        <v>0</v>
      </c>
      <c r="H17" s="86"/>
      <c r="I17" s="81">
        <f>_xlfn.XLOOKUP($B17,'Capital Costs'!$B$7:$B$34,'Capital Costs'!$F$7:$F$34,0,0,1)</f>
        <v>0</v>
      </c>
      <c r="J17" s="82">
        <f t="shared" si="0"/>
        <v>4897897.952335747</v>
      </c>
      <c r="K17" s="84">
        <f>J17*((1+Assumptions!$D$13)^-(B17-Assumptions!$D$4))+I17+C17</f>
        <v>3014206.2196069113</v>
      </c>
      <c r="L17" s="79"/>
      <c r="M17" s="87"/>
    </row>
    <row r="18" spans="2:25" ht="15" customHeight="1" x14ac:dyDescent="0.25">
      <c r="B18" s="85">
        <f t="shared" si="1"/>
        <v>2039</v>
      </c>
      <c r="C18" s="374">
        <f>-_xlfn.XLOOKUP($B18,'Air Quality'!$B$5:$B$24,'Air Quality'!$E$5:$E$24,0,0,1)</f>
        <v>9517.812178627808</v>
      </c>
      <c r="D18" s="86">
        <f>-_xlfn.XLOOKUP($B18,'Air Quality'!$B$5:$B$24,'Air Quality'!$M$5:$M$24,0,0,1)</f>
        <v>21236.485117413435</v>
      </c>
      <c r="E18" s="298">
        <f>_xlfn.XLOOKUP($B18,'Crash Cost Savings'!$B$5:$B$24,'Crash Cost Savings'!$S$5:$S$24,0,0,1)</f>
        <v>81535.196002793964</v>
      </c>
      <c r="F18" s="299">
        <f>_xlfn.XLOOKUP($B18,'Travel Time Delay Savings'!$B$7:$B$26,'Travel Time Delay Savings'!$F$7:$F$26,0,0,1)</f>
        <v>5092489.5161892977</v>
      </c>
      <c r="G18" s="86">
        <f>_xlfn.XLOOKUP($B18,'Ops and Main'!$C$6:$C$25,'Ops and Main'!$L$6:$L$25,0,0,1)</f>
        <v>0</v>
      </c>
      <c r="H18" s="86"/>
      <c r="I18" s="81">
        <f>_xlfn.XLOOKUP($B18,'Capital Costs'!$B$7:$B$34,'Capital Costs'!$F$7:$F$34,0,0,1)</f>
        <v>0</v>
      </c>
      <c r="J18" s="82">
        <f t="shared" si="0"/>
        <v>5195261.1973095052</v>
      </c>
      <c r="K18" s="84">
        <f>J18*((1+Assumptions!$D$13)^-(B18-Assumptions!$D$4))+I18+C18</f>
        <v>3101308.4462395948</v>
      </c>
      <c r="L18" s="79"/>
      <c r="M18" s="87"/>
    </row>
    <row r="19" spans="2:25" ht="15" customHeight="1" x14ac:dyDescent="0.25">
      <c r="B19" s="85">
        <f t="shared" si="1"/>
        <v>2040</v>
      </c>
      <c r="C19" s="374">
        <f>-_xlfn.XLOOKUP($B19,'Air Quality'!$B$5:$B$24,'Air Quality'!$E$5:$E$24,0,0,1)</f>
        <v>10038.897588100015</v>
      </c>
      <c r="D19" s="86">
        <f>-_xlfn.XLOOKUP($B19,'Air Quality'!$B$5:$B$24,'Air Quality'!$M$5:$M$24,0,0,1)</f>
        <v>22465.073557663931</v>
      </c>
      <c r="E19" s="298">
        <f>_xlfn.XLOOKUP($B19,'Crash Cost Savings'!$B$5:$B$24,'Crash Cost Savings'!$S$5:$S$24,0,0,1)</f>
        <v>83084.364726847038</v>
      </c>
      <c r="F19" s="299">
        <f>_xlfn.XLOOKUP($B19,'Travel Time Delay Savings'!$B$7:$B$26,'Travel Time Delay Savings'!$F$7:$F$26,0,0,1)</f>
        <v>5387103.8893821929</v>
      </c>
      <c r="G19" s="86">
        <f>_xlfn.XLOOKUP($B19,'Ops and Main'!$C$6:$C$25,'Ops and Main'!$L$6:$L$25,0,0,1)</f>
        <v>-16298.099999999999</v>
      </c>
      <c r="H19" s="86"/>
      <c r="I19" s="81">
        <f>_xlfn.XLOOKUP($B19,'Capital Costs'!$B$7:$B$34,'Capital Costs'!$F$7:$F$34,0,0,1)</f>
        <v>0</v>
      </c>
      <c r="J19" s="82">
        <f t="shared" si="0"/>
        <v>5476355.227666704</v>
      </c>
      <c r="K19" s="84">
        <f>J19*((1+Assumptions!$D$13)^-(B19-Assumptions!$D$4))+I19+C19</f>
        <v>3171119.9826376243</v>
      </c>
      <c r="L19" s="79"/>
      <c r="M19" s="87"/>
    </row>
    <row r="20" spans="2:25" ht="15" customHeight="1" x14ac:dyDescent="0.25">
      <c r="B20" s="85">
        <f t="shared" si="1"/>
        <v>2041</v>
      </c>
      <c r="C20" s="374">
        <f>-_xlfn.XLOOKUP($B20,'Air Quality'!$B$5:$B$24,'Air Quality'!$E$5:$E$24,0,0,1)</f>
        <v>10519.173928963646</v>
      </c>
      <c r="D20" s="86">
        <f>-_xlfn.XLOOKUP($B20,'Air Quality'!$B$5:$B$24,'Air Quality'!$M$5:$M$24,0,0,1)</f>
        <v>23693.661997914045</v>
      </c>
      <c r="E20" s="298">
        <f>_xlfn.XLOOKUP($B20,'Crash Cost Savings'!$B$5:$B$24,'Crash Cost Savings'!$S$5:$S$24,0,0,1)</f>
        <v>84662.967656657129</v>
      </c>
      <c r="F20" s="299">
        <f>_xlfn.XLOOKUP($B20,'Travel Time Delay Savings'!$B$7:$B$26,'Travel Time Delay Savings'!$F$7:$F$26,0,0,1)</f>
        <v>5681718.2625749959</v>
      </c>
      <c r="G20" s="86">
        <f>_xlfn.XLOOKUP($B20,'Ops and Main'!$C$6:$C$25,'Ops and Main'!$L$6:$L$25,0,0,1)</f>
        <v>0</v>
      </c>
      <c r="H20" s="86"/>
      <c r="I20" s="81">
        <f>_xlfn.XLOOKUP($B20,'Capital Costs'!$B$7:$B$34,'Capital Costs'!$F$7:$F$34,0,0,1)</f>
        <v>0</v>
      </c>
      <c r="J20" s="82">
        <f t="shared" si="0"/>
        <v>5790074.8922295673</v>
      </c>
      <c r="K20" s="84">
        <f>J20*((1+Assumptions!$D$13)^-(B20-Assumptions!$D$4))+I20+C20</f>
        <v>3252194.6895728735</v>
      </c>
      <c r="L20" s="79"/>
      <c r="M20" s="87"/>
    </row>
    <row r="21" spans="2:25" ht="15" customHeight="1" x14ac:dyDescent="0.25">
      <c r="B21" s="85">
        <f t="shared" si="1"/>
        <v>2042</v>
      </c>
      <c r="C21" s="374">
        <f>-_xlfn.XLOOKUP($B21,'Air Quality'!$B$5:$B$24,'Air Quality'!$E$5:$E$24,0,0,1)</f>
        <v>11026.676141505979</v>
      </c>
      <c r="D21" s="86">
        <f>-_xlfn.XLOOKUP($B21,'Air Quality'!$B$5:$B$24,'Air Quality'!$M$5:$M$24,0,0,1)</f>
        <v>24922.250438164534</v>
      </c>
      <c r="E21" s="298">
        <f>_xlfn.XLOOKUP($B21,'Crash Cost Savings'!$B$5:$B$24,'Crash Cost Savings'!$S$5:$S$24,0,0,1)</f>
        <v>86271.564042133614</v>
      </c>
      <c r="F21" s="299">
        <f>_xlfn.XLOOKUP($B21,'Travel Time Delay Savings'!$B$7:$B$26,'Travel Time Delay Savings'!$F$7:$F$26,0,0,1)</f>
        <v>5976332.6357678911</v>
      </c>
      <c r="G21" s="86">
        <f>_xlfn.XLOOKUP($B21,'Ops and Main'!$C$6:$C$25,'Ops and Main'!$L$6:$L$25,0,0,1)</f>
        <v>0</v>
      </c>
      <c r="H21" s="86"/>
      <c r="I21" s="81">
        <f>_xlfn.XLOOKUP($B21,'Capital Costs'!$B$7:$B$34,'Capital Costs'!$F$7:$F$34,0,0,1)</f>
        <v>0</v>
      </c>
      <c r="J21" s="82">
        <f t="shared" si="0"/>
        <v>6087526.4502481893</v>
      </c>
      <c r="K21" s="84">
        <f>J21*((1+Assumptions!$D$13)^-(B21-Assumptions!$D$4))+I21+C21</f>
        <v>3316758.0193939926</v>
      </c>
      <c r="L21" s="79"/>
      <c r="M21" s="87"/>
    </row>
    <row r="22" spans="2:25" ht="15" customHeight="1" x14ac:dyDescent="0.25">
      <c r="B22" s="85">
        <f t="shared" si="1"/>
        <v>2043</v>
      </c>
      <c r="C22" s="374">
        <f>-_xlfn.XLOOKUP($B22,'Air Quality'!$B$5:$B$24,'Air Quality'!$E$5:$E$24,0,0,1)</f>
        <v>11490.705502599094</v>
      </c>
      <c r="D22" s="86">
        <f>-_xlfn.XLOOKUP($B22,'Air Quality'!$B$5:$B$24,'Air Quality'!$M$5:$M$24,0,0,1)</f>
        <v>26150.838878415161</v>
      </c>
      <c r="E22" s="298">
        <f>_xlfn.XLOOKUP($B22,'Crash Cost Savings'!$B$5:$B$24,'Crash Cost Savings'!$S$5:$S$24,0,0,1)</f>
        <v>87910.723758934168</v>
      </c>
      <c r="F22" s="299">
        <f>_xlfn.XLOOKUP($B22,'Travel Time Delay Savings'!$B$7:$B$26,'Travel Time Delay Savings'!$F$7:$F$26,0,0,1)</f>
        <v>6270947.008960817</v>
      </c>
      <c r="G22" s="86">
        <f>_xlfn.XLOOKUP($B22,'Ops and Main'!$C$6:$C$25,'Ops and Main'!$L$6:$L$25,0,0,1)</f>
        <v>16298.099999999999</v>
      </c>
      <c r="H22" s="86"/>
      <c r="I22" s="81">
        <f>_xlfn.XLOOKUP($B22,'Capital Costs'!$B$7:$B$34,'Capital Costs'!$F$7:$F$34,0,0,1)</f>
        <v>0</v>
      </c>
      <c r="J22" s="82">
        <f t="shared" si="0"/>
        <v>6401306.6715981662</v>
      </c>
      <c r="K22" s="84">
        <f>J22*((1+Assumptions!$D$13)^-(B22-Assumptions!$D$4))+I22+C22</f>
        <v>3383095.5002281438</v>
      </c>
      <c r="L22" s="79"/>
      <c r="M22" s="87"/>
    </row>
    <row r="23" spans="2:25" x14ac:dyDescent="0.25">
      <c r="B23" s="85">
        <f t="shared" si="1"/>
        <v>2044</v>
      </c>
      <c r="C23" s="374">
        <f>-_xlfn.XLOOKUP($B23,'Air Quality'!$B$5:$B$24,'Air Quality'!$E$5:$E$24,0,0,1)</f>
        <v>11983.67233239023</v>
      </c>
      <c r="D23" s="86">
        <f>-_xlfn.XLOOKUP($B23,'Air Quality'!$B$5:$B$24,'Air Quality'!$M$5:$M$24,0,0,1)</f>
        <v>27379.427318665654</v>
      </c>
      <c r="E23" s="298">
        <f>_xlfn.XLOOKUP($B23,'Crash Cost Savings'!$B$5:$B$24,'Crash Cost Savings'!$S$5:$S$24,0,0,1)</f>
        <v>89581.027510353917</v>
      </c>
      <c r="F23" s="299">
        <f>_xlfn.XLOOKUP($B23,'Travel Time Delay Savings'!$B$7:$B$26,'Travel Time Delay Savings'!$F$7:$F$26,0,0,1)</f>
        <v>6565561.3821537113</v>
      </c>
      <c r="G23" s="86">
        <f>_xlfn.XLOOKUP($B23,'Ops and Main'!$C$6:$C$25,'Ops and Main'!$L$6:$L$25,0,0,1)</f>
        <v>0</v>
      </c>
      <c r="H23" s="86"/>
      <c r="I23" s="81">
        <f>_xlfn.XLOOKUP($B23,'Capital Costs'!$B$7:$B$34,'Capital Costs'!$F$7:$F$34,0,0,1)</f>
        <v>0</v>
      </c>
      <c r="J23" s="82">
        <f t="shared" si="0"/>
        <v>6682521.8369827308</v>
      </c>
      <c r="K23" s="84">
        <f>J23*((1+Assumptions!$D$13)^-(B23-Assumptions!$D$4))+I23+C23</f>
        <v>3425875.4559614267</v>
      </c>
    </row>
    <row r="24" spans="2:25" x14ac:dyDescent="0.25">
      <c r="B24" s="85">
        <f t="shared" si="1"/>
        <v>2045</v>
      </c>
      <c r="C24" s="374">
        <f>-_xlfn.XLOOKUP($B24,'Air Quality'!$B$5:$B$24,'Air Quality'!$E$5:$E$24,0,0,1)</f>
        <v>12430.794886586598</v>
      </c>
      <c r="D24" s="86">
        <f>-_xlfn.XLOOKUP($B24,'Air Quality'!$B$5:$B$24,'Air Quality'!$M$5:$M$24,0,0,1)</f>
        <v>28608.015758916274</v>
      </c>
      <c r="E24" s="298">
        <f>_xlfn.XLOOKUP($B24,'Crash Cost Savings'!$B$5:$B$24,'Crash Cost Savings'!$S$5:$S$24,0,0,1)</f>
        <v>91283.06703305064</v>
      </c>
      <c r="F24" s="299">
        <f>_xlfn.XLOOKUP($B24,'Travel Time Delay Savings'!$B$7:$B$26,'Travel Time Delay Savings'!$F$7:$F$26,0,0,1)</f>
        <v>6860175.7553466372</v>
      </c>
      <c r="G24" s="86">
        <f>_xlfn.XLOOKUP($B24,'Ops and Main'!$C$6:$C$25,'Ops and Main'!$L$6:$L$25,0,0,1)</f>
        <v>0</v>
      </c>
      <c r="H24" s="86"/>
      <c r="I24" s="81">
        <f>_xlfn.XLOOKUP($B24,'Capital Costs'!$B$7:$B$34,'Capital Costs'!$F$7:$F$34,0,0,1)</f>
        <v>0</v>
      </c>
      <c r="J24" s="82">
        <f t="shared" si="0"/>
        <v>6980066.8381386045</v>
      </c>
      <c r="K24" s="84">
        <f>J24*((1+Assumptions!$D$13)^-(B24-Assumptions!$D$4))+I24+C24</f>
        <v>3471109.9758828403</v>
      </c>
    </row>
    <row r="25" spans="2:25" x14ac:dyDescent="0.25">
      <c r="B25" s="85">
        <f t="shared" si="1"/>
        <v>2046</v>
      </c>
      <c r="C25" s="374">
        <f>-_xlfn.XLOOKUP($B25,'Air Quality'!$B$5:$B$24,'Air Quality'!$E$5:$E$24,0,0,1)</f>
        <v>12908.416005549057</v>
      </c>
      <c r="D25" s="86">
        <f>-_xlfn.XLOOKUP($B25,'Air Quality'!$B$5:$B$24,'Air Quality'!$M$5:$M$24,0,0,1)</f>
        <v>29836.604199166257</v>
      </c>
      <c r="E25" s="298">
        <f>_xlfn.XLOOKUP($B25,'Crash Cost Savings'!$B$5:$B$24,'Crash Cost Savings'!$S$5:$S$24,0,0,1)</f>
        <v>93017.445306678565</v>
      </c>
      <c r="F25" s="299">
        <f>_xlfn.XLOOKUP($B25,'Travel Time Delay Savings'!$B$7:$B$26,'Travel Time Delay Savings'!$F$7:$F$26,0,0,1)</f>
        <v>7154790.1285394095</v>
      </c>
      <c r="G25" s="86">
        <f>_xlfn.XLOOKUP($B25,'Ops and Main'!$C$6:$C$25,'Ops and Main'!$L$6:$L$25,0,0,1)</f>
        <v>-16298.099999999999</v>
      </c>
      <c r="H25" s="86"/>
      <c r="I25" s="81">
        <f>_xlfn.XLOOKUP($B25,'Capital Costs'!$B$7:$B$34,'Capital Costs'!$F$7:$F$34,0,0,1)</f>
        <v>0</v>
      </c>
      <c r="J25" s="82">
        <f t="shared" si="0"/>
        <v>7261346.0780452546</v>
      </c>
      <c r="K25" s="84">
        <f>J25*((1+Assumptions!$D$13)^-(B25-Assumptions!$D$4))+I25+C25</f>
        <v>3502777.7696006675</v>
      </c>
    </row>
    <row r="26" spans="2:25" x14ac:dyDescent="0.25">
      <c r="B26" s="85">
        <f t="shared" si="1"/>
        <v>2047</v>
      </c>
      <c r="C26" s="374">
        <f>-_xlfn.XLOOKUP($B26,'Air Quality'!$B$5:$B$24,'Air Quality'!$E$5:$E$24,0,0,1)</f>
        <v>13378.51263202267</v>
      </c>
      <c r="D26" s="86">
        <f>-_xlfn.XLOOKUP($B26,'Air Quality'!$B$5:$B$24,'Air Quality'!$M$5:$M$24,0,0,1)</f>
        <v>31065.192639416884</v>
      </c>
      <c r="E26" s="298">
        <f>_xlfn.XLOOKUP($B26,'Crash Cost Savings'!$B$5:$B$24,'Crash Cost Savings'!$S$5:$S$24,0,0,1)</f>
        <v>94784.776767505464</v>
      </c>
      <c r="F26" s="299">
        <f>_xlfn.XLOOKUP($B26,'Travel Time Delay Savings'!$B$7:$B$26,'Travel Time Delay Savings'!$F$7:$F$26,0,0,1)</f>
        <v>7449404.5017323354</v>
      </c>
      <c r="G26" s="86">
        <f>_xlfn.XLOOKUP($B26,'Ops and Main'!$C$6:$C$25,'Ops and Main'!$L$6:$L$25,0,0,1)</f>
        <v>0</v>
      </c>
      <c r="H26" s="86"/>
      <c r="I26" s="81">
        <f>_xlfn.XLOOKUP($B26,'Capital Costs'!$B$7:$B$34,'Capital Costs'!$F$7:$F$34,0,0,1)</f>
        <v>0</v>
      </c>
      <c r="J26" s="82">
        <f t="shared" si="0"/>
        <v>7575254.4711392578</v>
      </c>
      <c r="K26" s="84">
        <f>J26*((1+Assumptions!$D$13)^-(B26-Assumptions!$D$4))+I26+C26</f>
        <v>3544645.824972711</v>
      </c>
      <c r="L26" s="31"/>
      <c r="M26" s="31"/>
      <c r="N26" s="31"/>
      <c r="O26" s="31"/>
      <c r="P26" s="96"/>
      <c r="Q26" s="96"/>
      <c r="R26" s="97"/>
      <c r="T26" s="94"/>
    </row>
    <row r="27" spans="2:25" x14ac:dyDescent="0.25">
      <c r="B27" s="85">
        <f t="shared" si="1"/>
        <v>2048</v>
      </c>
      <c r="C27" s="374">
        <f>-_xlfn.XLOOKUP($B27,'Air Quality'!$B$5:$B$24,'Air Quality'!$E$5:$E$24,0,0,1)</f>
        <v>13840.882783276507</v>
      </c>
      <c r="D27" s="86">
        <f>-_xlfn.XLOOKUP($B27,'Air Quality'!$B$5:$B$24,'Air Quality'!$M$5:$M$24,0,0,1)</f>
        <v>32293.78107966738</v>
      </c>
      <c r="E27" s="298">
        <f>_xlfn.XLOOKUP($B27,'Crash Cost Savings'!$B$5:$B$24,'Crash Cost Savings'!$S$5:$S$24,0,0,1)</f>
        <v>96585.687526088062</v>
      </c>
      <c r="F27" s="299">
        <f>_xlfn.XLOOKUP($B27,'Travel Time Delay Savings'!$B$7:$B$26,'Travel Time Delay Savings'!$F$7:$F$26,0,0,1)</f>
        <v>7744018.8749252306</v>
      </c>
      <c r="G27" s="86">
        <f>_xlfn.XLOOKUP($B27,'Ops and Main'!$C$6:$C$25,'Ops and Main'!$L$6:$L$25,0,0,1)</f>
        <v>0</v>
      </c>
      <c r="H27" s="86"/>
      <c r="I27" s="81">
        <f>_xlfn.XLOOKUP($B27,'Capital Costs'!$B$7:$B$34,'Capital Costs'!$F$7:$F$34,0,0,1)</f>
        <v>0</v>
      </c>
      <c r="J27" s="82">
        <f t="shared" si="0"/>
        <v>7872898.3435309865</v>
      </c>
      <c r="K27" s="84">
        <f>J27*((1+Assumptions!$D$13)^-(B27-Assumptions!$D$4))+I27+C27</f>
        <v>3573507.6692507407</v>
      </c>
      <c r="L27" s="98"/>
      <c r="M27" s="98"/>
      <c r="N27" s="98"/>
      <c r="O27" s="32"/>
      <c r="P27" s="32"/>
      <c r="Q27" s="32"/>
      <c r="Y27" s="87"/>
    </row>
    <row r="28" spans="2:25" ht="15.75" customHeight="1" thickBot="1" x14ac:dyDescent="0.3">
      <c r="B28" s="88">
        <f t="shared" si="1"/>
        <v>2049</v>
      </c>
      <c r="C28" s="385">
        <f>-_xlfn.XLOOKUP($B28,'Air Quality'!$B$5:$B$24,'Air Quality'!$E$5:$E$24,0,0,1)</f>
        <v>14253.419613708227</v>
      </c>
      <c r="D28" s="89">
        <f>-_xlfn.XLOOKUP($B28,'Air Quality'!$B$5:$B$24,'Air Quality'!$M$5:$M$24,0,0,1)</f>
        <v>33522.369519917862</v>
      </c>
      <c r="E28" s="319">
        <f>_xlfn.XLOOKUP($B28,'Crash Cost Savings'!$B$5:$B$24,'Crash Cost Savings'!$S$5:$S$24,0,0,1)</f>
        <v>98420.815589083708</v>
      </c>
      <c r="F28" s="320">
        <f>_xlfn.XLOOKUP($B28,'Travel Time Delay Savings'!$B$7:$B$26,'Travel Time Delay Savings'!$F$7:$F$26,0,0,1)</f>
        <v>8038633.2481181258</v>
      </c>
      <c r="G28" s="89">
        <f>_xlfn.XLOOKUP($B28,'Ops and Main'!$C$6:$C$25,'Ops and Main'!$L$6:$L$25,0,0,1)</f>
        <v>16298.099999999999</v>
      </c>
      <c r="H28" s="89"/>
      <c r="I28" s="90">
        <f>'Capital Costs'!F34</f>
        <v>4782369.8193392875</v>
      </c>
      <c r="J28" s="91">
        <f t="shared" si="0"/>
        <v>8186874.533227127</v>
      </c>
      <c r="K28" s="92">
        <f>J28*((1+Assumptions!$D$13)^-(B28-Assumptions!$D$4))+I28+C28</f>
        <v>8386951.6194760939</v>
      </c>
      <c r="T28" s="87"/>
    </row>
    <row r="29" spans="2:25" x14ac:dyDescent="0.25">
      <c r="B29" s="31"/>
      <c r="C29" s="93"/>
      <c r="D29" s="93"/>
      <c r="E29" s="93"/>
      <c r="F29" s="93"/>
      <c r="G29" s="93"/>
      <c r="H29" s="93"/>
      <c r="I29" s="87"/>
      <c r="J29" s="9" t="s">
        <v>39</v>
      </c>
      <c r="K29" s="32">
        <f>SUM(K7:K28)</f>
        <v>68092523.359358788</v>
      </c>
      <c r="T29" s="87"/>
    </row>
    <row r="30" spans="2:25" ht="15.75" customHeight="1" x14ac:dyDescent="0.25">
      <c r="B30" s="31"/>
      <c r="C30" s="94"/>
      <c r="D30" s="94"/>
      <c r="E30" s="94"/>
      <c r="G30" s="94"/>
      <c r="H30" s="94"/>
      <c r="J30" s="95"/>
      <c r="K30" s="95">
        <f>SUM(-'Air Quality'!O25,'Travel Time Delay Savings'!G27,'Crash Cost Savings'!T25,'Capital Costs'!F35,'Ops and Main'!M26,-'Construction Disbenefits'!D9)</f>
        <v>68092523.359358773</v>
      </c>
      <c r="T30" s="87"/>
    </row>
    <row r="31" spans="2:25" ht="15" customHeight="1" x14ac:dyDescent="0.25">
      <c r="B31" s="31"/>
      <c r="C31" s="96"/>
      <c r="D31" s="96"/>
      <c r="E31" s="96"/>
      <c r="F31" s="96"/>
      <c r="G31" s="96"/>
      <c r="H31" s="96"/>
      <c r="J31" s="94"/>
      <c r="K31" s="87">
        <f>K29-K30</f>
        <v>0</v>
      </c>
      <c r="T31" s="87"/>
    </row>
    <row r="32" spans="2:25" ht="15" customHeight="1" x14ac:dyDescent="0.25">
      <c r="B32" s="31"/>
      <c r="C32" s="31"/>
      <c r="D32" s="32"/>
      <c r="E32" s="31"/>
      <c r="F32" s="31"/>
      <c r="G32" s="31"/>
      <c r="H32" s="31"/>
      <c r="I32" s="31"/>
      <c r="J32" s="96"/>
      <c r="S32" s="87"/>
    </row>
    <row r="33" spans="2:12" ht="15.75" x14ac:dyDescent="0.25">
      <c r="B33" s="73" t="s">
        <v>44</v>
      </c>
      <c r="C33" s="98"/>
      <c r="D33" s="98"/>
      <c r="E33" s="647"/>
      <c r="F33" s="98"/>
      <c r="G33" s="98"/>
      <c r="H33" s="98"/>
      <c r="I33" s="73"/>
      <c r="J33" s="73"/>
    </row>
    <row r="34" spans="2:12" ht="15.75" thickBot="1" x14ac:dyDescent="0.3">
      <c r="D34" s="99"/>
      <c r="E34" s="100"/>
      <c r="F34" s="646"/>
      <c r="G34" s="100"/>
      <c r="I34" s="100"/>
      <c r="J34" s="100"/>
    </row>
    <row r="35" spans="2:12" x14ac:dyDescent="0.25">
      <c r="B35" s="666" t="s">
        <v>8</v>
      </c>
      <c r="C35" s="666" t="s">
        <v>45</v>
      </c>
      <c r="D35" s="668" t="s">
        <v>37</v>
      </c>
      <c r="E35" s="101"/>
    </row>
    <row r="36" spans="2:12" ht="15.75" thickBot="1" x14ac:dyDescent="0.3">
      <c r="B36" s="667"/>
      <c r="C36" s="667"/>
      <c r="D36" s="669"/>
      <c r="E36" s="648"/>
    </row>
    <row r="37" spans="2:12" x14ac:dyDescent="0.25">
      <c r="B37" s="22">
        <f>Assumptions!D5</f>
        <v>2028</v>
      </c>
      <c r="C37" s="102">
        <f>_xlfn.XLOOKUP('BCA Summary'!B37,'Capital Costs'!$B$7:$B$34,'Capital Costs'!$C$7:$C$34,0,0,1)</f>
        <v>23787196.804378137</v>
      </c>
      <c r="D37" s="103">
        <f>C37*(1+Assumptions!$D$13)^-(B37-Assumptions!$D$4)</f>
        <v>19805749.143284947</v>
      </c>
      <c r="E37" s="32"/>
    </row>
    <row r="38" spans="2:12" ht="15.75" thickBot="1" x14ac:dyDescent="0.3">
      <c r="B38" s="28">
        <f t="shared" ref="B38" si="2">B37+1</f>
        <v>2029</v>
      </c>
      <c r="C38" s="104">
        <f>_xlfn.XLOOKUP('BCA Summary'!B38,'Capital Costs'!$B$7:$B$34,'Capital Costs'!$C$7:$C$34,0,0,1)</f>
        <v>23787196.804378137</v>
      </c>
      <c r="D38" s="105">
        <f>C38*(1+Assumptions!$D$13)^-(B38-Assumptions!$D$4)</f>
        <v>19210231.952749711</v>
      </c>
      <c r="E38" s="32"/>
    </row>
    <row r="39" spans="2:12" ht="15.75" thickBot="1" x14ac:dyDescent="0.3">
      <c r="C39" s="106" t="s">
        <v>46</v>
      </c>
      <c r="D39" s="71">
        <f>SUM(D37:D38)</f>
        <v>39015981.096034661</v>
      </c>
      <c r="E39" s="107">
        <f>'Capital Costs'!D35</f>
        <v>39015981.096034661</v>
      </c>
      <c r="F39" s="108"/>
      <c r="G39" s="108"/>
      <c r="I39" s="108"/>
      <c r="J39" s="108"/>
    </row>
    <row r="40" spans="2:12" x14ac:dyDescent="0.25">
      <c r="E40" s="108"/>
      <c r="F40" s="108"/>
      <c r="G40" s="108"/>
      <c r="I40" s="108"/>
      <c r="J40" s="35"/>
    </row>
    <row r="41" spans="2:12" ht="15.75" x14ac:dyDescent="0.25">
      <c r="B41" s="109" t="s">
        <v>47</v>
      </c>
      <c r="C41" s="109"/>
      <c r="E41" s="35"/>
      <c r="F41" s="35"/>
      <c r="G41" s="35"/>
      <c r="I41" s="35"/>
      <c r="J41" s="35"/>
    </row>
    <row r="42" spans="2:12" ht="15.75" thickBot="1" x14ac:dyDescent="0.3"/>
    <row r="43" spans="2:12" ht="15.75" thickBot="1" x14ac:dyDescent="0.3">
      <c r="B43" s="110"/>
      <c r="C43" s="111" t="s">
        <v>48</v>
      </c>
      <c r="D43" s="112"/>
    </row>
    <row r="44" spans="2:12" x14ac:dyDescent="0.25">
      <c r="B44" s="113" t="s">
        <v>49</v>
      </c>
      <c r="C44" s="114">
        <f>K29</f>
        <v>68092523.359358788</v>
      </c>
    </row>
    <row r="45" spans="2:12" ht="15.75" thickBot="1" x14ac:dyDescent="0.3">
      <c r="B45" s="115" t="s">
        <v>50</v>
      </c>
      <c r="C45" s="116">
        <f>+D39</f>
        <v>39015981.096034661</v>
      </c>
    </row>
    <row r="46" spans="2:12" ht="15.75" thickTop="1" x14ac:dyDescent="0.25">
      <c r="B46" s="117" t="s">
        <v>51</v>
      </c>
      <c r="C46" s="118">
        <f>+C44/C45</f>
        <v>1.7452469846075276</v>
      </c>
    </row>
    <row r="47" spans="2:12" ht="15.75" thickBot="1" x14ac:dyDescent="0.3">
      <c r="B47" s="119" t="s">
        <v>52</v>
      </c>
      <c r="C47" s="120">
        <f>C44-C45</f>
        <v>29076542.263324127</v>
      </c>
    </row>
    <row r="48" spans="2:12" x14ac:dyDescent="0.25">
      <c r="L48" s="94"/>
    </row>
    <row r="49" spans="2:12" ht="15.75" thickBot="1" x14ac:dyDescent="0.3">
      <c r="B49" s="121"/>
      <c r="C49" s="121"/>
      <c r="D49" s="121"/>
      <c r="L49" s="97"/>
    </row>
    <row r="50" spans="2:12" ht="15.75" thickBot="1" x14ac:dyDescent="0.3">
      <c r="B50" s="122"/>
      <c r="C50" s="123" t="s">
        <v>48</v>
      </c>
    </row>
    <row r="51" spans="2:12" x14ac:dyDescent="0.25">
      <c r="B51" s="124" t="s">
        <v>49</v>
      </c>
      <c r="C51" s="125">
        <f>MROUND(C44,100000)</f>
        <v>68100000</v>
      </c>
      <c r="E51" s="87"/>
      <c r="F51" s="126"/>
      <c r="I51" s="126"/>
    </row>
    <row r="52" spans="2:12" ht="15.75" thickBot="1" x14ac:dyDescent="0.3">
      <c r="B52" s="127" t="s">
        <v>50</v>
      </c>
      <c r="C52" s="116">
        <f>MROUND(C45,100000)</f>
        <v>39000000</v>
      </c>
      <c r="E52" s="126"/>
      <c r="F52" s="126"/>
      <c r="I52" s="126"/>
      <c r="L52" s="94"/>
    </row>
    <row r="53" spans="2:12" ht="15.75" thickTop="1" x14ac:dyDescent="0.25">
      <c r="B53" s="128" t="s">
        <v>51</v>
      </c>
      <c r="C53" s="118">
        <f>+C51/C52</f>
        <v>1.7461538461538462</v>
      </c>
    </row>
    <row r="54" spans="2:12" ht="15.75" thickBot="1" x14ac:dyDescent="0.3">
      <c r="B54" s="119" t="s">
        <v>52</v>
      </c>
      <c r="C54" s="120">
        <f>C51-C52</f>
        <v>29100000</v>
      </c>
      <c r="L54" s="94"/>
    </row>
    <row r="55" spans="2:12" ht="15.75" thickBot="1" x14ac:dyDescent="0.3"/>
    <row r="56" spans="2:12" ht="15.75" thickBot="1" x14ac:dyDescent="0.3">
      <c r="B56" s="122"/>
      <c r="C56" s="123" t="s">
        <v>48</v>
      </c>
    </row>
    <row r="57" spans="2:12" x14ac:dyDescent="0.25">
      <c r="B57" s="124" t="s">
        <v>53</v>
      </c>
      <c r="C57" s="129">
        <f>C51/10^6</f>
        <v>68.099999999999994</v>
      </c>
    </row>
    <row r="58" spans="2:12" ht="15.75" thickBot="1" x14ac:dyDescent="0.3">
      <c r="B58" s="127" t="s">
        <v>54</v>
      </c>
      <c r="C58" s="130">
        <f>C52/10^6</f>
        <v>39</v>
      </c>
    </row>
    <row r="59" spans="2:12" ht="15.75" thickTop="1" x14ac:dyDescent="0.25">
      <c r="B59" s="128" t="s">
        <v>51</v>
      </c>
      <c r="C59" s="131">
        <f t="shared" ref="C59" si="3">C53</f>
        <v>1.7461538461538462</v>
      </c>
    </row>
    <row r="60" spans="2:12" ht="15.75" thickBot="1" x14ac:dyDescent="0.3">
      <c r="B60" s="119" t="s">
        <v>55</v>
      </c>
      <c r="C60" s="132">
        <f>C54/10^6</f>
        <v>29.1</v>
      </c>
    </row>
  </sheetData>
  <mergeCells count="16">
    <mergeCell ref="B35:B36"/>
    <mergeCell ref="C35:C36"/>
    <mergeCell ref="D35:D36"/>
    <mergeCell ref="F5:F6"/>
    <mergeCell ref="I5:I6"/>
    <mergeCell ref="B5:B6"/>
    <mergeCell ref="K5:K6"/>
    <mergeCell ref="J5:J6"/>
    <mergeCell ref="G5:G6"/>
    <mergeCell ref="C4:E4"/>
    <mergeCell ref="F4:H4"/>
    <mergeCell ref="H5:H6"/>
    <mergeCell ref="I4:J4"/>
    <mergeCell ref="D5:D6"/>
    <mergeCell ref="C5:C6"/>
    <mergeCell ref="E5:E6"/>
  </mergeCells>
  <pageMargins left="0.25" right="0.25" top="0.75" bottom="0.75" header="0.3" footer="0.3"/>
  <pageSetup paperSize="119" scale="71" orientation="landscape"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3EE176-D00E-4B69-AB72-361D806988CE}">
  <sheetPr>
    <tabColor theme="4" tint="0.59999389629810485"/>
    <pageSetUpPr fitToPage="1"/>
  </sheetPr>
  <dimension ref="A1:BU59"/>
  <sheetViews>
    <sheetView view="pageBreakPreview" topLeftCell="A3" zoomScale="70" zoomScaleNormal="85" zoomScaleSheetLayoutView="70" workbookViewId="0">
      <selection activeCell="G36" sqref="G36"/>
    </sheetView>
  </sheetViews>
  <sheetFormatPr defaultColWidth="9.140625" defaultRowHeight="15" x14ac:dyDescent="0.25"/>
  <cols>
    <col min="1" max="1" width="5.7109375" customWidth="1"/>
    <col min="2" max="2" width="9.85546875" customWidth="1"/>
    <col min="3" max="5" width="15.85546875" style="10" customWidth="1"/>
    <col min="6" max="6" width="12.85546875" customWidth="1"/>
    <col min="7" max="7" width="20.85546875" bestFit="1" customWidth="1"/>
    <col min="8" max="8" width="16.5703125" customWidth="1"/>
    <col min="9" max="9" width="13.7109375" bestFit="1" customWidth="1"/>
    <col min="10" max="10" width="7.85546875" bestFit="1" customWidth="1"/>
    <col min="11" max="11" width="8.85546875" bestFit="1" customWidth="1"/>
    <col min="12" max="12" width="7" bestFit="1" customWidth="1"/>
    <col min="13" max="13" width="21.7109375" bestFit="1" customWidth="1"/>
    <col min="14" max="14" width="11" bestFit="1" customWidth="1"/>
    <col min="15" max="15" width="13.7109375" bestFit="1" customWidth="1"/>
    <col min="16" max="16" width="7.85546875" bestFit="1" customWidth="1"/>
    <col min="17" max="17" width="8.85546875" bestFit="1" customWidth="1"/>
  </cols>
  <sheetData>
    <row r="1" spans="2:72" x14ac:dyDescent="0.25">
      <c r="B1" s="1"/>
      <c r="C1" s="2"/>
      <c r="D1" s="2"/>
      <c r="E1" s="2"/>
    </row>
    <row r="2" spans="2:72" ht="16.5" x14ac:dyDescent="0.25">
      <c r="B2" s="3"/>
      <c r="C2" s="676" t="s">
        <v>370</v>
      </c>
      <c r="D2" s="676"/>
      <c r="E2" s="676"/>
      <c r="G2" s="675" t="s">
        <v>330</v>
      </c>
      <c r="H2" s="675"/>
    </row>
    <row r="3" spans="2:72" x14ac:dyDescent="0.25">
      <c r="B3" s="3"/>
      <c r="C3" s="4" t="s">
        <v>1</v>
      </c>
      <c r="D3" s="4" t="s">
        <v>2</v>
      </c>
      <c r="E3" s="4" t="s">
        <v>3</v>
      </c>
      <c r="G3" s="13" t="s">
        <v>20</v>
      </c>
      <c r="H3" s="355">
        <f>'Delay Calcs'!B19</f>
        <v>267.91261365377432</v>
      </c>
    </row>
    <row r="4" spans="2:72" x14ac:dyDescent="0.25">
      <c r="B4" s="5" t="s">
        <v>4</v>
      </c>
      <c r="C4" s="4" t="s">
        <v>5</v>
      </c>
      <c r="D4" s="4" t="s">
        <v>5</v>
      </c>
      <c r="E4" s="4" t="s">
        <v>5</v>
      </c>
      <c r="G4" s="26" t="s">
        <v>157</v>
      </c>
      <c r="H4" s="49">
        <f>'Delay Calcs'!B9</f>
        <v>2.3143192573930698</v>
      </c>
    </row>
    <row r="5" spans="2:72" x14ac:dyDescent="0.25">
      <c r="B5" s="480">
        <v>2022</v>
      </c>
      <c r="C5" s="6">
        <f>$H$13*$H$3*$H$4</f>
        <v>3173.8919157819596</v>
      </c>
      <c r="D5" s="6">
        <f>C5/C6*D6</f>
        <v>614.09024835000491</v>
      </c>
      <c r="E5" s="6">
        <f t="shared" ref="E5" si="0">D5-C5</f>
        <v>-2559.8016674319547</v>
      </c>
    </row>
    <row r="6" spans="2:72" ht="15.75" thickBot="1" x14ac:dyDescent="0.3">
      <c r="B6" s="480">
        <v>2045</v>
      </c>
      <c r="C6" s="6">
        <f>$N$13*$H$3*$H$4</f>
        <v>259068.49704561831</v>
      </c>
      <c r="D6" s="6">
        <f>$H$21*$H$3*$H$4</f>
        <v>50125.03321216927</v>
      </c>
      <c r="E6" s="6">
        <f>D6-C6</f>
        <v>-208943.46383344903</v>
      </c>
      <c r="G6" s="8"/>
    </row>
    <row r="7" spans="2:72" x14ac:dyDescent="0.25">
      <c r="B7" s="224" t="s">
        <v>6</v>
      </c>
      <c r="C7" s="7"/>
      <c r="D7" s="7"/>
      <c r="E7" s="7"/>
      <c r="G7" s="414" t="s">
        <v>139</v>
      </c>
      <c r="H7" s="673" t="s">
        <v>138</v>
      </c>
      <c r="I7" s="673"/>
      <c r="J7" s="673" t="s">
        <v>137</v>
      </c>
      <c r="K7" s="674"/>
      <c r="L7" s="243"/>
      <c r="M7" s="414" t="s">
        <v>141</v>
      </c>
      <c r="N7" s="673" t="s">
        <v>138</v>
      </c>
      <c r="O7" s="673"/>
      <c r="P7" s="673" t="s">
        <v>137</v>
      </c>
      <c r="Q7" s="674"/>
    </row>
    <row r="8" spans="2:72" ht="15.75" thickBot="1" x14ac:dyDescent="0.3">
      <c r="B8" s="8" t="s">
        <v>7</v>
      </c>
      <c r="G8" s="409" t="s">
        <v>308</v>
      </c>
      <c r="H8" s="245" t="s">
        <v>380</v>
      </c>
      <c r="I8" s="245" t="s">
        <v>136</v>
      </c>
      <c r="J8" s="245" t="s">
        <v>135</v>
      </c>
      <c r="K8" s="410" t="s">
        <v>134</v>
      </c>
      <c r="L8" s="243"/>
      <c r="M8" s="409" t="s">
        <v>308</v>
      </c>
      <c r="N8" s="245" t="s">
        <v>135</v>
      </c>
      <c r="O8" s="245" t="s">
        <v>136</v>
      </c>
      <c r="P8" s="245" t="s">
        <v>135</v>
      </c>
      <c r="Q8" s="410" t="s">
        <v>134</v>
      </c>
      <c r="BF8">
        <f>BK21</f>
        <v>85</v>
      </c>
      <c r="BG8">
        <f>BK26</f>
        <v>0.14064697609001406</v>
      </c>
      <c r="BH8">
        <f>BF8/SUM($BF$8:$BF$11)</f>
        <v>0.11038961038961038</v>
      </c>
      <c r="BI8">
        <f>SUMPRODUCT(BG8:BG11,BH8:BH11)</f>
        <v>0.23592864639479991</v>
      </c>
    </row>
    <row r="9" spans="2:72" ht="19.5" thickBot="1" x14ac:dyDescent="0.35">
      <c r="C9" s="11"/>
      <c r="D9" s="11"/>
      <c r="E9" s="11"/>
      <c r="G9" s="406" t="s">
        <v>133</v>
      </c>
      <c r="H9" s="407">
        <f>SUM(120,90,5,25,40,195)</f>
        <v>475</v>
      </c>
      <c r="I9" s="408">
        <v>3.9</v>
      </c>
      <c r="J9" s="407">
        <f>SUM(60,40,15,10,130,220)</f>
        <v>475</v>
      </c>
      <c r="K9" s="493">
        <v>2.4</v>
      </c>
      <c r="L9" s="243"/>
      <c r="M9" s="406" t="s">
        <v>133</v>
      </c>
      <c r="N9" s="407">
        <f>SUM(595,410,15,137,326,351)</f>
        <v>1834</v>
      </c>
      <c r="O9" s="408">
        <v>83</v>
      </c>
      <c r="P9" s="407">
        <v>1033</v>
      </c>
      <c r="Q9" s="493">
        <v>155</v>
      </c>
      <c r="AZ9" t="s">
        <v>414</v>
      </c>
      <c r="BA9">
        <f>BA11/BA10</f>
        <v>0.13414634146341464</v>
      </c>
      <c r="BF9">
        <f>BK18</f>
        <v>500</v>
      </c>
      <c r="BG9">
        <f>BK12</f>
        <v>0.27906976744186046</v>
      </c>
      <c r="BH9">
        <f t="shared" ref="BH9:BH11" si="1">BF9/SUM($BF$8:$BF$11)</f>
        <v>0.64935064935064934</v>
      </c>
    </row>
    <row r="10" spans="2:72" x14ac:dyDescent="0.25">
      <c r="B10" s="677" t="s">
        <v>8</v>
      </c>
      <c r="C10" s="680" t="s">
        <v>352</v>
      </c>
      <c r="D10" s="681"/>
      <c r="E10" s="682"/>
      <c r="G10" s="409" t="s">
        <v>132</v>
      </c>
      <c r="H10" s="246">
        <f>SUM(210,5,10,85,30,225,20)</f>
        <v>585</v>
      </c>
      <c r="I10" s="247">
        <v>4.8</v>
      </c>
      <c r="J10" s="246">
        <f>SUM(75,5,195,55,15,275,45)</f>
        <v>665</v>
      </c>
      <c r="K10" s="494">
        <v>4.9000000000000004</v>
      </c>
      <c r="L10" s="243"/>
      <c r="M10" s="409" t="s">
        <v>132</v>
      </c>
      <c r="N10" s="246">
        <f>SUM(510,194,467,80,483,79)</f>
        <v>1813</v>
      </c>
      <c r="O10" s="247">
        <v>251</v>
      </c>
      <c r="P10" s="246">
        <v>890</v>
      </c>
      <c r="Q10" s="494">
        <v>252</v>
      </c>
      <c r="AZ10" t="s">
        <v>17</v>
      </c>
      <c r="BA10">
        <v>410</v>
      </c>
      <c r="BF10">
        <f>AZ20</f>
        <v>150</v>
      </c>
      <c r="BG10">
        <f>BA24</f>
        <v>0.16986706056129985</v>
      </c>
      <c r="BH10">
        <f t="shared" si="1"/>
        <v>0.19480519480519481</v>
      </c>
      <c r="BP10" t="s">
        <v>414</v>
      </c>
      <c r="BQ10">
        <f>BQ12/BQ11</f>
        <v>0.15548780487804878</v>
      </c>
    </row>
    <row r="11" spans="2:72" ht="15.75" thickBot="1" x14ac:dyDescent="0.3">
      <c r="B11" s="678"/>
      <c r="C11" s="683"/>
      <c r="D11" s="684"/>
      <c r="E11" s="685"/>
      <c r="G11" s="411" t="s">
        <v>131</v>
      </c>
      <c r="H11" s="412">
        <f>SUM(5,10,10,225,65,20,15,10,10,225,5)</f>
        <v>600</v>
      </c>
      <c r="I11" s="413">
        <v>6.9</v>
      </c>
      <c r="J11" s="412">
        <f>SUM(5,10,5,220,25,5,50,10,20,15,265)</f>
        <v>630</v>
      </c>
      <c r="K11" s="495">
        <v>8.3000000000000007</v>
      </c>
      <c r="L11" s="243"/>
      <c r="M11" s="411" t="s">
        <v>140</v>
      </c>
      <c r="N11" s="412">
        <f>SUM(766,187,24,124,54,38,88,409,42,29,36,15)</f>
        <v>1812</v>
      </c>
      <c r="O11" s="413">
        <v>169</v>
      </c>
      <c r="P11" s="412">
        <v>925</v>
      </c>
      <c r="Q11" s="495">
        <v>223</v>
      </c>
      <c r="AZ11" t="s">
        <v>413</v>
      </c>
      <c r="BA11">
        <f>SUM(BA12:BA14)</f>
        <v>55</v>
      </c>
      <c r="BF11">
        <f>BA14</f>
        <v>35</v>
      </c>
      <c r="BG11">
        <f>BA9</f>
        <v>0.13414634146341464</v>
      </c>
      <c r="BH11">
        <f t="shared" si="1"/>
        <v>4.5454545454545456E-2</v>
      </c>
      <c r="BP11" t="s">
        <v>17</v>
      </c>
      <c r="BQ11">
        <v>1640</v>
      </c>
    </row>
    <row r="12" spans="2:72" ht="15.75" thickBot="1" x14ac:dyDescent="0.3">
      <c r="B12" s="679"/>
      <c r="C12" s="15" t="s">
        <v>1</v>
      </c>
      <c r="D12" s="16" t="s">
        <v>2</v>
      </c>
      <c r="E12" s="17" t="s">
        <v>10</v>
      </c>
      <c r="G12" s="414"/>
      <c r="H12" s="420">
        <f>SUM(H9:H11)</f>
        <v>1660</v>
      </c>
      <c r="I12" s="415">
        <f>SUMPRODUCT(H9:H11,I9:I11)/3600</f>
        <v>2.4445833333333336</v>
      </c>
      <c r="J12" s="420">
        <f>SUM(J9:J11)</f>
        <v>1770</v>
      </c>
      <c r="K12" s="497">
        <f>SUMPRODUCT(J9:J11,K9:K11)/3600</f>
        <v>2.6743055555555557</v>
      </c>
      <c r="L12" s="243"/>
      <c r="M12" s="414"/>
      <c r="N12" s="415"/>
      <c r="O12" s="420">
        <f>SUMPRODUCT(N9:N11,O9:O11)/3600</f>
        <v>253.7536111111111</v>
      </c>
      <c r="P12" s="416"/>
      <c r="Q12" s="496">
        <f>SUMPRODUCT(P9:P11,Q9:Q11)/3600</f>
        <v>164.07499999999999</v>
      </c>
      <c r="AZ12" t="s">
        <v>408</v>
      </c>
      <c r="BA12">
        <f>5+15</f>
        <v>20</v>
      </c>
      <c r="BK12">
        <f>BK14/BK13</f>
        <v>0.27906976744186046</v>
      </c>
      <c r="BL12" t="s">
        <v>414</v>
      </c>
      <c r="BP12" t="s">
        <v>413</v>
      </c>
      <c r="BQ12">
        <f>SUM(BQ13:BQ15,BQ20,BT15,BU22)</f>
        <v>255</v>
      </c>
      <c r="BS12" t="s">
        <v>414</v>
      </c>
      <c r="BT12">
        <f>BT14/BT13</f>
        <v>0.12726176115802171</v>
      </c>
    </row>
    <row r="13" spans="2:72" ht="21.75" customHeight="1" thickBot="1" x14ac:dyDescent="0.3">
      <c r="B13" s="21">
        <f>Assumptions!D8</f>
        <v>2030</v>
      </c>
      <c r="C13" s="38" cm="1">
        <f t="array" ref="C13">TREND(C$5:C$6,$B$5:$B$6,$B13)</f>
        <v>92180.711091373116</v>
      </c>
      <c r="D13" s="36" cm="1">
        <f t="array" ref="D13">TREND(D$5:D$6,$B$5:$B$6,$B13)</f>
        <v>17835.287800982594</v>
      </c>
      <c r="E13" s="37">
        <f>D13-C13</f>
        <v>-74345.423290390521</v>
      </c>
      <c r="G13" s="417" t="s">
        <v>307</v>
      </c>
      <c r="H13" s="421">
        <f>SUM(I12,K12)</f>
        <v>5.1188888888888897</v>
      </c>
      <c r="I13" s="418"/>
      <c r="J13" s="418"/>
      <c r="K13" s="419"/>
      <c r="L13" s="243"/>
      <c r="M13" s="417" t="s">
        <v>307</v>
      </c>
      <c r="N13" s="421">
        <f>SUM(O12,Q12)</f>
        <v>417.82861111111106</v>
      </c>
      <c r="O13" s="418"/>
      <c r="P13" s="418"/>
      <c r="Q13" s="419"/>
      <c r="AZ13" t="s">
        <v>409</v>
      </c>
      <c r="BA13">
        <v>0</v>
      </c>
      <c r="BK13">
        <v>430</v>
      </c>
      <c r="BL13" t="s">
        <v>17</v>
      </c>
      <c r="BP13" t="s">
        <v>408</v>
      </c>
      <c r="BQ13">
        <f>20+10</f>
        <v>30</v>
      </c>
      <c r="BS13" t="s">
        <v>17</v>
      </c>
      <c r="BT13">
        <v>8290</v>
      </c>
    </row>
    <row r="14" spans="2:72" ht="15.75" thickBot="1" x14ac:dyDescent="0.3">
      <c r="B14" s="22">
        <f>B13+1</f>
        <v>2031</v>
      </c>
      <c r="C14" s="39" cm="1">
        <f t="array" ref="C14">TREND(C$5:C$6,$B$5:$B$6,$B14)</f>
        <v>103306.56348832324</v>
      </c>
      <c r="D14" s="40" cm="1">
        <f t="array" ref="D14">TREND(D$5:D$6,$B$5:$B$6,$B14)</f>
        <v>19987.937495062128</v>
      </c>
      <c r="E14" s="41">
        <f t="shared" ref="E14:E32" si="2">D14-C14</f>
        <v>-83318.625993261114</v>
      </c>
      <c r="G14" s="244"/>
      <c r="H14" s="243"/>
      <c r="I14" s="243"/>
      <c r="J14" s="243"/>
      <c r="K14" s="243"/>
      <c r="L14" s="243"/>
      <c r="M14" s="244"/>
      <c r="N14" s="243"/>
      <c r="O14" s="243"/>
      <c r="P14" s="243"/>
      <c r="Q14" s="243"/>
      <c r="AZ14" t="s">
        <v>410</v>
      </c>
      <c r="BA14">
        <f>10+25</f>
        <v>35</v>
      </c>
      <c r="BF14" t="s">
        <v>17</v>
      </c>
      <c r="BG14" s="61">
        <f>BG15/BI8</f>
        <v>6951.2542247864449</v>
      </c>
      <c r="BK14">
        <f>SUM(BH20,BK17,BK22)</f>
        <v>120</v>
      </c>
      <c r="BL14" t="s">
        <v>413</v>
      </c>
      <c r="BP14" t="s">
        <v>409</v>
      </c>
      <c r="BQ14">
        <f>10+15</f>
        <v>25</v>
      </c>
      <c r="BS14" t="s">
        <v>413</v>
      </c>
      <c r="BT14">
        <f>SUM(BT15:BT17,BQ15,BU23,BQ21)</f>
        <v>1055</v>
      </c>
    </row>
    <row r="15" spans="2:72" x14ac:dyDescent="0.25">
      <c r="B15" s="22">
        <f t="shared" ref="B15:B31" si="3">B14+1</f>
        <v>2032</v>
      </c>
      <c r="C15" s="39" cm="1">
        <f t="array" ref="C15">TREND(C$5:C$6,$B$5:$B$6,$B15)</f>
        <v>114432.41588527337</v>
      </c>
      <c r="D15" s="40" cm="1">
        <f t="array" ref="D15">TREND(D$5:D$6,$B$5:$B$6,$B15)</f>
        <v>22140.58718914073</v>
      </c>
      <c r="E15" s="41">
        <f t="shared" si="2"/>
        <v>-92291.828696132638</v>
      </c>
      <c r="G15" s="414" t="s">
        <v>364</v>
      </c>
      <c r="H15" s="673" t="s">
        <v>138</v>
      </c>
      <c r="I15" s="673"/>
      <c r="J15" s="673" t="s">
        <v>137</v>
      </c>
      <c r="K15" s="674"/>
      <c r="L15" s="243"/>
      <c r="BF15" t="s">
        <v>413</v>
      </c>
      <c r="BG15">
        <f>SUM(BD17:BD18,BH20:BH21,AZ20,BA14,BK18,BK21)</f>
        <v>1640</v>
      </c>
      <c r="BP15" t="s">
        <v>410</v>
      </c>
      <c r="BQ15">
        <f>20+50</f>
        <v>70</v>
      </c>
      <c r="BS15" t="s">
        <v>408</v>
      </c>
      <c r="BT15">
        <f>10+15</f>
        <v>25</v>
      </c>
    </row>
    <row r="16" spans="2:72" ht="15.75" thickBot="1" x14ac:dyDescent="0.3">
      <c r="B16" s="22">
        <f t="shared" si="3"/>
        <v>2033</v>
      </c>
      <c r="C16" s="39" cm="1">
        <f t="array" ref="C16">TREND(C$5:C$6,$B$5:$B$6,$B16)</f>
        <v>125558.26828222349</v>
      </c>
      <c r="D16" s="40" cm="1">
        <f t="array" ref="D16">TREND(D$5:D$6,$B$5:$B$6,$B16)</f>
        <v>24293.236883220263</v>
      </c>
      <c r="E16" s="41">
        <f t="shared" si="2"/>
        <v>-101265.03139900323</v>
      </c>
      <c r="G16" s="409" t="s">
        <v>309</v>
      </c>
      <c r="H16" s="245" t="s">
        <v>380</v>
      </c>
      <c r="I16" s="245" t="s">
        <v>136</v>
      </c>
      <c r="J16" s="245" t="s">
        <v>135</v>
      </c>
      <c r="K16" s="410" t="s">
        <v>134</v>
      </c>
      <c r="L16" s="243"/>
      <c r="BS16" t="s">
        <v>409</v>
      </c>
      <c r="BT16">
        <f>265+225</f>
        <v>490</v>
      </c>
    </row>
    <row r="17" spans="2:73" x14ac:dyDescent="0.25">
      <c r="B17" s="22">
        <f t="shared" si="3"/>
        <v>2034</v>
      </c>
      <c r="C17" s="39" cm="1">
        <f t="array" ref="C17">TREND(C$5:C$6,$B$5:$B$6,$B17)</f>
        <v>136684.12067917362</v>
      </c>
      <c r="D17" s="40" cm="1">
        <f t="array" ref="D17">TREND(D$5:D$6,$B$5:$B$6,$B17)</f>
        <v>26445.886577299796</v>
      </c>
      <c r="E17" s="41">
        <f t="shared" si="2"/>
        <v>-110238.23410187382</v>
      </c>
      <c r="G17" s="406" t="s">
        <v>133</v>
      </c>
      <c r="H17" s="407">
        <f>N9</f>
        <v>1834</v>
      </c>
      <c r="I17" s="408">
        <v>50</v>
      </c>
      <c r="J17" s="407">
        <f>P9</f>
        <v>1033</v>
      </c>
      <c r="K17" s="493">
        <v>13</v>
      </c>
      <c r="L17" s="243"/>
      <c r="AX17" t="s">
        <v>17</v>
      </c>
      <c r="AY17" t="s">
        <v>413</v>
      </c>
      <c r="AZ17" t="s">
        <v>414</v>
      </c>
      <c r="BD17">
        <f>130+140</f>
        <v>270</v>
      </c>
      <c r="BE17" t="s">
        <v>409</v>
      </c>
      <c r="BK17">
        <f>20+45</f>
        <v>65</v>
      </c>
      <c r="BL17" t="s">
        <v>408</v>
      </c>
      <c r="BS17" t="s">
        <v>410</v>
      </c>
      <c r="BT17">
        <f>5+5</f>
        <v>10</v>
      </c>
    </row>
    <row r="18" spans="2:73" x14ac:dyDescent="0.25">
      <c r="B18" s="22">
        <f t="shared" si="3"/>
        <v>2035</v>
      </c>
      <c r="C18" s="39" cm="1">
        <f t="array" ref="C18">TREND(C$5:C$6,$B$5:$B$6,$B18)</f>
        <v>147809.97307612374</v>
      </c>
      <c r="D18" s="40" cm="1">
        <f t="array" ref="D18">TREND(D$5:D$6,$B$5:$B$6,$B18)</f>
        <v>28598.536271378398</v>
      </c>
      <c r="E18" s="41">
        <f t="shared" si="2"/>
        <v>-119211.43680474535</v>
      </c>
      <c r="G18" s="409" t="s">
        <v>132</v>
      </c>
      <c r="H18" s="246">
        <f>N10</f>
        <v>1813</v>
      </c>
      <c r="I18" s="247">
        <v>10</v>
      </c>
      <c r="J18" s="246">
        <f>P10</f>
        <v>890</v>
      </c>
      <c r="K18" s="494">
        <v>86</v>
      </c>
      <c r="L18" s="243"/>
      <c r="AX18">
        <v>3210</v>
      </c>
      <c r="AY18">
        <f>SUM(AZ20:AZ21,BA14,BD17)</f>
        <v>615</v>
      </c>
      <c r="AZ18">
        <f>AY18/AX18</f>
        <v>0.19158878504672897</v>
      </c>
      <c r="BD18">
        <f>195+220</f>
        <v>415</v>
      </c>
      <c r="BE18" t="s">
        <v>410</v>
      </c>
      <c r="BK18">
        <f>225+275</f>
        <v>500</v>
      </c>
      <c r="BL18" t="s">
        <v>409</v>
      </c>
    </row>
    <row r="19" spans="2:73" ht="15.75" thickBot="1" x14ac:dyDescent="0.3">
      <c r="B19" s="22">
        <f>B18+1</f>
        <v>2036</v>
      </c>
      <c r="C19" s="39" cm="1">
        <f t="array" ref="C19">TREND(C$5:C$6,$B$5:$B$6,$B19)</f>
        <v>158935.82547307014</v>
      </c>
      <c r="D19" s="40" cm="1">
        <f t="array" ref="D19">TREND(D$5:D$6,$B$5:$B$6,$B19)</f>
        <v>30751.185965457931</v>
      </c>
      <c r="E19" s="41">
        <f t="shared" si="2"/>
        <v>-128184.63950761221</v>
      </c>
      <c r="G19" s="411" t="s">
        <v>131</v>
      </c>
      <c r="H19" s="412">
        <f>N11</f>
        <v>1812</v>
      </c>
      <c r="I19" s="413">
        <v>9</v>
      </c>
      <c r="J19" s="412">
        <f>P11</f>
        <v>925</v>
      </c>
      <c r="K19" s="495">
        <v>81</v>
      </c>
    </row>
    <row r="20" spans="2:73" x14ac:dyDescent="0.25">
      <c r="B20" s="22">
        <f t="shared" si="3"/>
        <v>2037</v>
      </c>
      <c r="C20" s="39" cm="1">
        <f t="array" ref="C20">TREND(C$5:C$6,$B$5:$B$6,$B20)</f>
        <v>170061.67787002027</v>
      </c>
      <c r="D20" s="40" cm="1">
        <f t="array" ref="D20">TREND(D$5:D$6,$B$5:$B$6,$B20)</f>
        <v>32903.835659536533</v>
      </c>
      <c r="E20" s="41">
        <f t="shared" si="2"/>
        <v>-137157.84221048374</v>
      </c>
      <c r="G20" s="414"/>
      <c r="H20" s="415"/>
      <c r="I20" s="420">
        <f>SUMPRODUCT(H17:H19,I17:I19)/3600</f>
        <v>35.038333333333334</v>
      </c>
      <c r="J20" s="416"/>
      <c r="K20" s="496">
        <f>SUMPRODUCT(J17:J19,K17:K19)/3600</f>
        <v>45.803888888888892</v>
      </c>
      <c r="N20">
        <f>H29</f>
        <v>410</v>
      </c>
      <c r="O20">
        <f>H28</f>
        <v>430</v>
      </c>
      <c r="AY20" t="s">
        <v>409</v>
      </c>
      <c r="AZ20">
        <f>60+90</f>
        <v>150</v>
      </c>
      <c r="BG20" t="s">
        <v>410</v>
      </c>
      <c r="BH20">
        <f>30+15</f>
        <v>45</v>
      </c>
      <c r="BP20" t="s">
        <v>410</v>
      </c>
      <c r="BQ20">
        <f>25+65</f>
        <v>90</v>
      </c>
    </row>
    <row r="21" spans="2:73" ht="15.75" thickBot="1" x14ac:dyDescent="0.3">
      <c r="B21" s="22">
        <f t="shared" si="3"/>
        <v>2038</v>
      </c>
      <c r="C21" s="39" cm="1">
        <f t="array" ref="C21">TREND(C$5:C$6,$B$5:$B$6,$B21)</f>
        <v>181187.5302669704</v>
      </c>
      <c r="D21" s="40" cm="1">
        <f t="array" ref="D21">TREND(D$5:D$6,$B$5:$B$6,$B21)</f>
        <v>35056.485353616066</v>
      </c>
      <c r="E21" s="41">
        <f t="shared" si="2"/>
        <v>-146131.04491335433</v>
      </c>
      <c r="G21" s="417" t="s">
        <v>307</v>
      </c>
      <c r="H21" s="421">
        <f>SUM(I20,K20)</f>
        <v>80.842222222222233</v>
      </c>
      <c r="I21" s="418"/>
      <c r="J21" s="418"/>
      <c r="K21" s="419"/>
      <c r="AY21" t="s">
        <v>408</v>
      </c>
      <c r="AZ21">
        <f>120+40</f>
        <v>160</v>
      </c>
      <c r="BG21" t="s">
        <v>409</v>
      </c>
      <c r="BH21">
        <f>55+85</f>
        <v>140</v>
      </c>
      <c r="BK21">
        <f>75+10</f>
        <v>85</v>
      </c>
      <c r="BL21" t="s">
        <v>410</v>
      </c>
      <c r="BP21" t="s">
        <v>409</v>
      </c>
      <c r="BQ21">
        <f>220+225</f>
        <v>445</v>
      </c>
      <c r="BT21" t="s">
        <v>410</v>
      </c>
      <c r="BU21">
        <f>5</f>
        <v>5</v>
      </c>
    </row>
    <row r="22" spans="2:73" x14ac:dyDescent="0.25">
      <c r="B22" s="22">
        <f t="shared" si="3"/>
        <v>2039</v>
      </c>
      <c r="C22" s="39" cm="1">
        <f t="array" ref="C22">TREND(C$5:C$6,$B$5:$B$6,$B22)</f>
        <v>192313.38266392052</v>
      </c>
      <c r="D22" s="40" cm="1">
        <f t="array" ref="D22">TREND(D$5:D$6,$B$5:$B$6,$B22)</f>
        <v>37209.135047694668</v>
      </c>
      <c r="E22" s="41">
        <f t="shared" si="2"/>
        <v>-155104.24761622585</v>
      </c>
      <c r="L22" t="s">
        <v>408</v>
      </c>
      <c r="N22">
        <f>15+127</f>
        <v>142</v>
      </c>
      <c r="BK22">
        <f>5+5</f>
        <v>10</v>
      </c>
      <c r="BL22" t="s">
        <v>409</v>
      </c>
      <c r="BP22" t="s">
        <v>408</v>
      </c>
      <c r="BQ22">
        <f>10+5</f>
        <v>15</v>
      </c>
      <c r="BT22" t="s">
        <v>409</v>
      </c>
      <c r="BU22">
        <f>5+10</f>
        <v>15</v>
      </c>
    </row>
    <row r="23" spans="2:73" x14ac:dyDescent="0.25">
      <c r="B23" s="22">
        <f t="shared" si="3"/>
        <v>2040</v>
      </c>
      <c r="C23" s="39" cm="1">
        <f t="array" ref="C23">TREND(C$5:C$6,$B$5:$B$6,$B23)</f>
        <v>203439.23506087065</v>
      </c>
      <c r="D23" s="40" cm="1">
        <f t="array" ref="D23">TREND(D$5:D$6,$B$5:$B$6,$B23)</f>
        <v>39361.784741774201</v>
      </c>
      <c r="E23" s="41">
        <f t="shared" si="2"/>
        <v>-164077.45031909645</v>
      </c>
      <c r="L23" t="s">
        <v>410</v>
      </c>
      <c r="N23">
        <f>137+62</f>
        <v>199</v>
      </c>
      <c r="AY23" t="s">
        <v>17</v>
      </c>
      <c r="AZ23" t="s">
        <v>413</v>
      </c>
      <c r="BA23" t="s">
        <v>414</v>
      </c>
      <c r="BK23">
        <f>195+210</f>
        <v>405</v>
      </c>
      <c r="BL23" t="s">
        <v>408</v>
      </c>
      <c r="BP23" t="s">
        <v>413</v>
      </c>
      <c r="BQ23">
        <f>SUM(BQ20:BQ22,BT16,BU21,BK17:BK18,BK23,BH21,BQ13)</f>
        <v>2185</v>
      </c>
      <c r="BT23" t="s">
        <v>408</v>
      </c>
      <c r="BU23">
        <f>5+10</f>
        <v>15</v>
      </c>
    </row>
    <row r="24" spans="2:73" ht="15" customHeight="1" thickBot="1" x14ac:dyDescent="0.3">
      <c r="B24" s="22">
        <f t="shared" si="3"/>
        <v>2041</v>
      </c>
      <c r="C24" s="39" cm="1">
        <f t="array" ref="C24">TREND(C$5:C$6,$B$5:$B$6,$B24)</f>
        <v>214565.08745781705</v>
      </c>
      <c r="D24" s="40" cm="1">
        <f t="array" ref="D24">TREND(D$5:D$6,$B$5:$B$6,$B24)</f>
        <v>41514.434435852803</v>
      </c>
      <c r="E24" s="41">
        <f t="shared" si="2"/>
        <v>-173050.65302196424</v>
      </c>
      <c r="H24" s="61" t="s">
        <v>17</v>
      </c>
      <c r="I24" s="169" t="s">
        <v>407</v>
      </c>
      <c r="L24" t="s">
        <v>409</v>
      </c>
      <c r="N24">
        <v>0</v>
      </c>
      <c r="AY24">
        <v>3385</v>
      </c>
      <c r="AZ24">
        <f>AZ21+BD18</f>
        <v>575</v>
      </c>
      <c r="BA24">
        <f>AZ24/AY24</f>
        <v>0.16986706056129985</v>
      </c>
      <c r="BK24">
        <f>SUM(BK21:BK23)</f>
        <v>500</v>
      </c>
      <c r="BL24" t="s">
        <v>413</v>
      </c>
      <c r="BP24" t="s">
        <v>17</v>
      </c>
      <c r="BQ24" s="61">
        <f>BQ23/BS30</f>
        <v>14814.738057560144</v>
      </c>
      <c r="BT24" t="s">
        <v>413</v>
      </c>
      <c r="BU24">
        <f>SUM(BU21:BU23,BT17,BQ14,BQ22)</f>
        <v>85</v>
      </c>
    </row>
    <row r="25" spans="2:73" x14ac:dyDescent="0.25">
      <c r="B25" s="22">
        <f t="shared" si="3"/>
        <v>2042</v>
      </c>
      <c r="C25" s="39" cm="1">
        <f t="array" ref="C25">TREND(C$5:C$6,$B$5:$B$6,$B25)</f>
        <v>225690.93985476717</v>
      </c>
      <c r="D25" s="40" cm="1">
        <f t="array" ref="D25">TREND(D$5:D$6,$B$5:$B$6,$B25)</f>
        <v>43667.084129932337</v>
      </c>
      <c r="E25" s="41">
        <f t="shared" si="2"/>
        <v>-182023.85572483484</v>
      </c>
      <c r="G25" s="406" t="s">
        <v>404</v>
      </c>
      <c r="H25" s="541">
        <v>3210</v>
      </c>
      <c r="I25" s="169"/>
      <c r="BK25">
        <v>3555</v>
      </c>
      <c r="BL25" t="s">
        <v>17</v>
      </c>
      <c r="BT25" t="s">
        <v>17</v>
      </c>
      <c r="BU25">
        <v>890</v>
      </c>
    </row>
    <row r="26" spans="2:73" x14ac:dyDescent="0.25">
      <c r="B26" s="22">
        <f t="shared" si="3"/>
        <v>2043</v>
      </c>
      <c r="C26" s="39" cm="1">
        <f t="array" ref="C26">TREND(C$5:C$6,$B$5:$B$6,$B26)</f>
        <v>236816.7922517173</v>
      </c>
      <c r="D26" s="40" cm="1">
        <f t="array" ref="D26">TREND(D$5:D$6,$B$5:$B$6,$B26)</f>
        <v>45819.733824010938</v>
      </c>
      <c r="E26" s="41">
        <f t="shared" si="2"/>
        <v>-190997.05842770636</v>
      </c>
      <c r="G26" s="409" t="s">
        <v>405</v>
      </c>
      <c r="H26" s="542">
        <v>8290</v>
      </c>
      <c r="J26">
        <f>SUM(N22,L26,L27)</f>
        <v>1651</v>
      </c>
      <c r="K26" t="s">
        <v>408</v>
      </c>
      <c r="L26">
        <f>SUM(215,595)</f>
        <v>810</v>
      </c>
      <c r="N26" t="s">
        <v>411</v>
      </c>
      <c r="O26">
        <f>L27+N23</f>
        <v>898</v>
      </c>
      <c r="P26">
        <f>79+129</f>
        <v>208</v>
      </c>
      <c r="Q26" t="s">
        <v>408</v>
      </c>
      <c r="BK26">
        <f>BK24/BK25</f>
        <v>0.14064697609001406</v>
      </c>
      <c r="BL26" t="s">
        <v>414</v>
      </c>
      <c r="BT26" t="s">
        <v>414</v>
      </c>
      <c r="BU26">
        <f>BU24/BU25</f>
        <v>9.5505617977528087E-2</v>
      </c>
    </row>
    <row r="27" spans="2:73" x14ac:dyDescent="0.25">
      <c r="B27" s="22">
        <f t="shared" si="3"/>
        <v>2044</v>
      </c>
      <c r="C27" s="39" cm="1">
        <f t="array" ref="C27">TREND(C$5:C$6,$B$5:$B$6,$B27)</f>
        <v>247942.64464866742</v>
      </c>
      <c r="D27" s="40" cm="1">
        <f t="array" ref="D27">TREND(D$5:D$6,$B$5:$B$6,$B27)</f>
        <v>47972.383518090472</v>
      </c>
      <c r="E27" s="41">
        <f t="shared" si="2"/>
        <v>-199970.26113057695</v>
      </c>
      <c r="G27" s="409" t="s">
        <v>142</v>
      </c>
      <c r="H27" s="542">
        <v>3555</v>
      </c>
      <c r="I27">
        <v>530</v>
      </c>
      <c r="J27" s="61">
        <f>H25</f>
        <v>3210</v>
      </c>
      <c r="K27" t="s">
        <v>409</v>
      </c>
      <c r="L27">
        <f>410+289</f>
        <v>699</v>
      </c>
      <c r="N27" t="s">
        <v>412</v>
      </c>
      <c r="O27">
        <f>P27+O31</f>
        <v>2106</v>
      </c>
      <c r="P27">
        <f>903+483</f>
        <v>1386</v>
      </c>
      <c r="Q27" t="s">
        <v>409</v>
      </c>
      <c r="R27" t="s">
        <v>17</v>
      </c>
    </row>
    <row r="28" spans="2:73" x14ac:dyDescent="0.25">
      <c r="B28" s="22">
        <f t="shared" si="3"/>
        <v>2045</v>
      </c>
      <c r="C28" s="39" cm="1">
        <f t="array" ref="C28">TREND(C$5:C$6,$B$5:$B$6,$B28)</f>
        <v>259068.49704561755</v>
      </c>
      <c r="D28" s="40" cm="1">
        <f t="array" ref="D28">TREND(D$5:D$6,$B$5:$B$6,$B28)</f>
        <v>50125.033212169074</v>
      </c>
      <c r="E28" s="41">
        <f t="shared" si="2"/>
        <v>-208943.46383344848</v>
      </c>
      <c r="G28" s="409" t="s">
        <v>144</v>
      </c>
      <c r="H28" s="542">
        <v>430</v>
      </c>
      <c r="I28">
        <v>70</v>
      </c>
      <c r="N28" t="s">
        <v>5</v>
      </c>
      <c r="O28">
        <f>SUM(O26:O27)</f>
        <v>3004</v>
      </c>
      <c r="R28">
        <f>H26</f>
        <v>8290</v>
      </c>
    </row>
    <row r="29" spans="2:73" x14ac:dyDescent="0.25">
      <c r="B29" s="22">
        <f t="shared" si="3"/>
        <v>2046</v>
      </c>
      <c r="C29" s="39" cm="1">
        <f t="array" ref="C29">TREND(C$5:C$6,$B$5:$B$6,$B29)</f>
        <v>270194.34944256395</v>
      </c>
      <c r="D29" s="40" cm="1">
        <f t="array" ref="D29">TREND(D$5:D$6,$B$5:$B$6,$B29)</f>
        <v>52277.682906248607</v>
      </c>
      <c r="E29" s="41">
        <f t="shared" si="2"/>
        <v>-217916.66653631534</v>
      </c>
      <c r="G29" s="409" t="s">
        <v>143</v>
      </c>
      <c r="H29" s="542">
        <v>410</v>
      </c>
      <c r="I29">
        <v>55</v>
      </c>
    </row>
    <row r="30" spans="2:73" ht="15.75" thickBot="1" x14ac:dyDescent="0.3">
      <c r="B30" s="22">
        <f t="shared" si="3"/>
        <v>2047</v>
      </c>
      <c r="C30" s="39" cm="1">
        <f t="array" ref="C30">TREND(C$5:C$6,$B$5:$B$6,$B30)</f>
        <v>281320.20183951408</v>
      </c>
      <c r="D30" s="40" cm="1">
        <f t="array" ref="D30">TREND(D$5:D$6,$B$5:$B$6,$B30)</f>
        <v>54430.332600327209</v>
      </c>
      <c r="E30" s="41">
        <f t="shared" si="2"/>
        <v>-226889.86923918687</v>
      </c>
      <c r="G30" s="411" t="s">
        <v>406</v>
      </c>
      <c r="H30" s="543">
        <v>3385</v>
      </c>
      <c r="I30">
        <v>365</v>
      </c>
      <c r="O30">
        <f>510+475</f>
        <v>985</v>
      </c>
      <c r="P30" t="s">
        <v>408</v>
      </c>
      <c r="BP30">
        <f>BQ10</f>
        <v>0.15548780487804878</v>
      </c>
      <c r="BQ30">
        <f>BQ15</f>
        <v>70</v>
      </c>
      <c r="BR30">
        <f>BQ30/SUM($BQ$30:$BQ$34)</f>
        <v>6.3063063063063057E-2</v>
      </c>
      <c r="BS30">
        <f>SUMPRODUCT(BP30:BP34,BR30:BR34)</f>
        <v>0.14748826415361205</v>
      </c>
    </row>
    <row r="31" spans="2:73" x14ac:dyDescent="0.25">
      <c r="B31" s="22">
        <f t="shared" si="3"/>
        <v>2048</v>
      </c>
      <c r="C31" s="39" cm="1">
        <f t="array" ref="C31">TREND(C$5:C$6,$B$5:$B$6,$B31)</f>
        <v>292446.0542364642</v>
      </c>
      <c r="D31" s="40" cm="1">
        <f t="array" ref="D31">TREND(D$5:D$6,$B$5:$B$6,$B31)</f>
        <v>56582.982294406742</v>
      </c>
      <c r="E31" s="41">
        <f t="shared" si="2"/>
        <v>-235863.07194205746</v>
      </c>
      <c r="O31">
        <f>526+194</f>
        <v>720</v>
      </c>
      <c r="P31" t="s">
        <v>410</v>
      </c>
      <c r="BP31">
        <f>BU26</f>
        <v>9.5505617977528087E-2</v>
      </c>
      <c r="BQ31">
        <f>BU21</f>
        <v>5</v>
      </c>
      <c r="BR31">
        <f t="shared" ref="BR31:BR34" si="4">BQ31/SUM($BQ$30:$BQ$34)</f>
        <v>4.5045045045045045E-3</v>
      </c>
    </row>
    <row r="32" spans="2:73" ht="15.75" thickBot="1" x14ac:dyDescent="0.3">
      <c r="B32" s="28">
        <f>B31+1</f>
        <v>2049</v>
      </c>
      <c r="C32" s="42" cm="1">
        <f t="array" ref="C32">TREND(C$5:C$6,$B$5:$B$6,$B32)</f>
        <v>303571.90663341433</v>
      </c>
      <c r="D32" s="43" cm="1">
        <f t="array" ref="D32">TREND(D$5:D$6,$B$5:$B$6,$B32)</f>
        <v>58735.631988486275</v>
      </c>
      <c r="E32" s="44">
        <f t="shared" si="2"/>
        <v>-244836.27464492805</v>
      </c>
      <c r="O32">
        <v>0</v>
      </c>
      <c r="P32" t="s">
        <v>409</v>
      </c>
      <c r="BC32">
        <f>BA10+BB51</f>
        <v>410</v>
      </c>
      <c r="BH32">
        <f>BK13+BB52</f>
        <v>430</v>
      </c>
      <c r="BP32">
        <f>BT12</f>
        <v>0.12726176115802171</v>
      </c>
      <c r="BQ32">
        <f>BT16</f>
        <v>490</v>
      </c>
      <c r="BR32">
        <f t="shared" si="4"/>
        <v>0.44144144144144143</v>
      </c>
    </row>
    <row r="33" spans="1:70" x14ac:dyDescent="0.25">
      <c r="N33">
        <f>H30</f>
        <v>3385</v>
      </c>
      <c r="O33">
        <f>H27</f>
        <v>3555</v>
      </c>
      <c r="BL33">
        <f>BQ11+BB55</f>
        <v>1640</v>
      </c>
      <c r="BP33">
        <f>BG15/BG14</f>
        <v>0.23592864639479988</v>
      </c>
      <c r="BQ33">
        <f>BH21</f>
        <v>140</v>
      </c>
      <c r="BR33">
        <f t="shared" si="4"/>
        <v>0.12612612612612611</v>
      </c>
    </row>
    <row r="34" spans="1:70" x14ac:dyDescent="0.25">
      <c r="B34" s="74" t="s">
        <v>261</v>
      </c>
      <c r="C34" s="34"/>
      <c r="D34" s="34"/>
      <c r="BP34">
        <f>BK26</f>
        <v>0.14064697609001406</v>
      </c>
      <c r="BQ34">
        <f>BK23</f>
        <v>405</v>
      </c>
      <c r="BR34">
        <f t="shared" si="4"/>
        <v>0.36486486486486486</v>
      </c>
    </row>
    <row r="35" spans="1:70" x14ac:dyDescent="0.25">
      <c r="B35" s="223" t="s">
        <v>18</v>
      </c>
      <c r="C35" s="686" t="s">
        <v>355</v>
      </c>
      <c r="D35" s="686"/>
      <c r="E35" s="686"/>
      <c r="AZ35" s="61">
        <f>(BB38+BF40+BC32)/2</f>
        <v>5285.627112393222</v>
      </c>
      <c r="BI35">
        <f>SUM(BF40,BI46,BK40)/2</f>
        <v>12660.496141173295</v>
      </c>
    </row>
    <row r="36" spans="1:70" x14ac:dyDescent="0.25">
      <c r="B36" s="223"/>
      <c r="C36" s="686"/>
      <c r="D36" s="686"/>
      <c r="E36" s="686"/>
      <c r="AZ36" s="61">
        <f>SUM(BF40,BC46,BB38)/2</f>
        <v>6773.127112393222</v>
      </c>
      <c r="BI36">
        <f>SUM(BH32,BK40,BF40)/2</f>
        <v>11097.996141173295</v>
      </c>
    </row>
    <row r="37" spans="1:70" x14ac:dyDescent="0.25">
      <c r="A37" s="33"/>
      <c r="B37" s="223"/>
      <c r="C37" s="686"/>
      <c r="D37" s="686"/>
      <c r="E37" s="686"/>
      <c r="AZ37" s="61">
        <f>AZ35-AZ36</f>
        <v>-1487.5</v>
      </c>
      <c r="BF37" s="61"/>
      <c r="BI37" s="61">
        <f>BI35-BI36</f>
        <v>1562.5</v>
      </c>
    </row>
    <row r="38" spans="1:70" ht="15" customHeight="1" x14ac:dyDescent="0.25">
      <c r="B38" s="223"/>
      <c r="C38" s="686"/>
      <c r="D38" s="686"/>
      <c r="E38" s="686"/>
      <c r="BB38">
        <f>AX18+BB53</f>
        <v>3210</v>
      </c>
    </row>
    <row r="39" spans="1:70" x14ac:dyDescent="0.25">
      <c r="B39" s="223"/>
      <c r="C39" s="686"/>
      <c r="D39" s="686"/>
      <c r="E39" s="686"/>
    </row>
    <row r="40" spans="1:70" x14ac:dyDescent="0.25">
      <c r="B40" s="223" t="s">
        <v>19</v>
      </c>
      <c r="C40" s="672" t="s">
        <v>381</v>
      </c>
      <c r="D40" s="672"/>
      <c r="E40" s="672"/>
      <c r="BF40" s="61">
        <f>BG14</f>
        <v>6951.2542247864449</v>
      </c>
      <c r="BK40" s="61">
        <f>BQ24</f>
        <v>14814.738057560144</v>
      </c>
      <c r="BN40">
        <f>BT13+BB54</f>
        <v>8290</v>
      </c>
    </row>
    <row r="41" spans="1:70" x14ac:dyDescent="0.25">
      <c r="B41" s="223"/>
      <c r="C41" s="672"/>
      <c r="D41" s="672"/>
      <c r="E41" s="672"/>
      <c r="P41" s="10"/>
      <c r="Q41" s="10"/>
      <c r="AY41" s="61">
        <f>AZ35+BI35</f>
        <v>17946.123253566519</v>
      </c>
    </row>
    <row r="42" spans="1:70" x14ac:dyDescent="0.25">
      <c r="B42" s="223"/>
      <c r="C42" s="672"/>
      <c r="D42" s="672"/>
      <c r="E42" s="672"/>
      <c r="P42" s="10"/>
      <c r="Q42" s="10"/>
      <c r="AY42" s="61">
        <f>(BB38+BK40)/2+BH32+BC46</f>
        <v>12827.369028780071</v>
      </c>
    </row>
    <row r="43" spans="1:70" ht="15" customHeight="1" x14ac:dyDescent="0.25">
      <c r="B43" s="223"/>
      <c r="C43" s="672"/>
      <c r="D43" s="672"/>
      <c r="E43" s="672"/>
      <c r="P43" s="10"/>
      <c r="Q43" s="10"/>
    </row>
    <row r="44" spans="1:70" x14ac:dyDescent="0.25">
      <c r="A44" s="33"/>
      <c r="B44" s="223"/>
      <c r="C44" s="672"/>
      <c r="D44" s="672"/>
      <c r="E44" s="672"/>
      <c r="P44" s="10"/>
      <c r="Q44" s="10"/>
      <c r="BP44">
        <f>SUM(BM45,BN40,BK40,BL33)/2</f>
        <v>12817.369028780071</v>
      </c>
    </row>
    <row r="45" spans="1:70" x14ac:dyDescent="0.25">
      <c r="B45" s="223"/>
      <c r="C45" s="672"/>
      <c r="D45" s="672"/>
      <c r="E45" s="672"/>
      <c r="P45" s="10"/>
      <c r="Q45" s="10"/>
      <c r="BM45">
        <f>BU25+BB56</f>
        <v>890</v>
      </c>
      <c r="BP45">
        <f>SUM(BM45,BN40,BK40,BL33)/2</f>
        <v>12817.369028780071</v>
      </c>
    </row>
    <row r="46" spans="1:70" x14ac:dyDescent="0.25">
      <c r="B46" s="223"/>
      <c r="C46" s="222"/>
      <c r="D46" s="222"/>
      <c r="P46" s="10"/>
      <c r="Q46" s="10"/>
      <c r="BC46" s="61">
        <f>AY24+BB49</f>
        <v>3385</v>
      </c>
      <c r="BI46" s="61">
        <f>BK25+BB50</f>
        <v>3555</v>
      </c>
    </row>
    <row r="47" spans="1:70" x14ac:dyDescent="0.25">
      <c r="B47" s="223"/>
      <c r="C47" s="222"/>
      <c r="D47" s="222"/>
    </row>
    <row r="48" spans="1:70" x14ac:dyDescent="0.25">
      <c r="B48" s="223"/>
      <c r="C48" s="222"/>
      <c r="D48" s="222"/>
      <c r="BP48" s="61"/>
    </row>
    <row r="49" spans="1:56" x14ac:dyDescent="0.25">
      <c r="B49" s="223"/>
      <c r="C49" s="222"/>
      <c r="D49" s="222"/>
      <c r="AZ49" s="61">
        <f>SQRT(AZ37^2+BI37^2)</f>
        <v>2157.327629267284</v>
      </c>
      <c r="BB49" s="388">
        <v>0</v>
      </c>
    </row>
    <row r="50" spans="1:56" s="10" customFormat="1" x14ac:dyDescent="0.25">
      <c r="A50"/>
      <c r="B50" s="223"/>
      <c r="C50" s="222"/>
      <c r="D50" s="222"/>
      <c r="F50"/>
      <c r="G50"/>
      <c r="H50"/>
      <c r="I50"/>
      <c r="J50"/>
      <c r="K50"/>
      <c r="L50"/>
      <c r="M50"/>
      <c r="N50"/>
      <c r="O50"/>
      <c r="BB50" s="388">
        <v>0</v>
      </c>
    </row>
    <row r="51" spans="1:56" s="10" customFormat="1" x14ac:dyDescent="0.25">
      <c r="A51"/>
      <c r="B51" s="223"/>
      <c r="C51" s="222"/>
      <c r="D51" s="222"/>
      <c r="F51"/>
      <c r="G51"/>
      <c r="H51"/>
      <c r="I51"/>
      <c r="J51"/>
      <c r="K51"/>
      <c r="L51"/>
      <c r="M51"/>
      <c r="N51"/>
      <c r="O51"/>
      <c r="P51"/>
      <c r="Q51"/>
      <c r="BB51" s="10">
        <v>0</v>
      </c>
    </row>
    <row r="52" spans="1:56" s="10" customFormat="1" x14ac:dyDescent="0.25">
      <c r="A52"/>
      <c r="B52" s="223"/>
      <c r="C52" s="222"/>
      <c r="D52" s="222"/>
      <c r="F52"/>
      <c r="G52"/>
      <c r="H52"/>
      <c r="I52"/>
      <c r="J52"/>
      <c r="K52"/>
      <c r="L52"/>
      <c r="M52"/>
      <c r="N52"/>
      <c r="O52"/>
      <c r="P52"/>
      <c r="Q52"/>
      <c r="BB52" s="10">
        <v>0</v>
      </c>
    </row>
    <row r="53" spans="1:56" s="10" customFormat="1" x14ac:dyDescent="0.25">
      <c r="A53"/>
      <c r="B53" s="33"/>
      <c r="F53"/>
      <c r="G53"/>
      <c r="H53"/>
      <c r="I53"/>
      <c r="J53"/>
      <c r="K53"/>
      <c r="L53"/>
      <c r="M53"/>
      <c r="N53"/>
      <c r="O53"/>
      <c r="P53"/>
      <c r="Q53"/>
      <c r="BB53" s="10">
        <v>0</v>
      </c>
    </row>
    <row r="54" spans="1:56" s="10" customFormat="1" x14ac:dyDescent="0.25">
      <c r="A54"/>
      <c r="B54"/>
      <c r="F54"/>
      <c r="G54"/>
      <c r="H54"/>
      <c r="I54"/>
      <c r="J54"/>
      <c r="K54"/>
      <c r="L54"/>
      <c r="M54"/>
      <c r="N54"/>
      <c r="O54"/>
      <c r="P54"/>
      <c r="Q54"/>
      <c r="BB54" s="10">
        <v>0</v>
      </c>
      <c r="BD54" s="10">
        <f>SUM(BI46,BC32,BK40/2,BB38/2)</f>
        <v>12977.369028780071</v>
      </c>
    </row>
    <row r="55" spans="1:56" s="10" customFormat="1" x14ac:dyDescent="0.25">
      <c r="A55"/>
      <c r="B55"/>
      <c r="F55"/>
      <c r="G55"/>
      <c r="H55"/>
      <c r="I55"/>
      <c r="J55"/>
      <c r="K55"/>
      <c r="L55"/>
      <c r="M55"/>
      <c r="N55"/>
      <c r="O55"/>
      <c r="P55"/>
      <c r="Q55"/>
      <c r="BB55" s="10">
        <v>0</v>
      </c>
      <c r="BD55" s="10">
        <f>BC46+BH32+BK40/2+BB38/2</f>
        <v>12827.369028780071</v>
      </c>
    </row>
    <row r="56" spans="1:56" x14ac:dyDescent="0.25">
      <c r="BB56" s="10">
        <v>0</v>
      </c>
    </row>
    <row r="59" spans="1:56" s="10" customFormat="1" x14ac:dyDescent="0.25">
      <c r="A59"/>
      <c r="B59"/>
      <c r="F59"/>
      <c r="G59"/>
      <c r="H59"/>
      <c r="I59"/>
      <c r="J59"/>
      <c r="K59"/>
      <c r="L59"/>
      <c r="M59"/>
      <c r="N59"/>
      <c r="O59"/>
      <c r="P59"/>
      <c r="Q59"/>
    </row>
  </sheetData>
  <mergeCells count="12">
    <mergeCell ref="G2:H2"/>
    <mergeCell ref="C2:E2"/>
    <mergeCell ref="B10:B12"/>
    <mergeCell ref="C10:E11"/>
    <mergeCell ref="C35:E39"/>
    <mergeCell ref="C40:E45"/>
    <mergeCell ref="N7:O7"/>
    <mergeCell ref="P7:Q7"/>
    <mergeCell ref="H15:I15"/>
    <mergeCell ref="J15:K15"/>
    <mergeCell ref="H7:I7"/>
    <mergeCell ref="J7:K7"/>
  </mergeCells>
  <pageMargins left="0.25" right="0.25" top="0.75" bottom="0.75" header="0.3" footer="0.3"/>
  <pageSetup paperSize="3"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8D05CF-FB88-4DFD-9914-FA4FF202E498}">
  <sheetPr>
    <tabColor rgb="FF00B050"/>
    <pageSetUpPr fitToPage="1"/>
  </sheetPr>
  <dimension ref="A1:AC69"/>
  <sheetViews>
    <sheetView view="pageBreakPreview" zoomScale="85" zoomScaleNormal="70" zoomScaleSheetLayoutView="85" workbookViewId="0">
      <selection activeCell="H31" sqref="H31"/>
    </sheetView>
  </sheetViews>
  <sheetFormatPr defaultRowHeight="15" x14ac:dyDescent="0.25"/>
  <cols>
    <col min="2" max="2" width="8" customWidth="1"/>
    <col min="3" max="3" width="12.85546875" customWidth="1"/>
    <col min="4" max="5" width="18.5703125" customWidth="1"/>
    <col min="6" max="9" width="15.7109375" customWidth="1"/>
    <col min="10" max="10" width="16.140625" customWidth="1"/>
    <col min="11" max="14" width="15.7109375" customWidth="1"/>
    <col min="15" max="15" width="17.7109375" customWidth="1"/>
    <col min="16" max="16" width="12.5703125" customWidth="1"/>
    <col min="17" max="21" width="15.42578125" customWidth="1"/>
    <col min="22" max="22" width="21.85546875" customWidth="1"/>
    <col min="23" max="23" width="25.140625" customWidth="1"/>
    <col min="24" max="24" width="19.140625" customWidth="1"/>
    <col min="25" max="25" width="18.140625" customWidth="1"/>
    <col min="26" max="26" width="24.5703125" customWidth="1"/>
    <col min="27" max="29" width="13.140625" customWidth="1"/>
  </cols>
  <sheetData>
    <row r="1" spans="2:29" ht="15.75" thickBot="1" x14ac:dyDescent="0.3">
      <c r="B1" s="8" t="s">
        <v>76</v>
      </c>
      <c r="C1" s="8"/>
      <c r="D1" s="8"/>
      <c r="E1" s="8"/>
    </row>
    <row r="2" spans="2:29" ht="15.75" thickBot="1" x14ac:dyDescent="0.3">
      <c r="C2" s="702" t="s">
        <v>77</v>
      </c>
      <c r="D2" s="703"/>
      <c r="E2" s="704"/>
      <c r="F2" s="705" t="s">
        <v>78</v>
      </c>
      <c r="G2" s="706"/>
      <c r="H2" s="706"/>
      <c r="I2" s="706"/>
      <c r="J2" s="706"/>
      <c r="K2" s="706"/>
      <c r="L2" s="706"/>
      <c r="M2" s="706"/>
      <c r="N2" s="706"/>
      <c r="O2" s="135"/>
    </row>
    <row r="3" spans="2:29" ht="28.5" customHeight="1" x14ac:dyDescent="0.25">
      <c r="B3" s="687" t="s">
        <v>8</v>
      </c>
      <c r="C3" s="689" t="s">
        <v>79</v>
      </c>
      <c r="D3" s="691" t="s">
        <v>268</v>
      </c>
      <c r="E3" s="693" t="s">
        <v>80</v>
      </c>
      <c r="F3" s="689" t="s">
        <v>287</v>
      </c>
      <c r="G3" s="691" t="s">
        <v>81</v>
      </c>
      <c r="H3" s="707" t="s">
        <v>82</v>
      </c>
      <c r="I3" s="696" t="s">
        <v>83</v>
      </c>
      <c r="J3" s="691" t="s">
        <v>283</v>
      </c>
      <c r="K3" s="707" t="s">
        <v>284</v>
      </c>
      <c r="L3" s="696" t="s">
        <v>285</v>
      </c>
      <c r="M3" s="689" t="s">
        <v>286</v>
      </c>
      <c r="N3" s="698" t="s">
        <v>37</v>
      </c>
      <c r="O3" s="700" t="s">
        <v>84</v>
      </c>
      <c r="Q3" s="136"/>
    </row>
    <row r="4" spans="2:29" ht="28.5" customHeight="1" thickBot="1" x14ac:dyDescent="0.3">
      <c r="B4" s="688"/>
      <c r="C4" s="690"/>
      <c r="D4" s="692"/>
      <c r="E4" s="694"/>
      <c r="F4" s="695"/>
      <c r="G4" s="692"/>
      <c r="H4" s="708"/>
      <c r="I4" s="697"/>
      <c r="J4" s="692"/>
      <c r="K4" s="708"/>
      <c r="L4" s="697"/>
      <c r="M4" s="690"/>
      <c r="N4" s="699"/>
      <c r="O4" s="701"/>
    </row>
    <row r="5" spans="2:29" ht="16.5" x14ac:dyDescent="0.25">
      <c r="B5" s="21">
        <f>Assumptions!D8</f>
        <v>2030</v>
      </c>
      <c r="C5" s="137">
        <f t="shared" ref="C5:C24" si="0">(F5*$U$9)</f>
        <v>-21.728175826716736</v>
      </c>
      <c r="D5" s="138">
        <f t="shared" ref="D5:D24" si="1">C5*_xlfn.XLOOKUP($B5,$Q$13:$Q$43,$U$13:$U$43)</f>
        <v>-5584.1411874662008</v>
      </c>
      <c r="E5" s="139">
        <f>D5*(1+0.02)^-($B5-Assumptions!$D$4)</f>
        <v>-4766.0107348685187</v>
      </c>
      <c r="F5" s="140">
        <f>_xlfn.XLOOKUP($B5,'Annualized Operations'!$B$13:$B$32,'Annualized Operations'!$E$13:$E$32,0,0,1)*$X$35</f>
        <v>-496032.66419348563</v>
      </c>
      <c r="G5" s="225">
        <f t="shared" ref="G5:G24" si="2">($F5*R$9)</f>
        <v>-0.23476400399383196</v>
      </c>
      <c r="H5" s="226">
        <f t="shared" ref="H5:H24" si="3">($F5*S$9)</f>
        <v>-1.2033603177516036E-3</v>
      </c>
      <c r="I5" s="227">
        <f t="shared" ref="I5:I24" si="4">($F5*T$9)</f>
        <v>-4.6214914946239123E-3</v>
      </c>
      <c r="J5" s="141">
        <f t="shared" ref="J5:J24" si="5">G5*_xlfn.XLOOKUP($B5,$Q$13:$Q$43,$R$13:$R$43)</f>
        <v>-5164.8080878643032</v>
      </c>
      <c r="K5" s="142">
        <f t="shared" ref="K5:K24" si="6">H5*_xlfn.XLOOKUP($B5,$Q$13:$Q$43,$S$13:$S$43)</f>
        <v>-74.006659541723621</v>
      </c>
      <c r="L5" s="139">
        <f t="shared" ref="L5:L24" si="7">I5*_xlfn.XLOOKUP($B5,$Q$13:$Q$43,$T$13:$T$43)</f>
        <v>-4940.3744077529618</v>
      </c>
      <c r="M5" s="143">
        <f>SUM(J5:L5)</f>
        <v>-10179.189155158989</v>
      </c>
      <c r="N5" s="144">
        <f>M5*(1+Assumptions!$D$13)^-($B5-Assumptions!$D$4)</f>
        <v>-7973.4057035176738</v>
      </c>
      <c r="O5" s="145">
        <f>N5+E5</f>
        <v>-12739.416438386193</v>
      </c>
      <c r="Q5" s="134" t="s">
        <v>269</v>
      </c>
      <c r="R5" s="134"/>
      <c r="S5" s="134"/>
      <c r="T5" s="134"/>
      <c r="U5" s="134"/>
      <c r="W5" s="8" t="s">
        <v>270</v>
      </c>
    </row>
    <row r="6" spans="2:29" ht="18" x14ac:dyDescent="0.25">
      <c r="B6" s="22">
        <f t="shared" ref="B6:B24" si="8">+B5+1</f>
        <v>2031</v>
      </c>
      <c r="C6" s="146">
        <f t="shared" si="0"/>
        <v>-24.350681926321428</v>
      </c>
      <c r="D6" s="147">
        <f t="shared" si="1"/>
        <v>-6379.8786646962144</v>
      </c>
      <c r="E6" s="145">
        <f>D6*(1+0.02)^-($B6-Assumptions!$D$4)</f>
        <v>-5338.397068313182</v>
      </c>
      <c r="F6" s="148">
        <f>_xlfn.XLOOKUP($B6,'Annualized Operations'!$B$13:$B$32,'Annualized Operations'!$E$13:$E$32,0,0,1)*$X$35</f>
        <v>-555901.87262703816</v>
      </c>
      <c r="G6" s="228">
        <f t="shared" si="2"/>
        <v>-0.2630991038821725</v>
      </c>
      <c r="H6" s="229">
        <f t="shared" si="3"/>
        <v>-1.3486012159518775E-3</v>
      </c>
      <c r="I6" s="230">
        <f t="shared" si="4"/>
        <v>-5.1792874978677707E-3</v>
      </c>
      <c r="J6" s="149">
        <f t="shared" si="5"/>
        <v>-5788.1802854077951</v>
      </c>
      <c r="K6" s="150">
        <f t="shared" si="6"/>
        <v>-82.938974781040471</v>
      </c>
      <c r="L6" s="151">
        <f t="shared" si="7"/>
        <v>-5536.6583352206471</v>
      </c>
      <c r="M6" s="152">
        <f t="shared" ref="M6:M24" si="9">SUM(J6:L6)</f>
        <v>-11407.777595409483</v>
      </c>
      <c r="N6" s="153">
        <f>M6*(1+Assumptions!$D$13)^-($B6-Assumptions!$D$4)</f>
        <v>-8667.0850455517448</v>
      </c>
      <c r="O6" s="151">
        <f t="shared" ref="O6:O24" si="10">N6+E6</f>
        <v>-14005.482113864928</v>
      </c>
      <c r="Q6" s="27" t="s">
        <v>85</v>
      </c>
      <c r="R6" s="154" t="s">
        <v>86</v>
      </c>
      <c r="S6" s="154" t="s">
        <v>87</v>
      </c>
      <c r="T6" s="154" t="s">
        <v>88</v>
      </c>
      <c r="U6" s="154" t="s">
        <v>89</v>
      </c>
      <c r="W6" s="27" t="s">
        <v>90</v>
      </c>
      <c r="X6" s="27" t="s">
        <v>91</v>
      </c>
      <c r="Y6" s="27" t="s">
        <v>92</v>
      </c>
      <c r="Z6" s="154" t="s">
        <v>86</v>
      </c>
      <c r="AA6" s="154" t="s">
        <v>87</v>
      </c>
      <c r="AB6" s="154" t="s">
        <v>88</v>
      </c>
      <c r="AC6" s="154" t="s">
        <v>89</v>
      </c>
    </row>
    <row r="7" spans="2:29" x14ac:dyDescent="0.25">
      <c r="B7" s="22">
        <f t="shared" si="8"/>
        <v>2032</v>
      </c>
      <c r="C7" s="146">
        <f t="shared" si="0"/>
        <v>-26.973188025926394</v>
      </c>
      <c r="D7" s="147">
        <f t="shared" si="1"/>
        <v>-7147.8948268704944</v>
      </c>
      <c r="E7" s="145">
        <f>D7*(1+0.02)^-($B7-Assumptions!$D$4)</f>
        <v>-5863.7633689096283</v>
      </c>
      <c r="F7" s="148">
        <f>_xlfn.XLOOKUP($B7,'Annualized Operations'!$B$13:$B$32,'Annualized Operations'!$E$13:$E$32,0,0,1)*$X$35</f>
        <v>-615771.08106059697</v>
      </c>
      <c r="G7" s="228">
        <f t="shared" si="2"/>
        <v>-0.29143420377051599</v>
      </c>
      <c r="H7" s="229">
        <f t="shared" si="3"/>
        <v>-1.4938421141521669E-3</v>
      </c>
      <c r="I7" s="230">
        <f t="shared" si="4"/>
        <v>-5.7370835011116873E-3</v>
      </c>
      <c r="J7" s="149">
        <f t="shared" si="5"/>
        <v>-6411.5524829513515</v>
      </c>
      <c r="K7" s="150">
        <f t="shared" si="6"/>
        <v>-91.871290020358259</v>
      </c>
      <c r="L7" s="151">
        <f t="shared" si="7"/>
        <v>-6132.9422626883934</v>
      </c>
      <c r="M7" s="152">
        <f t="shared" si="9"/>
        <v>-12636.366035660103</v>
      </c>
      <c r="N7" s="153">
        <f>M7*(1+Assumptions!$D$13)^-($B7-Assumptions!$D$4)</f>
        <v>-9311.8408487330398</v>
      </c>
      <c r="O7" s="151">
        <f t="shared" si="10"/>
        <v>-15175.604217642667</v>
      </c>
      <c r="Q7" s="26" t="s">
        <v>93</v>
      </c>
      <c r="R7" s="508">
        <f>X23</f>
        <v>0.22790983982547491</v>
      </c>
      <c r="S7" s="508">
        <f t="shared" ref="R7:U8" si="11">Y23</f>
        <v>2.0699004398994176E-3</v>
      </c>
      <c r="T7" s="508">
        <f t="shared" si="11"/>
        <v>5.8180715878192544E-3</v>
      </c>
      <c r="U7" s="508">
        <f t="shared" si="11"/>
        <v>317.22468262036</v>
      </c>
      <c r="W7" s="48">
        <v>11</v>
      </c>
      <c r="X7" s="26" t="s">
        <v>94</v>
      </c>
      <c r="Y7" s="26" t="s">
        <v>95</v>
      </c>
      <c r="Z7" s="389">
        <v>0.73690802096518104</v>
      </c>
      <c r="AA7" s="389">
        <v>2.4081927794970298E-3</v>
      </c>
      <c r="AB7" s="389">
        <v>1.78605259703664E-2</v>
      </c>
      <c r="AC7" s="389">
        <v>362.51238716242</v>
      </c>
    </row>
    <row r="8" spans="2:29" x14ac:dyDescent="0.25">
      <c r="B8" s="22">
        <f t="shared" si="8"/>
        <v>2033</v>
      </c>
      <c r="C8" s="146">
        <f t="shared" si="0"/>
        <v>-29.595694125531093</v>
      </c>
      <c r="D8" s="147">
        <f t="shared" si="1"/>
        <v>-7990.837413893395</v>
      </c>
      <c r="E8" s="145">
        <f>D8*(1+0.02)^-($B8-Assumptions!$D$4)</f>
        <v>-6426.7351833982657</v>
      </c>
      <c r="F8" s="148">
        <f>_xlfn.XLOOKUP($B8,'Annualized Operations'!$B$13:$B$32,'Annualized Operations'!$E$13:$E$32,0,0,1)*$X$35</f>
        <v>-675640.28949414962</v>
      </c>
      <c r="G8" s="228">
        <f t="shared" si="2"/>
        <v>-0.31976930365885653</v>
      </c>
      <c r="H8" s="229">
        <f t="shared" si="3"/>
        <v>-1.6390830123524413E-3</v>
      </c>
      <c r="I8" s="230">
        <f t="shared" si="4"/>
        <v>-6.2948795043555467E-3</v>
      </c>
      <c r="J8" s="149">
        <f t="shared" si="5"/>
        <v>-7034.9246804948434</v>
      </c>
      <c r="K8" s="150">
        <f t="shared" si="6"/>
        <v>-100.80360525967514</v>
      </c>
      <c r="L8" s="151">
        <f t="shared" si="7"/>
        <v>-6729.2261901560796</v>
      </c>
      <c r="M8" s="152">
        <f t="shared" si="9"/>
        <v>-13864.954475910599</v>
      </c>
      <c r="N8" s="153">
        <f>M8*(1+Assumptions!$D$13)^-($B8-Assumptions!$D$4)</f>
        <v>-9909.9880282867307</v>
      </c>
      <c r="O8" s="151">
        <f t="shared" si="10"/>
        <v>-16336.723211684995</v>
      </c>
      <c r="Q8" s="26" t="s">
        <v>96</v>
      </c>
      <c r="R8" s="508">
        <f t="shared" si="11"/>
        <v>2.099484306313415</v>
      </c>
      <c r="S8" s="508">
        <f t="shared" si="11"/>
        <v>4.7858028693373951E-3</v>
      </c>
      <c r="T8" s="508">
        <f t="shared" si="11"/>
        <v>3.2505287070740692E-2</v>
      </c>
      <c r="U8" s="508">
        <f t="shared" si="11"/>
        <v>1238.7315972924489</v>
      </c>
      <c r="W8" s="48">
        <v>21</v>
      </c>
      <c r="X8" s="26" t="s">
        <v>97</v>
      </c>
      <c r="Y8" s="26" t="s">
        <v>95</v>
      </c>
      <c r="Z8" s="389">
        <v>3.7528759722247264E-2</v>
      </c>
      <c r="AA8" s="389">
        <v>1.6122938930079201E-3</v>
      </c>
      <c r="AB8" s="389">
        <v>1.1798384221972261E-3</v>
      </c>
      <c r="AC8" s="389">
        <v>243.79125643460799</v>
      </c>
    </row>
    <row r="9" spans="2:29" x14ac:dyDescent="0.25">
      <c r="B9" s="22">
        <f t="shared" si="8"/>
        <v>2034</v>
      </c>
      <c r="C9" s="146">
        <f t="shared" si="0"/>
        <v>-32.218200225135789</v>
      </c>
      <c r="D9" s="147">
        <f t="shared" si="1"/>
        <v>-8827.7868616872056</v>
      </c>
      <c r="E9" s="145">
        <f>D9*(1+0.02)^-($B9-Assumptions!$D$4)</f>
        <v>-6960.6496959297692</v>
      </c>
      <c r="F9" s="148">
        <f>_xlfn.XLOOKUP($B9,'Annualized Operations'!$B$13:$B$32,'Annualized Operations'!$E$13:$E$32,0,0,1)*$X$35</f>
        <v>-735509.49792770226</v>
      </c>
      <c r="G9" s="228">
        <f t="shared" si="2"/>
        <v>-0.34810440354719713</v>
      </c>
      <c r="H9" s="229">
        <f t="shared" si="3"/>
        <v>-1.7843239105527155E-3</v>
      </c>
      <c r="I9" s="230">
        <f t="shared" si="4"/>
        <v>-6.852675507599406E-3</v>
      </c>
      <c r="J9" s="149">
        <f t="shared" si="5"/>
        <v>-7658.2968780383371</v>
      </c>
      <c r="K9" s="150">
        <f t="shared" si="6"/>
        <v>-109.735920498992</v>
      </c>
      <c r="L9" s="151">
        <f t="shared" si="7"/>
        <v>-7325.5101176237649</v>
      </c>
      <c r="M9" s="152">
        <f t="shared" si="9"/>
        <v>-15093.542916161094</v>
      </c>
      <c r="N9" s="153">
        <f>M9*(1+Assumptions!$D$13)^-($B9-Assumptions!$D$4)</f>
        <v>-10463.746520892295</v>
      </c>
      <c r="O9" s="151">
        <f t="shared" si="10"/>
        <v>-17424.396216822064</v>
      </c>
      <c r="Q9" s="26" t="s">
        <v>271</v>
      </c>
      <c r="R9" s="509">
        <f>(R7*(1-Assumptions!$D$14)+R8*Assumptions!$D$14)/10^6</f>
        <v>4.7328335599741561E-7</v>
      </c>
      <c r="S9" s="509">
        <f>(S7*(1-Assumptions!$D$14)+S8*Assumptions!$D$14)/10^6</f>
        <v>2.4259699100828031E-9</v>
      </c>
      <c r="T9" s="509">
        <f>(T7*(1-Assumptions!$D$14)+T8*Assumptions!$D$14)/10^6</f>
        <v>9.3169096074310623E-9</v>
      </c>
      <c r="U9" s="509">
        <f>(U7*(1-Assumptions!$D$14)+U8*Assumptions!$D$14)/10000000</f>
        <v>4.3803921384986266E-5</v>
      </c>
      <c r="W9" s="48">
        <v>31</v>
      </c>
      <c r="X9" s="26" t="s">
        <v>97</v>
      </c>
      <c r="Y9" s="26" t="s">
        <v>95</v>
      </c>
      <c r="Z9" s="389">
        <v>5.602001301010253E-2</v>
      </c>
      <c r="AA9" s="389">
        <v>2.0534055761767299E-3</v>
      </c>
      <c r="AB9" s="389">
        <v>1.6834690354423085E-3</v>
      </c>
      <c r="AC9" s="389">
        <v>318.590574637288</v>
      </c>
    </row>
    <row r="10" spans="2:29" x14ac:dyDescent="0.25">
      <c r="B10" s="22">
        <f t="shared" si="8"/>
        <v>2035</v>
      </c>
      <c r="C10" s="146">
        <f t="shared" si="0"/>
        <v>-34.840706324740751</v>
      </c>
      <c r="D10" s="147">
        <f t="shared" si="1"/>
        <v>-9685.7163582779285</v>
      </c>
      <c r="E10" s="145">
        <f>D10*(1+0.02)^-($B10-Assumptions!$D$4)</f>
        <v>-7487.3737736487856</v>
      </c>
      <c r="F10" s="148">
        <f>_xlfn.XLOOKUP($B10,'Annualized Operations'!$B$13:$B$32,'Annualized Operations'!$E$13:$E$32,0,0,1)*$X$35</f>
        <v>-795378.70636126096</v>
      </c>
      <c r="G10" s="228">
        <f t="shared" si="2"/>
        <v>-0.37643950343554056</v>
      </c>
      <c r="H10" s="229">
        <f t="shared" si="3"/>
        <v>-1.9295648087530046E-3</v>
      </c>
      <c r="I10" s="230">
        <f t="shared" si="4"/>
        <v>-7.4104715108433217E-3</v>
      </c>
      <c r="J10" s="149">
        <f t="shared" si="5"/>
        <v>-8281.6690755818927</v>
      </c>
      <c r="K10" s="150">
        <f t="shared" si="6"/>
        <v>-118.66823573830979</v>
      </c>
      <c r="L10" s="151">
        <f t="shared" si="7"/>
        <v>-7921.7940450915112</v>
      </c>
      <c r="M10" s="152">
        <f t="shared" si="9"/>
        <v>-16322.131356411715</v>
      </c>
      <c r="N10" s="153">
        <f>M10*(1+Assumptions!$D$13)^-($B10-Assumptions!$D$4)</f>
        <v>-10975.244903428513</v>
      </c>
      <c r="O10" s="151">
        <f t="shared" si="10"/>
        <v>-18462.618677077298</v>
      </c>
      <c r="R10" s="10"/>
      <c r="S10" s="10"/>
      <c r="T10" s="10"/>
      <c r="U10" s="10"/>
      <c r="W10" s="48">
        <v>32</v>
      </c>
      <c r="X10" s="26" t="s">
        <v>97</v>
      </c>
      <c r="Y10" s="26" t="s">
        <v>95</v>
      </c>
      <c r="Z10" s="389">
        <v>8.1182565604368817E-2</v>
      </c>
      <c r="AA10" s="389">
        <v>2.2057095109159902E-3</v>
      </c>
      <c r="AB10" s="389">
        <v>2.5484529232710825E-3</v>
      </c>
      <c r="AC10" s="389">
        <v>344.00451224712401</v>
      </c>
    </row>
    <row r="11" spans="2:29" x14ac:dyDescent="0.25">
      <c r="B11" s="22">
        <f t="shared" si="8"/>
        <v>2036</v>
      </c>
      <c r="C11" s="146">
        <f t="shared" si="0"/>
        <v>-37.463212424344363</v>
      </c>
      <c r="D11" s="147">
        <f t="shared" si="1"/>
        <v>-10564.62590366511</v>
      </c>
      <c r="E11" s="145">
        <f>D11*(1+0.02)^-($B11-Assumptions!$D$4)</f>
        <v>-8006.6661165062751</v>
      </c>
      <c r="F11" s="148">
        <f>_xlfn.XLOOKUP($B11,'Annualized Operations'!$B$13:$B$32,'Annualized Operations'!$E$13:$E$32,0,0,1)*$X$35</f>
        <v>-855247.91479478881</v>
      </c>
      <c r="G11" s="228">
        <f t="shared" si="2"/>
        <v>-0.40477460332386939</v>
      </c>
      <c r="H11" s="229">
        <f t="shared" si="3"/>
        <v>-2.0748057069532185E-3</v>
      </c>
      <c r="I11" s="230">
        <f t="shared" si="4"/>
        <v>-7.9682675140869512E-3</v>
      </c>
      <c r="J11" s="149">
        <f t="shared" si="5"/>
        <v>-8905.0412731251272</v>
      </c>
      <c r="K11" s="150">
        <f t="shared" si="6"/>
        <v>-127.60055097762294</v>
      </c>
      <c r="L11" s="151">
        <f t="shared" si="7"/>
        <v>-8518.0779725589509</v>
      </c>
      <c r="M11" s="152">
        <f t="shared" si="9"/>
        <v>-17550.719796661702</v>
      </c>
      <c r="N11" s="153">
        <f>M11*(1+Assumptions!$D$13)^-($B11-Assumptions!$D$4)</f>
        <v>-11446.523879970064</v>
      </c>
      <c r="O11" s="151">
        <f t="shared" si="10"/>
        <v>-19453.18999647634</v>
      </c>
      <c r="Q11" s="8" t="s">
        <v>98</v>
      </c>
      <c r="W11" s="48">
        <v>41</v>
      </c>
      <c r="X11" s="26" t="s">
        <v>99</v>
      </c>
      <c r="Y11" s="26" t="s">
        <v>74</v>
      </c>
      <c r="Z11" s="389">
        <v>2.237602310868759</v>
      </c>
      <c r="AA11" s="389">
        <v>5.5717265564873301E-3</v>
      </c>
      <c r="AB11" s="389">
        <v>1.658066855283262E-2</v>
      </c>
      <c r="AC11" s="389">
        <v>1406.7823013201701</v>
      </c>
    </row>
    <row r="12" spans="2:29" ht="18" x14ac:dyDescent="0.25">
      <c r="B12" s="22">
        <f t="shared" si="8"/>
        <v>2037</v>
      </c>
      <c r="C12" s="146">
        <f t="shared" si="0"/>
        <v>-40.085718523949332</v>
      </c>
      <c r="D12" s="147">
        <f t="shared" si="1"/>
        <v>-11504.601216373458</v>
      </c>
      <c r="E12" s="145">
        <f>D12*(1+0.02)^-($B12-Assumptions!$D$4)</f>
        <v>-8548.088166409314</v>
      </c>
      <c r="F12" s="148">
        <f>_xlfn.XLOOKUP($B12,'Annualized Operations'!$B$13:$B$32,'Annualized Operations'!$E$13:$E$32,0,0,1)*$X$35</f>
        <v>-915117.12322834763</v>
      </c>
      <c r="G12" s="228">
        <f t="shared" si="2"/>
        <v>-0.43310970321221287</v>
      </c>
      <c r="H12" s="229">
        <f t="shared" si="3"/>
        <v>-2.2200466051535079E-3</v>
      </c>
      <c r="I12" s="230">
        <f t="shared" si="4"/>
        <v>-8.5260635173308678E-3</v>
      </c>
      <c r="J12" s="149">
        <f t="shared" si="5"/>
        <v>-9528.4134706686837</v>
      </c>
      <c r="K12" s="150">
        <f t="shared" si="6"/>
        <v>-136.53286621694073</v>
      </c>
      <c r="L12" s="151">
        <f t="shared" si="7"/>
        <v>-9114.3619000266972</v>
      </c>
      <c r="M12" s="152">
        <f t="shared" si="9"/>
        <v>-18779.308236912322</v>
      </c>
      <c r="N12" s="153">
        <f>M12*(1+Assumptions!$D$13)^-($B12-Assumptions!$D$4)</f>
        <v>-11879.539641689753</v>
      </c>
      <c r="O12" s="151">
        <f t="shared" si="10"/>
        <v>-20427.627808099067</v>
      </c>
      <c r="Q12" s="154" t="s">
        <v>4</v>
      </c>
      <c r="R12" s="154" t="s">
        <v>86</v>
      </c>
      <c r="S12" s="154" t="s">
        <v>87</v>
      </c>
      <c r="T12" s="154" t="s">
        <v>88</v>
      </c>
      <c r="U12" s="154" t="s">
        <v>89</v>
      </c>
      <c r="W12" s="48">
        <v>42</v>
      </c>
      <c r="X12" s="26" t="s">
        <v>99</v>
      </c>
      <c r="Y12" s="26" t="s">
        <v>74</v>
      </c>
      <c r="Z12" s="389">
        <v>1.9658170115512426</v>
      </c>
      <c r="AA12" s="389">
        <v>5.4889920561794897E-3</v>
      </c>
      <c r="AB12" s="389">
        <v>1.2308421676718551E-2</v>
      </c>
      <c r="AC12" s="389">
        <v>1391.9649569298599</v>
      </c>
    </row>
    <row r="13" spans="2:29" x14ac:dyDescent="0.25">
      <c r="B13" s="22">
        <f t="shared" si="8"/>
        <v>2038</v>
      </c>
      <c r="C13" s="146">
        <f t="shared" si="0"/>
        <v>-42.708224623554024</v>
      </c>
      <c r="D13" s="147">
        <f t="shared" si="1"/>
        <v>-12385.385140830667</v>
      </c>
      <c r="E13" s="145">
        <f>D13*(1+0.02)^-($B13-Assumptions!$D$4)</f>
        <v>-9022.0819570765834</v>
      </c>
      <c r="F13" s="148">
        <f>_xlfn.XLOOKUP($B13,'Annualized Operations'!$B$13:$B$32,'Annualized Operations'!$E$13:$E$32,0,0,1)*$X$35</f>
        <v>-974986.33166190016</v>
      </c>
      <c r="G13" s="228">
        <f t="shared" si="2"/>
        <v>-0.46144480310055341</v>
      </c>
      <c r="H13" s="229">
        <f t="shared" si="3"/>
        <v>-2.365287503353782E-3</v>
      </c>
      <c r="I13" s="230">
        <f t="shared" si="4"/>
        <v>-9.0838595205747254E-3</v>
      </c>
      <c r="J13" s="149">
        <f t="shared" si="5"/>
        <v>-10151.785668212175</v>
      </c>
      <c r="K13" s="150">
        <f t="shared" si="6"/>
        <v>-145.4651814562576</v>
      </c>
      <c r="L13" s="151">
        <f t="shared" si="7"/>
        <v>-9710.6458274943816</v>
      </c>
      <c r="M13" s="152">
        <f t="shared" si="9"/>
        <v>-20007.896677162811</v>
      </c>
      <c r="N13" s="153">
        <f>M13*(1+Assumptions!$D$13)^-($B13-Assumptions!$D$4)</f>
        <v>-12276.167104149748</v>
      </c>
      <c r="O13" s="151">
        <f t="shared" si="10"/>
        <v>-21298.249061226332</v>
      </c>
      <c r="Q13" s="231">
        <v>2023</v>
      </c>
      <c r="R13" s="232">
        <v>19800</v>
      </c>
      <c r="S13" s="232">
        <v>52900</v>
      </c>
      <c r="T13" s="232">
        <v>951000</v>
      </c>
      <c r="U13" s="232">
        <v>228</v>
      </c>
      <c r="W13" s="48">
        <v>43</v>
      </c>
      <c r="X13" s="26" t="s">
        <v>99</v>
      </c>
      <c r="Y13" s="26" t="s">
        <v>74</v>
      </c>
      <c r="Z13" s="389">
        <v>1.9469017025302577</v>
      </c>
      <c r="AA13" s="389">
        <v>3.66910948950592E-3</v>
      </c>
      <c r="AB13" s="389">
        <v>5.5096995199883071E-2</v>
      </c>
      <c r="AC13" s="389">
        <v>1071.1129065416801</v>
      </c>
    </row>
    <row r="14" spans="2:29" x14ac:dyDescent="0.25">
      <c r="B14" s="22">
        <f t="shared" si="8"/>
        <v>2039</v>
      </c>
      <c r="C14" s="146">
        <f t="shared" si="0"/>
        <v>-45.330730723158986</v>
      </c>
      <c r="D14" s="147">
        <f t="shared" si="1"/>
        <v>-13327.234832608741</v>
      </c>
      <c r="E14" s="145">
        <f>D14*(1+0.02)^-($B14-Assumptions!$D$4)</f>
        <v>-9517.812178627808</v>
      </c>
      <c r="F14" s="148">
        <f>_xlfn.XLOOKUP($B14,'Annualized Operations'!$B$13:$B$32,'Annualized Operations'!$E$13:$E$32,0,0,1)*$X$35</f>
        <v>-1034855.540095459</v>
      </c>
      <c r="G14" s="228">
        <f t="shared" si="2"/>
        <v>-0.4897799029888969</v>
      </c>
      <c r="H14" s="229">
        <f t="shared" si="3"/>
        <v>-2.5105284015540714E-3</v>
      </c>
      <c r="I14" s="230">
        <f t="shared" si="4"/>
        <v>-9.641655523818642E-3</v>
      </c>
      <c r="J14" s="149">
        <f t="shared" si="5"/>
        <v>-10775.157865755731</v>
      </c>
      <c r="K14" s="150">
        <f t="shared" si="6"/>
        <v>-154.3974966955754</v>
      </c>
      <c r="L14" s="151">
        <f t="shared" si="7"/>
        <v>-10306.929754962128</v>
      </c>
      <c r="M14" s="152">
        <f t="shared" si="9"/>
        <v>-21236.485117413435</v>
      </c>
      <c r="N14" s="153">
        <f>M14*(1+Assumptions!$D$13)^-($B14-Assumptions!$D$4)</f>
        <v>-12638.203026326568</v>
      </c>
      <c r="O14" s="151">
        <f t="shared" si="10"/>
        <v>-22156.015204954376</v>
      </c>
      <c r="Q14" s="231">
        <v>2024</v>
      </c>
      <c r="R14" s="232">
        <v>20100</v>
      </c>
      <c r="S14" s="232">
        <v>53800</v>
      </c>
      <c r="T14" s="232">
        <v>963200</v>
      </c>
      <c r="U14" s="232">
        <v>233</v>
      </c>
      <c r="W14" s="48">
        <v>51</v>
      </c>
      <c r="X14" s="26" t="s">
        <v>100</v>
      </c>
      <c r="Y14" s="26" t="s">
        <v>74</v>
      </c>
      <c r="Z14" s="389">
        <v>2.48942987946789</v>
      </c>
      <c r="AA14" s="389">
        <v>5.2833773025508703E-3</v>
      </c>
      <c r="AB14" s="389">
        <v>3.4321389281753531E-2</v>
      </c>
      <c r="AC14" s="389">
        <v>1427.83446247497</v>
      </c>
    </row>
    <row r="15" spans="2:29" x14ac:dyDescent="0.25">
      <c r="B15" s="22">
        <f t="shared" si="8"/>
        <v>2040</v>
      </c>
      <c r="C15" s="146">
        <f t="shared" si="0"/>
        <v>-47.953236822763685</v>
      </c>
      <c r="D15" s="147">
        <f t="shared" si="1"/>
        <v>-14338.017810006342</v>
      </c>
      <c r="E15" s="145">
        <f>D15*(1+0.02)^-($B15-Assumptions!$D$4)</f>
        <v>-10038.897588100015</v>
      </c>
      <c r="F15" s="148">
        <f>_xlfn.XLOOKUP($B15,'Annualized Operations'!$B$13:$B$32,'Annualized Operations'!$E$13:$E$32,0,0,1)*$X$35</f>
        <v>-1094724.7485290116</v>
      </c>
      <c r="G15" s="228">
        <f t="shared" si="2"/>
        <v>-0.51811500287723744</v>
      </c>
      <c r="H15" s="229">
        <f t="shared" si="3"/>
        <v>-2.6557692997543456E-3</v>
      </c>
      <c r="I15" s="230">
        <f t="shared" si="4"/>
        <v>-1.0199451527062501E-2</v>
      </c>
      <c r="J15" s="149">
        <f t="shared" si="5"/>
        <v>-11398.530063299224</v>
      </c>
      <c r="K15" s="150">
        <f t="shared" si="6"/>
        <v>-163.32981193489226</v>
      </c>
      <c r="L15" s="151">
        <f t="shared" si="7"/>
        <v>-10903.213682429814</v>
      </c>
      <c r="M15" s="152">
        <f t="shared" si="9"/>
        <v>-22465.073557663931</v>
      </c>
      <c r="N15" s="153">
        <f>M15*(1+Assumptions!$D$13)^-($B15-Assumptions!$D$4)</f>
        <v>-12967.369015547662</v>
      </c>
      <c r="O15" s="151">
        <f t="shared" si="10"/>
        <v>-23006.266603647677</v>
      </c>
      <c r="Q15" s="231">
        <v>2025</v>
      </c>
      <c r="R15" s="232">
        <v>20300</v>
      </c>
      <c r="S15" s="232">
        <v>54800</v>
      </c>
      <c r="T15" s="232">
        <v>975500</v>
      </c>
      <c r="U15" s="232">
        <v>237</v>
      </c>
      <c r="W15" s="48">
        <v>52</v>
      </c>
      <c r="X15" s="26" t="s">
        <v>100</v>
      </c>
      <c r="Y15" s="26" t="s">
        <v>74</v>
      </c>
      <c r="Z15" s="389">
        <v>0.95074648895471525</v>
      </c>
      <c r="AA15" s="389">
        <v>3.5321878667988801E-3</v>
      </c>
      <c r="AB15" s="389">
        <v>1.5158170819293781E-2</v>
      </c>
      <c r="AC15" s="389">
        <v>862.616489254057</v>
      </c>
    </row>
    <row r="16" spans="2:29" x14ac:dyDescent="0.25">
      <c r="B16" s="22">
        <f t="shared" si="8"/>
        <v>2041</v>
      </c>
      <c r="C16" s="146">
        <f t="shared" si="0"/>
        <v>-50.575742922367567</v>
      </c>
      <c r="D16" s="147">
        <f t="shared" si="1"/>
        <v>-15324.450105477374</v>
      </c>
      <c r="E16" s="145">
        <f>D16*(1+0.02)^-($B16-Assumptions!$D$4)</f>
        <v>-10519.173928963646</v>
      </c>
      <c r="F16" s="148">
        <f>_xlfn.XLOOKUP($B16,'Annualized Operations'!$B$13:$B$32,'Annualized Operations'!$E$13:$E$32,0,0,1)*$X$35</f>
        <v>-1154593.9569625456</v>
      </c>
      <c r="G16" s="228">
        <f t="shared" si="2"/>
        <v>-0.54645010276556927</v>
      </c>
      <c r="H16" s="229">
        <f t="shared" si="3"/>
        <v>-2.8010101979545747E-3</v>
      </c>
      <c r="I16" s="230">
        <f t="shared" si="4"/>
        <v>-1.0757247530306187E-2</v>
      </c>
      <c r="J16" s="149">
        <f t="shared" si="5"/>
        <v>-12021.902260842524</v>
      </c>
      <c r="K16" s="150">
        <f t="shared" si="6"/>
        <v>-172.26212717420634</v>
      </c>
      <c r="L16" s="151">
        <f t="shared" si="7"/>
        <v>-11499.497609897315</v>
      </c>
      <c r="M16" s="152">
        <f t="shared" si="9"/>
        <v>-23693.661997914045</v>
      </c>
      <c r="N16" s="153">
        <f>M16*(1+Assumptions!$D$13)^-($B16-Assumptions!$D$4)</f>
        <v>-13265.314422384719</v>
      </c>
      <c r="O16" s="151">
        <f t="shared" si="10"/>
        <v>-23784.488351348366</v>
      </c>
      <c r="Q16" s="231">
        <v>2026</v>
      </c>
      <c r="R16" s="232">
        <v>20600</v>
      </c>
      <c r="S16" s="232">
        <v>56100</v>
      </c>
      <c r="T16" s="232">
        <v>993500</v>
      </c>
      <c r="U16" s="232">
        <v>241</v>
      </c>
      <c r="W16" s="48">
        <v>53</v>
      </c>
      <c r="X16" s="26" t="s">
        <v>100</v>
      </c>
      <c r="Y16" s="26" t="s">
        <v>74</v>
      </c>
      <c r="Z16" s="389">
        <v>0.89067775827536644</v>
      </c>
      <c r="AA16" s="389">
        <v>3.4020765235606102E-3</v>
      </c>
      <c r="AB16" s="389">
        <v>1.349939126139434E-2</v>
      </c>
      <c r="AC16" s="389">
        <v>829.46088804247995</v>
      </c>
    </row>
    <row r="17" spans="2:29" x14ac:dyDescent="0.25">
      <c r="B17" s="22">
        <f t="shared" si="8"/>
        <v>2042</v>
      </c>
      <c r="C17" s="146">
        <f t="shared" si="0"/>
        <v>-53.198249021972252</v>
      </c>
      <c r="D17" s="147">
        <f t="shared" si="1"/>
        <v>-16385.060698767455</v>
      </c>
      <c r="E17" s="145">
        <f>D17*(1+0.02)^-($B17-Assumptions!$D$4)</f>
        <v>-11026.676141505979</v>
      </c>
      <c r="F17" s="148">
        <f>_xlfn.XLOOKUP($B17,'Annualized Operations'!$B$13:$B$32,'Annualized Operations'!$E$13:$E$32,0,0,1)*$X$35</f>
        <v>-1214463.165396098</v>
      </c>
      <c r="G17" s="228">
        <f t="shared" si="2"/>
        <v>-0.57478520265390975</v>
      </c>
      <c r="H17" s="229">
        <f t="shared" si="3"/>
        <v>-2.9462510961548484E-3</v>
      </c>
      <c r="I17" s="230">
        <f t="shared" si="4"/>
        <v>-1.1315043533550045E-2</v>
      </c>
      <c r="J17" s="149">
        <f t="shared" si="5"/>
        <v>-12645.274458386015</v>
      </c>
      <c r="K17" s="150">
        <f t="shared" si="6"/>
        <v>-181.19444241352318</v>
      </c>
      <c r="L17" s="151">
        <f t="shared" si="7"/>
        <v>-12095.781537364997</v>
      </c>
      <c r="M17" s="152">
        <f t="shared" si="9"/>
        <v>-24922.250438164534</v>
      </c>
      <c r="N17" s="153">
        <f>M17*(1+Assumptions!$D$13)^-($B17-Assumptions!$D$4)</f>
        <v>-13533.619129403472</v>
      </c>
      <c r="O17" s="151">
        <f t="shared" si="10"/>
        <v>-24560.295270909453</v>
      </c>
      <c r="Q17" s="231">
        <v>2027</v>
      </c>
      <c r="R17" s="232">
        <v>21000</v>
      </c>
      <c r="S17" s="232">
        <v>57400</v>
      </c>
      <c r="T17" s="232">
        <v>1011900</v>
      </c>
      <c r="U17" s="232">
        <v>245</v>
      </c>
      <c r="W17" s="48">
        <v>54</v>
      </c>
      <c r="X17" s="26" t="s">
        <v>100</v>
      </c>
      <c r="Y17" s="26" t="s">
        <v>74</v>
      </c>
      <c r="Z17" s="389">
        <v>1.6481032166429217</v>
      </c>
      <c r="AA17" s="389">
        <v>6.0326542026046303E-3</v>
      </c>
      <c r="AB17" s="389">
        <v>4.2864875162321965E-2</v>
      </c>
      <c r="AC17" s="389">
        <v>1166.1048437433201</v>
      </c>
    </row>
    <row r="18" spans="2:29" x14ac:dyDescent="0.25">
      <c r="B18" s="22">
        <f t="shared" si="8"/>
        <v>2043</v>
      </c>
      <c r="C18" s="146">
        <f t="shared" si="0"/>
        <v>-55.820755121577221</v>
      </c>
      <c r="D18" s="147">
        <f t="shared" si="1"/>
        <v>-17416.075597932093</v>
      </c>
      <c r="E18" s="145">
        <f>D18*(1+0.02)^-($B18-Assumptions!$D$4)</f>
        <v>-11490.705502599094</v>
      </c>
      <c r="F18" s="148">
        <f>_xlfn.XLOOKUP($B18,'Annualized Operations'!$B$13:$B$32,'Annualized Operations'!$E$13:$E$32,0,0,1)*$X$35</f>
        <v>-1274332.373829657</v>
      </c>
      <c r="G18" s="228">
        <f t="shared" si="2"/>
        <v>-0.60312030254225324</v>
      </c>
      <c r="H18" s="229">
        <f t="shared" si="3"/>
        <v>-3.0914919943551382E-3</v>
      </c>
      <c r="I18" s="230">
        <f t="shared" si="4"/>
        <v>-1.1872839536793963E-2</v>
      </c>
      <c r="J18" s="149">
        <f t="shared" si="5"/>
        <v>-13268.646655929571</v>
      </c>
      <c r="K18" s="150">
        <f t="shared" si="6"/>
        <v>-190.12675765284101</v>
      </c>
      <c r="L18" s="151">
        <f t="shared" si="7"/>
        <v>-12692.065464832747</v>
      </c>
      <c r="M18" s="152">
        <f t="shared" si="9"/>
        <v>-26150.838878415161</v>
      </c>
      <c r="N18" s="153">
        <f>M18*(1+Assumptions!$D$13)^-($B18-Assumptions!$D$4)</f>
        <v>-13773.796237533943</v>
      </c>
      <c r="O18" s="151">
        <f t="shared" si="10"/>
        <v>-25264.501740133037</v>
      </c>
      <c r="Q18" s="231">
        <v>2028</v>
      </c>
      <c r="R18" s="232">
        <v>21300</v>
      </c>
      <c r="S18" s="232">
        <v>58700</v>
      </c>
      <c r="T18" s="232">
        <v>1030600</v>
      </c>
      <c r="U18" s="232">
        <v>250</v>
      </c>
      <c r="W18" s="48">
        <v>61</v>
      </c>
      <c r="X18" s="26" t="s">
        <v>101</v>
      </c>
      <c r="Y18" s="26" t="s">
        <v>74</v>
      </c>
      <c r="Z18" s="389">
        <v>3.0234078113615883</v>
      </c>
      <c r="AA18" s="389">
        <v>4.9760807160904204E-3</v>
      </c>
      <c r="AB18" s="389">
        <v>4.3407648080982714E-2</v>
      </c>
      <c r="AC18" s="389">
        <v>1463.90880302132</v>
      </c>
    </row>
    <row r="19" spans="2:29" x14ac:dyDescent="0.25">
      <c r="B19" s="22">
        <f t="shared" si="8"/>
        <v>2044</v>
      </c>
      <c r="C19" s="146">
        <f t="shared" si="0"/>
        <v>-58.44326122118192</v>
      </c>
      <c r="D19" s="147">
        <f t="shared" si="1"/>
        <v>-18526.513807114668</v>
      </c>
      <c r="E19" s="145">
        <f>D19*(1+0.02)^-($B19-Assumptions!$D$4)</f>
        <v>-11983.67233239023</v>
      </c>
      <c r="F19" s="148">
        <f>_xlfn.XLOOKUP($B19,'Annualized Operations'!$B$13:$B$32,'Annualized Operations'!$E$13:$E$32,0,0,1)*$X$35</f>
        <v>-1334201.5822632096</v>
      </c>
      <c r="G19" s="228">
        <f t="shared" si="2"/>
        <v>-0.63145540243059384</v>
      </c>
      <c r="H19" s="229">
        <f t="shared" si="3"/>
        <v>-3.2367328925554124E-3</v>
      </c>
      <c r="I19" s="230">
        <f t="shared" si="4"/>
        <v>-1.2430635540037822E-2</v>
      </c>
      <c r="J19" s="149">
        <f t="shared" si="5"/>
        <v>-13892.018853473064</v>
      </c>
      <c r="K19" s="150">
        <f t="shared" si="6"/>
        <v>-199.05907289215787</v>
      </c>
      <c r="L19" s="151">
        <f t="shared" si="7"/>
        <v>-13288.349392300432</v>
      </c>
      <c r="M19" s="152">
        <f t="shared" si="9"/>
        <v>-27379.427318665654</v>
      </c>
      <c r="N19" s="153">
        <f>M19*(1+Assumptions!$D$13)^-($B19-Assumptions!$D$4)</f>
        <v>-13987.294653699852</v>
      </c>
      <c r="O19" s="151">
        <f t="shared" si="10"/>
        <v>-25970.966986090083</v>
      </c>
      <c r="Q19" s="231">
        <v>2029</v>
      </c>
      <c r="R19" s="232">
        <v>21700</v>
      </c>
      <c r="S19" s="232">
        <v>60100</v>
      </c>
      <c r="T19" s="232">
        <v>1049600</v>
      </c>
      <c r="U19" s="232">
        <v>253</v>
      </c>
      <c r="W19" s="48">
        <v>62</v>
      </c>
      <c r="X19" s="26" t="s">
        <v>101</v>
      </c>
      <c r="Y19" s="26" t="s">
        <v>74</v>
      </c>
      <c r="Z19" s="389">
        <v>3.7426725771679936</v>
      </c>
      <c r="AA19" s="389">
        <v>5.1160211102583997E-3</v>
      </c>
      <c r="AB19" s="389">
        <v>5.9310023601485649E-2</v>
      </c>
      <c r="AC19" s="389">
        <v>1528.79872430418</v>
      </c>
    </row>
    <row r="20" spans="2:29" x14ac:dyDescent="0.25">
      <c r="B20" s="22">
        <f t="shared" si="8"/>
        <v>2045</v>
      </c>
      <c r="C20" s="146">
        <f t="shared" si="0"/>
        <v>-61.065767320786883</v>
      </c>
      <c r="D20" s="147">
        <f t="shared" si="1"/>
        <v>-19602.111309972588</v>
      </c>
      <c r="E20" s="145">
        <f>D20*(1+0.02)^-($B20-Assumptions!$D$4)</f>
        <v>-12430.794886586598</v>
      </c>
      <c r="F20" s="148">
        <f>_xlfn.XLOOKUP($B20,'Annualized Operations'!$B$13:$B$32,'Annualized Operations'!$E$13:$E$32,0,0,1)*$X$35</f>
        <v>-1394070.7906967683</v>
      </c>
      <c r="G20" s="228">
        <f t="shared" si="2"/>
        <v>-0.65979050231893721</v>
      </c>
      <c r="H20" s="229">
        <f t="shared" si="3"/>
        <v>-3.3819737907557013E-3</v>
      </c>
      <c r="I20" s="230">
        <f t="shared" si="4"/>
        <v>-1.2988431543281739E-2</v>
      </c>
      <c r="J20" s="149">
        <f t="shared" si="5"/>
        <v>-14515.391051016619</v>
      </c>
      <c r="K20" s="150">
        <f t="shared" si="6"/>
        <v>-207.99138813147562</v>
      </c>
      <c r="L20" s="151">
        <f t="shared" si="7"/>
        <v>-13884.63331976818</v>
      </c>
      <c r="M20" s="152">
        <f t="shared" si="9"/>
        <v>-28608.015758916274</v>
      </c>
      <c r="N20" s="153">
        <f>M20*(1+Assumptions!$D$13)^-($B20-Assumptions!$D$4)</f>
        <v>-14175.501583214449</v>
      </c>
      <c r="O20" s="151">
        <f t="shared" si="10"/>
        <v>-26606.296469801047</v>
      </c>
      <c r="Q20" s="231">
        <v>2030</v>
      </c>
      <c r="R20" s="232">
        <v>22000</v>
      </c>
      <c r="S20" s="232">
        <v>61500</v>
      </c>
      <c r="T20" s="232">
        <v>1069000</v>
      </c>
      <c r="U20" s="232">
        <v>257</v>
      </c>
    </row>
    <row r="21" spans="2:29" ht="16.5" x14ac:dyDescent="0.25">
      <c r="B21" s="22">
        <f t="shared" si="8"/>
        <v>2046</v>
      </c>
      <c r="C21" s="146">
        <f t="shared" si="0"/>
        <v>-63.688273420390487</v>
      </c>
      <c r="D21" s="147">
        <f t="shared" si="1"/>
        <v>-20762.3771350473</v>
      </c>
      <c r="E21" s="145">
        <f>D21*(1+0.02)^-($B21-Assumptions!$D$4)</f>
        <v>-12908.416005549057</v>
      </c>
      <c r="F21" s="148">
        <f>_xlfn.XLOOKUP($B21,'Annualized Operations'!$B$13:$B$32,'Annualized Operations'!$E$13:$E$32,0,0,1)*$X$35</f>
        <v>-1453939.9991302961</v>
      </c>
      <c r="G21" s="228">
        <f t="shared" si="2"/>
        <v>-0.68812560220726604</v>
      </c>
      <c r="H21" s="229">
        <f t="shared" si="3"/>
        <v>-3.5272146889559152E-3</v>
      </c>
      <c r="I21" s="230">
        <f t="shared" si="4"/>
        <v>-1.3546227546525366E-2</v>
      </c>
      <c r="J21" s="149">
        <f t="shared" si="5"/>
        <v>-15138.763248559853</v>
      </c>
      <c r="K21" s="150">
        <f t="shared" si="6"/>
        <v>-216.92370337078879</v>
      </c>
      <c r="L21" s="151">
        <f t="shared" si="7"/>
        <v>-14480.917247235617</v>
      </c>
      <c r="M21" s="152">
        <f t="shared" si="9"/>
        <v>-29836.604199166257</v>
      </c>
      <c r="N21" s="153">
        <f>M21*(1+Assumptions!$D$13)^-($B21-Assumptions!$D$4)</f>
        <v>-14339.744930329543</v>
      </c>
      <c r="O21" s="151">
        <f t="shared" si="10"/>
        <v>-27248.160935878601</v>
      </c>
      <c r="Q21" s="231">
        <v>2031</v>
      </c>
      <c r="R21" s="232">
        <v>22000</v>
      </c>
      <c r="S21" s="232">
        <v>61500</v>
      </c>
      <c r="T21" s="232">
        <v>1069000</v>
      </c>
      <c r="U21" s="232">
        <v>262</v>
      </c>
      <c r="W21" s="8" t="s">
        <v>272</v>
      </c>
    </row>
    <row r="22" spans="2:29" x14ac:dyDescent="0.25">
      <c r="B22" s="22">
        <f t="shared" si="8"/>
        <v>2047</v>
      </c>
      <c r="C22" s="146">
        <f t="shared" si="0"/>
        <v>-66.310779519995464</v>
      </c>
      <c r="D22" s="147">
        <f t="shared" si="1"/>
        <v>-21948.868021118498</v>
      </c>
      <c r="E22" s="145">
        <f>D22*(1+0.02)^-($B22-Assumptions!$D$4)</f>
        <v>-13378.51263202267</v>
      </c>
      <c r="F22" s="148">
        <f>_xlfn.XLOOKUP($B22,'Annualized Operations'!$B$13:$B$32,'Annualized Operations'!$E$13:$E$32,0,0,1)*$X$35</f>
        <v>-1513809.207563855</v>
      </c>
      <c r="G22" s="228">
        <f t="shared" si="2"/>
        <v>-0.71646070209560964</v>
      </c>
      <c r="H22" s="229">
        <f t="shared" si="3"/>
        <v>-3.6724555871562045E-3</v>
      </c>
      <c r="I22" s="230">
        <f t="shared" si="4"/>
        <v>-1.4104023549769284E-2</v>
      </c>
      <c r="J22" s="149">
        <f t="shared" si="5"/>
        <v>-15762.135446103412</v>
      </c>
      <c r="K22" s="150">
        <f t="shared" si="6"/>
        <v>-225.85601861010659</v>
      </c>
      <c r="L22" s="151">
        <f t="shared" si="7"/>
        <v>-15077.201174703365</v>
      </c>
      <c r="M22" s="152">
        <f t="shared" si="9"/>
        <v>-31065.192639416884</v>
      </c>
      <c r="N22" s="153">
        <f>M22*(1+Assumptions!$D$13)^-($B22-Assumptions!$D$4)</f>
        <v>-14481.295610210896</v>
      </c>
      <c r="O22" s="151">
        <f t="shared" si="10"/>
        <v>-27859.808242233565</v>
      </c>
      <c r="Q22" s="231">
        <v>2032</v>
      </c>
      <c r="R22" s="232">
        <v>22000</v>
      </c>
      <c r="S22" s="232">
        <v>61500</v>
      </c>
      <c r="T22" s="232">
        <v>1069000</v>
      </c>
      <c r="U22" s="232">
        <v>265</v>
      </c>
      <c r="W22" s="155" t="s">
        <v>85</v>
      </c>
      <c r="X22" s="154" t="s">
        <v>102</v>
      </c>
      <c r="Y22" s="154" t="s">
        <v>103</v>
      </c>
      <c r="Z22" s="154" t="s">
        <v>104</v>
      </c>
      <c r="AA22" s="154" t="s">
        <v>105</v>
      </c>
    </row>
    <row r="23" spans="2:29" x14ac:dyDescent="0.25">
      <c r="B23" s="22">
        <f t="shared" si="8"/>
        <v>2048</v>
      </c>
      <c r="C23" s="146">
        <f t="shared" si="0"/>
        <v>-68.933285619600156</v>
      </c>
      <c r="D23" s="147">
        <f t="shared" si="1"/>
        <v>-23161.583968185652</v>
      </c>
      <c r="E23" s="145">
        <f>D23*(1+0.02)^-($B23-Assumptions!$D$4)</f>
        <v>-13840.882783276507</v>
      </c>
      <c r="F23" s="148">
        <f>_xlfn.XLOOKUP($B23,'Annualized Operations'!$B$13:$B$32,'Annualized Operations'!$E$13:$E$32,0,0,1)*$X$35</f>
        <v>-1573678.4159974076</v>
      </c>
      <c r="G23" s="228">
        <f t="shared" si="2"/>
        <v>-0.74479580198395012</v>
      </c>
      <c r="H23" s="229">
        <f t="shared" si="3"/>
        <v>-3.8176964853564792E-3</v>
      </c>
      <c r="I23" s="230">
        <f t="shared" si="4"/>
        <v>-1.4661819553013144E-2</v>
      </c>
      <c r="J23" s="149">
        <f t="shared" si="5"/>
        <v>-16385.507643646903</v>
      </c>
      <c r="K23" s="150">
        <f t="shared" si="6"/>
        <v>-234.78833384942348</v>
      </c>
      <c r="L23" s="151">
        <f t="shared" si="7"/>
        <v>-15673.485102171051</v>
      </c>
      <c r="M23" s="152">
        <f t="shared" si="9"/>
        <v>-32293.78107966738</v>
      </c>
      <c r="N23" s="153">
        <f>M23*(1+Assumptions!$D$13)^-($B23-Assumptions!$D$4)</f>
        <v>-14601.369775490602</v>
      </c>
      <c r="O23" s="151">
        <f t="shared" si="10"/>
        <v>-28442.252558767112</v>
      </c>
      <c r="Q23" s="231">
        <v>2033</v>
      </c>
      <c r="R23" s="232">
        <v>22000</v>
      </c>
      <c r="S23" s="232">
        <v>61500</v>
      </c>
      <c r="T23" s="232">
        <v>1069000</v>
      </c>
      <c r="U23" s="232">
        <v>270</v>
      </c>
      <c r="W23" s="155" t="s">
        <v>93</v>
      </c>
      <c r="X23" s="508">
        <f>AVERAGE(Z7:Z10)</f>
        <v>0.22790983982547491</v>
      </c>
      <c r="Y23" s="508">
        <f>AVERAGE(AA7:AA10)</f>
        <v>2.0699004398994176E-3</v>
      </c>
      <c r="Z23" s="508">
        <f>AVERAGE(AB7:AB10)</f>
        <v>5.8180715878192544E-3</v>
      </c>
      <c r="AA23" s="508">
        <f>AVERAGE(AC7:AC10)</f>
        <v>317.22468262036</v>
      </c>
    </row>
    <row r="24" spans="2:29" ht="15.75" thickBot="1" x14ac:dyDescent="0.3">
      <c r="B24" s="28">
        <f t="shared" si="8"/>
        <v>2049</v>
      </c>
      <c r="C24" s="393">
        <f t="shared" si="0"/>
        <v>-71.555791719204848</v>
      </c>
      <c r="D24" s="394">
        <f t="shared" si="1"/>
        <v>-24328.969184529647</v>
      </c>
      <c r="E24" s="395">
        <f>D24*(1+0.02)^-($B24-Assumptions!$D$4)</f>
        <v>-14253.419613708227</v>
      </c>
      <c r="F24" s="396">
        <f>_xlfn.XLOOKUP($B24,'Annualized Operations'!$B$13:$B$32,'Annualized Operations'!$E$13:$E$32,0,0,1)*$X$35</f>
        <v>-1633547.62443096</v>
      </c>
      <c r="G24" s="397">
        <f t="shared" si="2"/>
        <v>-0.77313090187229061</v>
      </c>
      <c r="H24" s="398">
        <f t="shared" si="3"/>
        <v>-3.9629373835567529E-3</v>
      </c>
      <c r="I24" s="399">
        <f t="shared" si="4"/>
        <v>-1.5219615556257001E-2</v>
      </c>
      <c r="J24" s="400">
        <f t="shared" si="5"/>
        <v>-17008.879841190392</v>
      </c>
      <c r="K24" s="401">
        <f t="shared" si="6"/>
        <v>-243.72064908874032</v>
      </c>
      <c r="L24" s="402">
        <f t="shared" si="7"/>
        <v>-16269.769029638734</v>
      </c>
      <c r="M24" s="403">
        <f t="shared" si="9"/>
        <v>-33522.369519917862</v>
      </c>
      <c r="N24" s="404">
        <f>M24*(1+Assumptions!$D$13)^-($B24-Assumptions!$D$4)</f>
        <v>-14701.130960449833</v>
      </c>
      <c r="O24" s="402">
        <f t="shared" si="10"/>
        <v>-28954.55057415806</v>
      </c>
      <c r="Q24" s="231">
        <v>2034</v>
      </c>
      <c r="R24" s="232">
        <v>22000</v>
      </c>
      <c r="S24" s="232">
        <v>61500</v>
      </c>
      <c r="T24" s="232">
        <v>1069000</v>
      </c>
      <c r="U24" s="232">
        <v>274</v>
      </c>
      <c r="W24" s="155" t="s">
        <v>96</v>
      </c>
      <c r="X24" s="508">
        <f>AVERAGE(Z11:Z19)</f>
        <v>2.099484306313415</v>
      </c>
      <c r="Y24" s="508">
        <f>AVERAGE(AA11:AA19)</f>
        <v>4.7858028693373951E-3</v>
      </c>
      <c r="Z24" s="508">
        <f>AVERAGE(AB11:AB19)</f>
        <v>3.2505287070740692E-2</v>
      </c>
      <c r="AA24" s="508">
        <f>AVERAGE(AC11:AC19)</f>
        <v>1238.7315972924489</v>
      </c>
    </row>
    <row r="25" spans="2:29" x14ac:dyDescent="0.25">
      <c r="B25" s="30"/>
      <c r="C25" s="156"/>
      <c r="D25" s="157"/>
      <c r="E25" s="158"/>
      <c r="F25" s="159"/>
      <c r="G25" s="160"/>
      <c r="H25" s="160"/>
      <c r="I25" s="160"/>
      <c r="J25" s="30"/>
      <c r="K25" s="30"/>
      <c r="L25" s="30"/>
      <c r="M25" s="157"/>
      <c r="N25" s="158"/>
      <c r="O25" s="161">
        <f>SUM(O5:O24)</f>
        <v>-439176.91067920119</v>
      </c>
      <c r="Q25" s="231">
        <v>2035</v>
      </c>
      <c r="R25" s="232">
        <v>22000</v>
      </c>
      <c r="S25" s="232">
        <v>61500</v>
      </c>
      <c r="T25" s="232">
        <v>1069000</v>
      </c>
      <c r="U25" s="232">
        <v>278</v>
      </c>
      <c r="V25" s="162"/>
    </row>
    <row r="26" spans="2:29" ht="16.5" x14ac:dyDescent="0.25">
      <c r="G26" s="61"/>
      <c r="H26" s="61"/>
      <c r="I26" s="61"/>
      <c r="Q26" s="231">
        <v>2036</v>
      </c>
      <c r="R26" s="232">
        <v>22000</v>
      </c>
      <c r="S26" s="232">
        <v>61500</v>
      </c>
      <c r="T26" s="232">
        <v>1069000</v>
      </c>
      <c r="U26" s="232">
        <v>282</v>
      </c>
      <c r="V26" s="162"/>
      <c r="W26" s="8" t="s">
        <v>273</v>
      </c>
    </row>
    <row r="27" spans="2:29" x14ac:dyDescent="0.25">
      <c r="B27" s="8" t="s">
        <v>40</v>
      </c>
      <c r="C27" s="8"/>
      <c r="D27" s="8"/>
      <c r="E27" s="8"/>
      <c r="Q27" s="231">
        <v>2037</v>
      </c>
      <c r="R27" s="232">
        <v>22000</v>
      </c>
      <c r="S27" s="232">
        <v>61500</v>
      </c>
      <c r="T27" s="232">
        <v>1069000</v>
      </c>
      <c r="U27" s="232">
        <v>287</v>
      </c>
      <c r="V27" s="162"/>
      <c r="W27" s="48" t="s">
        <v>93</v>
      </c>
      <c r="X27" s="49">
        <f>AVERAGE(AA48:AA50)</f>
        <v>0.24000000000000002</v>
      </c>
    </row>
    <row r="28" spans="2:29" x14ac:dyDescent="0.25">
      <c r="B28" s="33" t="s">
        <v>18</v>
      </c>
      <c r="C28" s="672" t="s">
        <v>106</v>
      </c>
      <c r="D28" s="672"/>
      <c r="E28" s="672"/>
      <c r="F28" s="672"/>
      <c r="G28" s="164"/>
      <c r="H28" s="164"/>
      <c r="I28" s="164"/>
      <c r="J28" s="164"/>
      <c r="K28" s="164"/>
      <c r="L28" s="164"/>
      <c r="M28" s="164"/>
      <c r="Q28" s="231">
        <v>2038</v>
      </c>
      <c r="R28" s="232">
        <v>22000</v>
      </c>
      <c r="S28" s="232">
        <v>61500</v>
      </c>
      <c r="T28" s="232">
        <v>1069000</v>
      </c>
      <c r="U28" s="232">
        <v>290</v>
      </c>
      <c r="V28" s="162"/>
      <c r="W28" t="s">
        <v>274</v>
      </c>
    </row>
    <row r="29" spans="2:29" x14ac:dyDescent="0.25">
      <c r="C29" s="672"/>
      <c r="D29" s="672"/>
      <c r="E29" s="672"/>
      <c r="F29" s="672"/>
      <c r="G29" s="164"/>
      <c r="H29" s="164"/>
      <c r="I29" s="164"/>
      <c r="J29" s="164"/>
      <c r="K29" s="164"/>
      <c r="L29" s="164"/>
      <c r="M29" s="164"/>
      <c r="Q29" s="231">
        <v>2039</v>
      </c>
      <c r="R29" s="232">
        <v>22000</v>
      </c>
      <c r="S29" s="232">
        <v>61500</v>
      </c>
      <c r="T29" s="232">
        <v>1069000</v>
      </c>
      <c r="U29" s="232">
        <v>294</v>
      </c>
      <c r="V29" s="162"/>
    </row>
    <row r="30" spans="2:29" ht="16.5" x14ac:dyDescent="0.25">
      <c r="C30" s="672"/>
      <c r="D30" s="672"/>
      <c r="E30" s="672"/>
      <c r="F30" s="672"/>
      <c r="G30" s="164"/>
      <c r="H30" s="164"/>
      <c r="I30" s="164"/>
      <c r="J30" s="164"/>
      <c r="K30" s="164"/>
      <c r="L30" s="164"/>
      <c r="M30" s="164"/>
      <c r="Q30" s="231">
        <v>2040</v>
      </c>
      <c r="R30" s="232">
        <v>22000</v>
      </c>
      <c r="S30" s="232">
        <v>61500</v>
      </c>
      <c r="T30" s="232">
        <v>1069000</v>
      </c>
      <c r="U30" s="232">
        <v>299</v>
      </c>
      <c r="V30" s="162"/>
      <c r="W30" s="8" t="s">
        <v>275</v>
      </c>
    </row>
    <row r="31" spans="2:29" x14ac:dyDescent="0.25">
      <c r="C31" s="8"/>
      <c r="D31" s="8"/>
      <c r="E31" s="8"/>
      <c r="F31" s="8"/>
      <c r="Q31" s="231">
        <v>2041</v>
      </c>
      <c r="R31" s="232">
        <v>22000</v>
      </c>
      <c r="S31" s="232">
        <v>61500</v>
      </c>
      <c r="T31" s="232">
        <v>1069000</v>
      </c>
      <c r="U31" s="232">
        <v>303</v>
      </c>
      <c r="V31" s="162"/>
      <c r="W31" s="48" t="s">
        <v>107</v>
      </c>
      <c r="X31" s="48" t="s">
        <v>108</v>
      </c>
    </row>
    <row r="32" spans="2:29" x14ac:dyDescent="0.25">
      <c r="B32" s="33" t="s">
        <v>19</v>
      </c>
      <c r="C32" s="672" t="s">
        <v>276</v>
      </c>
      <c r="D32" s="672"/>
      <c r="E32" s="672"/>
      <c r="F32" s="672"/>
      <c r="G32" s="164"/>
      <c r="H32" s="164"/>
      <c r="I32" s="164"/>
      <c r="J32" s="164"/>
      <c r="K32" s="164"/>
      <c r="L32" s="164"/>
      <c r="M32" s="164"/>
      <c r="Q32" s="231">
        <v>2042</v>
      </c>
      <c r="R32" s="232">
        <v>22000</v>
      </c>
      <c r="S32" s="232">
        <v>61500</v>
      </c>
      <c r="T32" s="232">
        <v>1069000</v>
      </c>
      <c r="U32" s="232">
        <v>308</v>
      </c>
      <c r="V32" s="162"/>
      <c r="W32" s="48" t="s">
        <v>93</v>
      </c>
      <c r="X32" s="49">
        <f>AVERAGE(X62:X65)</f>
        <v>27.8</v>
      </c>
    </row>
    <row r="33" spans="1:27" x14ac:dyDescent="0.25">
      <c r="C33" s="672"/>
      <c r="D33" s="672"/>
      <c r="E33" s="672"/>
      <c r="F33" s="672"/>
      <c r="G33" s="164"/>
      <c r="H33" s="164"/>
      <c r="I33" s="164"/>
      <c r="J33" s="164"/>
      <c r="K33" s="164"/>
      <c r="L33" s="164"/>
      <c r="M33" s="164"/>
      <c r="Q33" s="231">
        <v>2043</v>
      </c>
      <c r="R33" s="232">
        <v>22000</v>
      </c>
      <c r="S33" s="232">
        <v>61500</v>
      </c>
      <c r="T33" s="232">
        <v>1069000</v>
      </c>
      <c r="U33" s="232">
        <v>312</v>
      </c>
      <c r="V33" s="162"/>
    </row>
    <row r="34" spans="1:27" ht="16.5" x14ac:dyDescent="0.25">
      <c r="B34" s="33"/>
      <c r="C34" s="672"/>
      <c r="D34" s="672"/>
      <c r="E34" s="672"/>
      <c r="F34" s="672"/>
      <c r="G34" s="34"/>
      <c r="H34" s="34"/>
      <c r="I34" s="164"/>
      <c r="Q34" s="231">
        <v>2044</v>
      </c>
      <c r="R34" s="232">
        <v>22000</v>
      </c>
      <c r="S34" s="232">
        <v>61500</v>
      </c>
      <c r="T34" s="232">
        <v>1069000</v>
      </c>
      <c r="U34" s="232">
        <v>317</v>
      </c>
      <c r="V34" s="162"/>
      <c r="W34" s="8" t="s">
        <v>277</v>
      </c>
    </row>
    <row r="35" spans="1:27" x14ac:dyDescent="0.25">
      <c r="Q35" s="231">
        <v>2045</v>
      </c>
      <c r="R35" s="232">
        <v>22000</v>
      </c>
      <c r="S35" s="232">
        <v>61500</v>
      </c>
      <c r="T35" s="232">
        <v>1069000</v>
      </c>
      <c r="U35" s="232">
        <v>321</v>
      </c>
      <c r="V35" s="162"/>
      <c r="W35" s="48" t="s">
        <v>278</v>
      </c>
      <c r="X35" s="49">
        <f>X27*X32</f>
        <v>6.6720000000000006</v>
      </c>
      <c r="Y35" s="48" t="s">
        <v>0</v>
      </c>
    </row>
    <row r="36" spans="1:27" x14ac:dyDescent="0.25">
      <c r="B36" s="33" t="s">
        <v>279</v>
      </c>
      <c r="C36" s="709" t="s">
        <v>280</v>
      </c>
      <c r="D36" s="709"/>
      <c r="E36" s="709"/>
      <c r="F36" s="709"/>
      <c r="Q36" s="231">
        <v>2046</v>
      </c>
      <c r="R36" s="232">
        <v>22000</v>
      </c>
      <c r="S36" s="232">
        <v>61500</v>
      </c>
      <c r="T36" s="232">
        <v>1069000</v>
      </c>
      <c r="U36" s="232">
        <v>326</v>
      </c>
      <c r="V36" s="162"/>
    </row>
    <row r="37" spans="1:27" x14ac:dyDescent="0.25">
      <c r="A37" s="33"/>
      <c r="Q37" s="231">
        <v>2047</v>
      </c>
      <c r="R37" s="232">
        <v>22000</v>
      </c>
      <c r="S37" s="232">
        <v>61500</v>
      </c>
      <c r="T37" s="232">
        <v>1069000</v>
      </c>
      <c r="U37" s="232">
        <v>331</v>
      </c>
      <c r="V37" s="162"/>
    </row>
    <row r="38" spans="1:27" ht="18.75" x14ac:dyDescent="0.25">
      <c r="B38" s="163"/>
      <c r="C38" s="163"/>
      <c r="D38" s="163"/>
      <c r="E38" s="163"/>
      <c r="F38" s="163"/>
      <c r="G38" s="163"/>
      <c r="H38" s="163"/>
      <c r="I38" s="163"/>
      <c r="Q38" s="231">
        <v>2048</v>
      </c>
      <c r="R38" s="232">
        <v>22000</v>
      </c>
      <c r="S38" s="232">
        <v>61500</v>
      </c>
      <c r="T38" s="232">
        <v>1069000</v>
      </c>
      <c r="U38" s="232">
        <v>336</v>
      </c>
      <c r="V38" s="162"/>
      <c r="W38" s="167" t="s">
        <v>281</v>
      </c>
      <c r="X38" s="166"/>
      <c r="Y38" s="166"/>
      <c r="Z38" s="166"/>
      <c r="AA38" s="166"/>
    </row>
    <row r="39" spans="1:27" ht="15.75" x14ac:dyDescent="0.25">
      <c r="B39" s="163"/>
      <c r="C39" s="163"/>
      <c r="D39" s="163"/>
      <c r="E39" s="163"/>
      <c r="F39" s="163"/>
      <c r="G39" s="163"/>
      <c r="H39" s="163"/>
      <c r="I39" s="163"/>
      <c r="Q39" s="231">
        <v>2049</v>
      </c>
      <c r="R39" s="232">
        <v>22000</v>
      </c>
      <c r="S39" s="232">
        <v>61500</v>
      </c>
      <c r="T39" s="232">
        <v>1069000</v>
      </c>
      <c r="U39" s="232">
        <v>340</v>
      </c>
      <c r="V39" s="162"/>
      <c r="W39" s="233" t="s">
        <v>109</v>
      </c>
      <c r="X39" s="234" t="s">
        <v>110</v>
      </c>
      <c r="Y39" s="234" t="s">
        <v>111</v>
      </c>
      <c r="Z39" s="234" t="s">
        <v>112</v>
      </c>
      <c r="AA39" s="234" t="s">
        <v>113</v>
      </c>
    </row>
    <row r="40" spans="1:27" ht="15.75" x14ac:dyDescent="0.25">
      <c r="G40" s="164"/>
      <c r="H40" s="163"/>
      <c r="I40" s="163"/>
      <c r="Q40" s="231">
        <v>2050</v>
      </c>
      <c r="R40" s="232">
        <v>22000</v>
      </c>
      <c r="S40" s="232">
        <v>61500</v>
      </c>
      <c r="T40" s="232">
        <v>1069000</v>
      </c>
      <c r="U40" s="232">
        <v>345</v>
      </c>
      <c r="V40" s="162"/>
      <c r="W40" s="234" t="s">
        <v>114</v>
      </c>
      <c r="X40" s="235" t="s">
        <v>115</v>
      </c>
      <c r="Y40" s="235" t="s">
        <v>116</v>
      </c>
      <c r="Z40" s="236">
        <v>80000</v>
      </c>
      <c r="AA40" s="237">
        <v>0.64</v>
      </c>
    </row>
    <row r="41" spans="1:27" ht="15.75" x14ac:dyDescent="0.25">
      <c r="G41" s="164"/>
      <c r="H41" s="163"/>
      <c r="I41" s="163"/>
      <c r="Q41" s="231">
        <v>2051</v>
      </c>
      <c r="R41" s="232">
        <v>22000</v>
      </c>
      <c r="S41" s="232">
        <v>61500</v>
      </c>
      <c r="T41" s="232">
        <v>1069000</v>
      </c>
      <c r="U41" s="232">
        <v>349</v>
      </c>
      <c r="V41" s="162"/>
      <c r="W41" s="234" t="s">
        <v>117</v>
      </c>
      <c r="X41" s="235" t="s">
        <v>115</v>
      </c>
      <c r="Y41" s="235" t="s">
        <v>116</v>
      </c>
      <c r="Z41" s="236">
        <v>37000</v>
      </c>
      <c r="AA41" s="237">
        <v>0.9</v>
      </c>
    </row>
    <row r="42" spans="1:27" ht="15.75" x14ac:dyDescent="0.25">
      <c r="A42" s="33"/>
      <c r="G42" s="164"/>
      <c r="H42" s="163"/>
      <c r="I42" s="163"/>
      <c r="Q42" s="231">
        <v>2052</v>
      </c>
      <c r="R42" s="232">
        <v>22000</v>
      </c>
      <c r="S42" s="232">
        <v>61500</v>
      </c>
      <c r="T42" s="232">
        <v>1069000</v>
      </c>
      <c r="U42" s="232">
        <v>353</v>
      </c>
      <c r="V42" s="162"/>
      <c r="W42" s="234" t="s">
        <v>101</v>
      </c>
      <c r="X42" s="235" t="s">
        <v>115</v>
      </c>
      <c r="Y42" s="235" t="s">
        <v>116</v>
      </c>
      <c r="Z42" s="236">
        <v>32000</v>
      </c>
      <c r="AA42" s="237">
        <v>0.49</v>
      </c>
    </row>
    <row r="43" spans="1:27" ht="15.75" x14ac:dyDescent="0.25">
      <c r="G43" s="164"/>
      <c r="H43" s="164"/>
      <c r="I43" s="164"/>
      <c r="N43" s="165"/>
      <c r="O43" s="165"/>
      <c r="Q43" s="231">
        <v>2053</v>
      </c>
      <c r="R43" s="232">
        <v>22000</v>
      </c>
      <c r="S43" s="232">
        <v>61500</v>
      </c>
      <c r="T43" s="232">
        <v>1069000</v>
      </c>
      <c r="U43" s="232">
        <v>357</v>
      </c>
      <c r="V43" s="162"/>
      <c r="W43" s="234" t="s">
        <v>118</v>
      </c>
      <c r="X43" s="235" t="s">
        <v>115</v>
      </c>
      <c r="Y43" s="235" t="s">
        <v>116</v>
      </c>
      <c r="Z43" s="236">
        <v>30000</v>
      </c>
      <c r="AA43" s="237">
        <v>0.97</v>
      </c>
    </row>
    <row r="44" spans="1:27" ht="15.75" x14ac:dyDescent="0.25">
      <c r="G44" s="164"/>
      <c r="H44" s="164"/>
      <c r="I44" s="164"/>
      <c r="N44" s="165"/>
      <c r="O44" s="165"/>
      <c r="W44" s="234" t="s">
        <v>119</v>
      </c>
      <c r="X44" s="235" t="s">
        <v>115</v>
      </c>
      <c r="Y44" s="238" t="s">
        <v>120</v>
      </c>
      <c r="Z44" s="235" t="s">
        <v>121</v>
      </c>
      <c r="AA44" s="237">
        <v>0.44</v>
      </c>
    </row>
    <row r="45" spans="1:27" ht="15.75" x14ac:dyDescent="0.25">
      <c r="A45" s="33"/>
      <c r="G45" s="164"/>
      <c r="H45" s="164"/>
      <c r="I45" s="164"/>
      <c r="J45" s="47"/>
      <c r="L45" s="34"/>
      <c r="M45" s="34"/>
      <c r="N45" s="165"/>
      <c r="O45" s="165"/>
      <c r="W45" s="234" t="s">
        <v>122</v>
      </c>
      <c r="X45" s="235" t="s">
        <v>115</v>
      </c>
      <c r="Y45" s="235" t="s">
        <v>116</v>
      </c>
      <c r="Z45" s="236">
        <v>26000</v>
      </c>
      <c r="AA45" s="237">
        <v>0.59</v>
      </c>
    </row>
    <row r="46" spans="1:27" ht="15.75" x14ac:dyDescent="0.25">
      <c r="G46" s="164"/>
      <c r="H46" s="164"/>
      <c r="I46" s="164"/>
      <c r="J46" s="47"/>
      <c r="L46" s="34"/>
      <c r="M46" s="34"/>
      <c r="W46" s="234" t="s">
        <v>123</v>
      </c>
      <c r="X46" s="235" t="s">
        <v>115</v>
      </c>
      <c r="Y46" s="235" t="s">
        <v>116</v>
      </c>
      <c r="Z46" s="236">
        <v>19500</v>
      </c>
      <c r="AA46" s="237">
        <v>0.84</v>
      </c>
    </row>
    <row r="47" spans="1:27" ht="15.75" x14ac:dyDescent="0.25">
      <c r="A47" s="33"/>
      <c r="G47" s="164"/>
      <c r="H47" s="164"/>
      <c r="I47" s="164"/>
      <c r="L47" s="34"/>
      <c r="M47" s="34"/>
      <c r="W47" s="234" t="s">
        <v>119</v>
      </c>
      <c r="X47" s="235" t="s">
        <v>124</v>
      </c>
      <c r="Y47" s="238" t="s">
        <v>125</v>
      </c>
      <c r="Z47" s="235" t="s">
        <v>126</v>
      </c>
      <c r="AA47" s="237">
        <v>0.84</v>
      </c>
    </row>
    <row r="48" spans="1:27" ht="15.75" x14ac:dyDescent="0.25">
      <c r="G48" s="164"/>
      <c r="H48" s="164"/>
      <c r="I48" s="164"/>
      <c r="L48" s="34"/>
      <c r="M48" s="34"/>
      <c r="W48" s="234" t="s">
        <v>127</v>
      </c>
      <c r="X48" s="235" t="s">
        <v>115</v>
      </c>
      <c r="Y48" s="235">
        <v>2</v>
      </c>
      <c r="Z48" s="235" t="s">
        <v>116</v>
      </c>
      <c r="AA48" s="237">
        <v>0.17</v>
      </c>
    </row>
    <row r="49" spans="1:27" ht="15.75" x14ac:dyDescent="0.25">
      <c r="B49" s="164"/>
      <c r="C49" s="164"/>
      <c r="D49" s="164"/>
      <c r="E49" s="164"/>
      <c r="F49" s="164"/>
      <c r="G49" s="164"/>
      <c r="H49" s="164"/>
      <c r="I49" s="164"/>
      <c r="J49" s="34"/>
      <c r="K49" s="34"/>
      <c r="L49" s="34"/>
      <c r="M49" s="34"/>
      <c r="W49" s="234" t="s">
        <v>128</v>
      </c>
      <c r="X49" s="235" t="s">
        <v>124</v>
      </c>
      <c r="Y49" s="235">
        <v>4.5999999999999996</v>
      </c>
      <c r="Z49" s="235" t="s">
        <v>116</v>
      </c>
      <c r="AA49" s="237">
        <v>0.39</v>
      </c>
    </row>
    <row r="50" spans="1:27" ht="15.75" x14ac:dyDescent="0.25">
      <c r="B50" s="164"/>
      <c r="C50" s="164"/>
      <c r="D50" s="164"/>
      <c r="E50" s="164"/>
      <c r="F50" s="164"/>
      <c r="G50" s="164"/>
      <c r="H50" s="164"/>
      <c r="I50" s="164"/>
      <c r="K50" s="34"/>
      <c r="L50" s="34"/>
      <c r="M50" s="34"/>
      <c r="W50" s="234" t="s">
        <v>127</v>
      </c>
      <c r="X50" s="235" t="s">
        <v>124</v>
      </c>
      <c r="Y50" s="235">
        <v>2</v>
      </c>
      <c r="Z50" s="235" t="s">
        <v>116</v>
      </c>
      <c r="AA50" s="237">
        <v>0.16</v>
      </c>
    </row>
    <row r="51" spans="1:27" x14ac:dyDescent="0.25">
      <c r="B51" s="164"/>
      <c r="C51" s="164"/>
      <c r="D51" s="164"/>
      <c r="E51" s="164"/>
      <c r="F51" s="164"/>
      <c r="G51" s="164"/>
      <c r="H51" s="164"/>
      <c r="I51" s="164"/>
      <c r="J51" s="164"/>
      <c r="L51" s="34"/>
      <c r="M51" s="34"/>
    </row>
    <row r="52" spans="1:27" x14ac:dyDescent="0.25">
      <c r="B52" s="164"/>
      <c r="C52" s="164"/>
      <c r="D52" s="164"/>
      <c r="E52" s="164"/>
      <c r="F52" s="164"/>
      <c r="G52" s="164"/>
      <c r="H52" s="164"/>
      <c r="I52" s="164"/>
      <c r="J52" s="164"/>
    </row>
    <row r="53" spans="1:27" ht="15.75" thickBot="1" x14ac:dyDescent="0.3">
      <c r="B53" s="164"/>
      <c r="C53" s="164"/>
      <c r="D53" s="164"/>
      <c r="E53" s="164"/>
      <c r="F53" s="164"/>
      <c r="G53" s="164"/>
      <c r="H53" s="164"/>
      <c r="I53" s="164"/>
      <c r="J53" s="164"/>
      <c r="K53" s="164"/>
    </row>
    <row r="54" spans="1:27" ht="19.5" thickBot="1" x14ac:dyDescent="0.3">
      <c r="B54" s="164"/>
      <c r="C54" s="164"/>
      <c r="D54" s="164"/>
      <c r="E54" s="164"/>
      <c r="F54" s="164"/>
      <c r="G54" s="164"/>
      <c r="H54" s="164"/>
      <c r="I54" s="164"/>
      <c r="J54" s="164"/>
      <c r="K54" s="164"/>
      <c r="W54" s="239" t="s">
        <v>282</v>
      </c>
      <c r="X54" s="240"/>
      <c r="Y54" s="240"/>
      <c r="Z54" s="241"/>
    </row>
    <row r="55" spans="1:27" x14ac:dyDescent="0.25">
      <c r="A55" s="33"/>
      <c r="B55" s="164"/>
      <c r="C55" s="164"/>
      <c r="D55" s="164"/>
      <c r="E55" s="164"/>
      <c r="F55" s="164"/>
      <c r="G55" s="164"/>
      <c r="H55" s="164"/>
      <c r="I55" s="164"/>
      <c r="J55" s="164"/>
      <c r="K55" s="164"/>
      <c r="W55" s="203" t="s">
        <v>109</v>
      </c>
      <c r="X55" s="204" t="s">
        <v>247</v>
      </c>
      <c r="Y55" s="204" t="s">
        <v>248</v>
      </c>
      <c r="Z55" s="205" t="s">
        <v>249</v>
      </c>
    </row>
    <row r="56" spans="1:27" x14ac:dyDescent="0.25">
      <c r="B56" s="164"/>
      <c r="C56" s="164"/>
      <c r="D56" s="164"/>
      <c r="E56" s="164"/>
      <c r="F56" s="164"/>
      <c r="G56" s="164"/>
      <c r="J56" s="164"/>
      <c r="K56" s="164"/>
      <c r="W56" s="206" t="s">
        <v>250</v>
      </c>
      <c r="X56" s="207">
        <v>2.4779999999999998</v>
      </c>
      <c r="Y56" s="208">
        <v>2.8</v>
      </c>
      <c r="Z56" s="209" t="s">
        <v>147</v>
      </c>
    </row>
    <row r="57" spans="1:27" x14ac:dyDescent="0.25">
      <c r="B57" s="164"/>
      <c r="C57" s="164"/>
      <c r="D57" s="164"/>
      <c r="E57" s="164"/>
      <c r="F57" s="164"/>
      <c r="G57" s="164"/>
      <c r="I57" s="34"/>
      <c r="J57" s="164"/>
      <c r="K57" s="164"/>
      <c r="U57" s="202"/>
      <c r="W57" s="206" t="s">
        <v>118</v>
      </c>
      <c r="X57" s="207">
        <v>3.2745000000000002</v>
      </c>
      <c r="Y57" s="208">
        <v>3.7</v>
      </c>
      <c r="Z57" s="209" t="s">
        <v>148</v>
      </c>
    </row>
    <row r="58" spans="1:27" x14ac:dyDescent="0.25">
      <c r="B58" s="34"/>
      <c r="C58" s="34"/>
      <c r="D58" s="34"/>
      <c r="E58" s="34"/>
      <c r="F58" s="34"/>
      <c r="I58" s="34"/>
      <c r="J58" s="164"/>
      <c r="K58" s="164"/>
      <c r="U58" s="202"/>
      <c r="W58" s="206" t="s">
        <v>251</v>
      </c>
      <c r="X58" s="207">
        <v>5.3100000000000005</v>
      </c>
      <c r="Y58" s="210">
        <v>6</v>
      </c>
      <c r="Z58" s="209" t="s">
        <v>149</v>
      </c>
    </row>
    <row r="59" spans="1:27" x14ac:dyDescent="0.25">
      <c r="J59" s="164"/>
      <c r="K59" s="164"/>
      <c r="U59" s="202"/>
      <c r="W59" s="206" t="s">
        <v>252</v>
      </c>
      <c r="X59" s="207">
        <v>6.1950000000000003</v>
      </c>
      <c r="Y59" s="208">
        <v>7</v>
      </c>
      <c r="Z59" s="209" t="s">
        <v>253</v>
      </c>
    </row>
    <row r="60" spans="1:27" x14ac:dyDescent="0.25">
      <c r="A60" s="33"/>
      <c r="B60" s="164"/>
      <c r="C60" s="164"/>
      <c r="D60" s="164"/>
      <c r="E60" s="164"/>
      <c r="F60" s="164"/>
      <c r="G60" s="164"/>
      <c r="H60" s="164"/>
      <c r="I60" s="164"/>
      <c r="J60" s="164"/>
      <c r="K60" s="164"/>
      <c r="U60" s="202"/>
      <c r="W60" s="206" t="s">
        <v>123</v>
      </c>
      <c r="X60" s="207">
        <v>6.5401499999999997</v>
      </c>
      <c r="Y60" s="210">
        <v>7.39</v>
      </c>
      <c r="Z60" s="209" t="s">
        <v>149</v>
      </c>
    </row>
    <row r="61" spans="1:27" x14ac:dyDescent="0.25">
      <c r="B61" s="164"/>
      <c r="C61" s="164"/>
      <c r="D61" s="164"/>
      <c r="E61" s="164"/>
      <c r="F61" s="164"/>
      <c r="G61" s="164"/>
      <c r="H61" s="164"/>
      <c r="J61" s="164"/>
      <c r="K61" s="164"/>
      <c r="W61" s="206" t="s">
        <v>254</v>
      </c>
      <c r="X61" s="207">
        <v>7.08</v>
      </c>
      <c r="Y61" s="211">
        <v>8</v>
      </c>
      <c r="Z61" s="209" t="s">
        <v>148</v>
      </c>
    </row>
    <row r="62" spans="1:27" x14ac:dyDescent="0.25">
      <c r="J62" s="164"/>
      <c r="K62" s="164"/>
      <c r="W62" s="206" t="s">
        <v>255</v>
      </c>
      <c r="X62" s="212">
        <v>17.5</v>
      </c>
      <c r="Y62" s="213">
        <v>19.774011299435028</v>
      </c>
      <c r="Z62" s="209" t="s">
        <v>149</v>
      </c>
    </row>
    <row r="63" spans="1:27" x14ac:dyDescent="0.25">
      <c r="A63" s="33"/>
      <c r="J63" s="164"/>
      <c r="K63" s="164"/>
      <c r="W63" s="206" t="s">
        <v>246</v>
      </c>
      <c r="X63" s="212">
        <v>24.2</v>
      </c>
      <c r="Y63" s="213">
        <v>27.344632768361581</v>
      </c>
      <c r="Z63" s="209" t="s">
        <v>149</v>
      </c>
    </row>
    <row r="64" spans="1:27" x14ac:dyDescent="0.25">
      <c r="J64" s="164"/>
      <c r="K64" s="164"/>
      <c r="W64" s="214" t="s">
        <v>256</v>
      </c>
      <c r="X64" s="215">
        <v>25.5</v>
      </c>
      <c r="Y64" s="213">
        <v>28.8135593220339</v>
      </c>
      <c r="Z64" s="216" t="s">
        <v>257</v>
      </c>
    </row>
    <row r="65" spans="10:26" ht="15.75" thickBot="1" x14ac:dyDescent="0.3">
      <c r="W65" s="217" t="s">
        <v>94</v>
      </c>
      <c r="X65" s="218">
        <v>44</v>
      </c>
      <c r="Y65" s="219">
        <v>49.717514124293785</v>
      </c>
      <c r="Z65" s="220" t="s">
        <v>149</v>
      </c>
    </row>
    <row r="66" spans="10:26" x14ac:dyDescent="0.25">
      <c r="J66" s="34"/>
    </row>
    <row r="67" spans="10:26" x14ac:dyDescent="0.25">
      <c r="J67" s="34"/>
      <c r="L67" s="164"/>
    </row>
    <row r="69" spans="10:26" x14ac:dyDescent="0.25">
      <c r="J69" s="164"/>
      <c r="K69" s="164"/>
    </row>
  </sheetData>
  <mergeCells count="19">
    <mergeCell ref="C28:F30"/>
    <mergeCell ref="C32:F34"/>
    <mergeCell ref="C36:F36"/>
    <mergeCell ref="J3:J4"/>
    <mergeCell ref="K3:K4"/>
    <mergeCell ref="L3:L4"/>
    <mergeCell ref="M3:M4"/>
    <mergeCell ref="N3:N4"/>
    <mergeCell ref="O3:O4"/>
    <mergeCell ref="C2:E2"/>
    <mergeCell ref="F2:N2"/>
    <mergeCell ref="G3:G4"/>
    <mergeCell ref="H3:H4"/>
    <mergeCell ref="I3:I4"/>
    <mergeCell ref="B3:B4"/>
    <mergeCell ref="C3:C4"/>
    <mergeCell ref="D3:D4"/>
    <mergeCell ref="E3:E4"/>
    <mergeCell ref="F3:F4"/>
  </mergeCells>
  <pageMargins left="0.25" right="0.25" top="0.75" bottom="0.75" header="0.3" footer="0.3"/>
  <pageSetup paperSize="3" scale="97" orientation="landscape"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5C26C9-F5E6-470C-8B47-71D2FC2F331C}">
  <sheetPr>
    <tabColor rgb="FF00B050"/>
    <pageSetUpPr fitToPage="1"/>
  </sheetPr>
  <dimension ref="B2:K31"/>
  <sheetViews>
    <sheetView view="pageBreakPreview" zoomScale="85" zoomScaleNormal="85" zoomScaleSheetLayoutView="85" workbookViewId="0">
      <selection activeCell="J12" sqref="J12"/>
    </sheetView>
  </sheetViews>
  <sheetFormatPr defaultColWidth="9.140625" defaultRowHeight="15" x14ac:dyDescent="0.25"/>
  <cols>
    <col min="1" max="1" width="3.7109375" customWidth="1"/>
    <col min="2" max="2" width="11.140625" customWidth="1"/>
    <col min="3" max="7" width="14" customWidth="1"/>
    <col min="8" max="8" width="5.7109375" customWidth="1"/>
    <col min="9" max="9" width="24.5703125" customWidth="1"/>
    <col min="10" max="10" width="15.28515625" customWidth="1"/>
    <col min="11" max="11" width="16" customWidth="1"/>
    <col min="12" max="12" width="21.42578125" bestFit="1" customWidth="1"/>
  </cols>
  <sheetData>
    <row r="2" spans="2:11" x14ac:dyDescent="0.25">
      <c r="B2" s="8" t="s">
        <v>260</v>
      </c>
    </row>
    <row r="3" spans="2:11" ht="15.75" thickBot="1" x14ac:dyDescent="0.3">
      <c r="B3" s="8"/>
    </row>
    <row r="4" spans="2:11" ht="15.75" thickBot="1" x14ac:dyDescent="0.3">
      <c r="C4" s="719" t="s">
        <v>35</v>
      </c>
      <c r="D4" s="720"/>
      <c r="E4" s="720"/>
      <c r="F4" s="720"/>
      <c r="G4" s="721"/>
      <c r="J4" s="20"/>
      <c r="K4" s="20"/>
    </row>
    <row r="5" spans="2:11" x14ac:dyDescent="0.25">
      <c r="B5" s="677" t="s">
        <v>8</v>
      </c>
      <c r="C5" s="710" t="s">
        <v>262</v>
      </c>
      <c r="D5" s="712" t="s">
        <v>263</v>
      </c>
      <c r="E5" s="714" t="s">
        <v>3</v>
      </c>
      <c r="F5" s="716" t="s">
        <v>36</v>
      </c>
      <c r="G5" s="722" t="s">
        <v>37</v>
      </c>
      <c r="I5" s="20"/>
    </row>
    <row r="6" spans="2:11" ht="15.75" thickBot="1" x14ac:dyDescent="0.3">
      <c r="B6" s="679"/>
      <c r="C6" s="711"/>
      <c r="D6" s="713"/>
      <c r="E6" s="715"/>
      <c r="F6" s="717"/>
      <c r="G6" s="723"/>
      <c r="I6" s="718" t="s">
        <v>264</v>
      </c>
      <c r="J6" s="718"/>
    </row>
    <row r="7" spans="2:11" x14ac:dyDescent="0.25">
      <c r="B7" s="21">
        <f>Assumptions!D8</f>
        <v>2030</v>
      </c>
      <c r="C7" s="52">
        <f>_xlfn.XLOOKUP($B7,'Annualized Operations'!$B$13:$B$32,'Annualized Operations'!C$13:C$32,0,0,1)</f>
        <v>92180.711091373116</v>
      </c>
      <c r="D7" s="53">
        <f>_xlfn.XLOOKUP($B7,'Annualized Operations'!$B$13:$B$32,'Annualized Operations'!D$13:D$32,0,0,1)</f>
        <v>17835.287800982594</v>
      </c>
      <c r="E7" s="54">
        <f>C7-D7</f>
        <v>74345.423290390521</v>
      </c>
      <c r="F7" s="55">
        <f>E7*$J$19</f>
        <v>2440960.1574532427</v>
      </c>
      <c r="G7" s="56">
        <f>F7*(1+Assumptions!$D$13)^-($B7-Assumptions!$D$4)</f>
        <v>1912015.3231097998</v>
      </c>
      <c r="I7" s="13" t="s">
        <v>9</v>
      </c>
      <c r="J7" s="14">
        <f>Assumptions!D17</f>
        <v>19.600000000000001</v>
      </c>
    </row>
    <row r="8" spans="2:11" x14ac:dyDescent="0.25">
      <c r="B8" s="22">
        <f>B7+1</f>
        <v>2031</v>
      </c>
      <c r="C8" s="57">
        <f>_xlfn.XLOOKUP($B8,'Annualized Operations'!$B$13:$B$32,'Annualized Operations'!C$13:C$32,0,0,1)</f>
        <v>103306.56348832324</v>
      </c>
      <c r="D8" s="58">
        <f>_xlfn.XLOOKUP($B8,'Annualized Operations'!$B$13:$B$32,'Annualized Operations'!D$13:D$32,0,0,1)</f>
        <v>19987.937495062128</v>
      </c>
      <c r="E8" s="59">
        <f t="shared" ref="E8:E26" si="0">C8-D8</f>
        <v>83318.625993261114</v>
      </c>
      <c r="F8" s="60">
        <f>E8*$J$19</f>
        <v>2735574.5306461374</v>
      </c>
      <c r="G8" s="23">
        <f>F8*(1+Assumptions!$D$13)^-($B8-Assumptions!$D$4)</f>
        <v>2078358.9886163378</v>
      </c>
      <c r="I8" s="13" t="s">
        <v>11</v>
      </c>
      <c r="J8" s="18">
        <f>Assumptions!D18</f>
        <v>33.5</v>
      </c>
    </row>
    <row r="9" spans="2:11" x14ac:dyDescent="0.25">
      <c r="B9" s="22">
        <f t="shared" ref="B9:B26" si="1">B8+1</f>
        <v>2032</v>
      </c>
      <c r="C9" s="57">
        <f>_xlfn.XLOOKUP($B9,'Annualized Operations'!$B$13:$B$32,'Annualized Operations'!C$13:C$32,0,0,1)</f>
        <v>114432.41588527337</v>
      </c>
      <c r="D9" s="58">
        <f>_xlfn.XLOOKUP($B9,'Annualized Operations'!$B$13:$B$32,'Annualized Operations'!D$13:D$32,0,0,1)</f>
        <v>22140.58718914073</v>
      </c>
      <c r="E9" s="59">
        <f t="shared" si="0"/>
        <v>92291.828696132638</v>
      </c>
      <c r="F9" s="60">
        <f t="shared" ref="F9:F26" si="2">E9*$J$19</f>
        <v>3030188.9038390629</v>
      </c>
      <c r="G9" s="23">
        <f>F9*(1+Assumptions!$D$13)^-($B9-Assumptions!$D$4)</f>
        <v>2232970.8346939469</v>
      </c>
      <c r="H9" s="61"/>
      <c r="I9" s="20"/>
      <c r="J9" s="19"/>
    </row>
    <row r="10" spans="2:11" ht="16.5" x14ac:dyDescent="0.25">
      <c r="B10" s="22">
        <f t="shared" si="1"/>
        <v>2033</v>
      </c>
      <c r="C10" s="57">
        <f>_xlfn.XLOOKUP($B10,'Annualized Operations'!$B$13:$B$32,'Annualized Operations'!C$13:C$32,0,0,1)</f>
        <v>125558.26828222349</v>
      </c>
      <c r="D10" s="58">
        <f>_xlfn.XLOOKUP($B10,'Annualized Operations'!$B$13:$B$32,'Annualized Operations'!D$13:D$32,0,0,1)</f>
        <v>24293.236883220263</v>
      </c>
      <c r="E10" s="59">
        <f t="shared" si="0"/>
        <v>101265.03139900323</v>
      </c>
      <c r="F10" s="60">
        <f t="shared" si="2"/>
        <v>3324803.2770319581</v>
      </c>
      <c r="G10" s="23">
        <f>F10*(1+Assumptions!$D$13)^-($B10-Assumptions!$D$4)</f>
        <v>2376405.9758754629</v>
      </c>
      <c r="I10" s="718" t="s">
        <v>265</v>
      </c>
      <c r="J10" s="718"/>
    </row>
    <row r="11" spans="2:11" x14ac:dyDescent="0.25">
      <c r="B11" s="22">
        <f t="shared" si="1"/>
        <v>2034</v>
      </c>
      <c r="C11" s="57">
        <f>_xlfn.XLOOKUP($B11,'Annualized Operations'!$B$13:$B$32,'Annualized Operations'!C$13:C$32,0,0,1)</f>
        <v>136684.12067917362</v>
      </c>
      <c r="D11" s="58">
        <f>_xlfn.XLOOKUP($B11,'Annualized Operations'!$B$13:$B$32,'Annualized Operations'!D$13:D$32,0,0,1)</f>
        <v>26445.886577299796</v>
      </c>
      <c r="E11" s="59">
        <f t="shared" si="0"/>
        <v>110238.23410187382</v>
      </c>
      <c r="F11" s="60">
        <f t="shared" si="2"/>
        <v>3619417.6502248533</v>
      </c>
      <c r="G11" s="23">
        <f>F11*(1+Assumptions!$D$13)^-($B11-Assumptions!$D$4)</f>
        <v>2509196.7509261933</v>
      </c>
      <c r="I11" s="13" t="s">
        <v>12</v>
      </c>
      <c r="J11" s="24">
        <f>1-J12</f>
        <v>0.86889460154241649</v>
      </c>
    </row>
    <row r="12" spans="2:11" x14ac:dyDescent="0.25">
      <c r="B12" s="22">
        <f t="shared" si="1"/>
        <v>2035</v>
      </c>
      <c r="C12" s="57">
        <f>_xlfn.XLOOKUP($B12,'Annualized Operations'!$B$13:$B$32,'Annualized Operations'!C$13:C$32,0,0,1)</f>
        <v>147809.97307612374</v>
      </c>
      <c r="D12" s="58">
        <f>_xlfn.XLOOKUP($B12,'Annualized Operations'!$B$13:$B$32,'Annualized Operations'!D$13:D$32,0,0,1)</f>
        <v>28598.536271378398</v>
      </c>
      <c r="E12" s="59">
        <f t="shared" si="0"/>
        <v>119211.43680474535</v>
      </c>
      <c r="F12" s="60">
        <f t="shared" si="2"/>
        <v>3914032.0234177788</v>
      </c>
      <c r="G12" s="23">
        <f>F12*(1+Assumptions!$D$13)^-($B12-Assumptions!$D$4)</f>
        <v>2631853.5906156194</v>
      </c>
      <c r="I12" s="13" t="s">
        <v>13</v>
      </c>
      <c r="J12" s="24">
        <f>Assumptions!D14</f>
        <v>0.13110539845758354</v>
      </c>
    </row>
    <row r="13" spans="2:11" x14ac:dyDescent="0.25">
      <c r="B13" s="22">
        <f t="shared" si="1"/>
        <v>2036</v>
      </c>
      <c r="C13" s="57">
        <f>_xlfn.XLOOKUP($B13,'Annualized Operations'!$B$13:$B$32,'Annualized Operations'!C$13:C$32,0,0,1)</f>
        <v>158935.82547307014</v>
      </c>
      <c r="D13" s="58">
        <f>_xlfn.XLOOKUP($B13,'Annualized Operations'!$B$13:$B$32,'Annualized Operations'!D$13:D$32,0,0,1)</f>
        <v>30751.185965457931</v>
      </c>
      <c r="E13" s="59">
        <f t="shared" si="0"/>
        <v>128184.63950761221</v>
      </c>
      <c r="F13" s="60">
        <f t="shared" si="2"/>
        <v>4208646.3966105515</v>
      </c>
      <c r="G13" s="23">
        <f>F13*(1+Assumptions!$D$13)^-($B13-Assumptions!$D$4)</f>
        <v>2744865.8538959646</v>
      </c>
      <c r="I13" s="20"/>
      <c r="J13" s="25"/>
    </row>
    <row r="14" spans="2:11" x14ac:dyDescent="0.25">
      <c r="B14" s="22">
        <f t="shared" si="1"/>
        <v>2037</v>
      </c>
      <c r="C14" s="57">
        <f>_xlfn.XLOOKUP($B14,'Annualized Operations'!$B$13:$B$32,'Annualized Operations'!C$13:C$32,0,0,1)</f>
        <v>170061.67787002027</v>
      </c>
      <c r="D14" s="58">
        <f>_xlfn.XLOOKUP($B14,'Annualized Operations'!$B$13:$B$32,'Annualized Operations'!D$13:D$32,0,0,1)</f>
        <v>32903.835659536533</v>
      </c>
      <c r="E14" s="59">
        <f t="shared" si="0"/>
        <v>137157.84221048374</v>
      </c>
      <c r="F14" s="60">
        <f t="shared" si="2"/>
        <v>4503260.7698034775</v>
      </c>
      <c r="G14" s="23">
        <f>F14*(1+Assumptions!$D$13)^-($B14-Assumptions!$D$4)</f>
        <v>2848702.6336036436</v>
      </c>
      <c r="I14" s="718" t="s">
        <v>266</v>
      </c>
      <c r="J14" s="718"/>
      <c r="K14" s="62">
        <v>1</v>
      </c>
    </row>
    <row r="15" spans="2:11" x14ac:dyDescent="0.25">
      <c r="B15" s="22">
        <f t="shared" si="1"/>
        <v>2038</v>
      </c>
      <c r="C15" s="57">
        <f>_xlfn.XLOOKUP($B15,'Annualized Operations'!$B$13:$B$32,'Annualized Operations'!C$13:C$32,0,0,1)</f>
        <v>181187.5302669704</v>
      </c>
      <c r="D15" s="58">
        <f>_xlfn.XLOOKUP($B15,'Annualized Operations'!$B$13:$B$32,'Annualized Operations'!D$13:D$32,0,0,1)</f>
        <v>35056.485353616066</v>
      </c>
      <c r="E15" s="59">
        <f t="shared" si="0"/>
        <v>146131.04491335433</v>
      </c>
      <c r="F15" s="60">
        <f t="shared" si="2"/>
        <v>4797875.1429963717</v>
      </c>
      <c r="G15" s="23">
        <f>F15*(1+Assumptions!$D$13)^-($B15-Assumptions!$D$4)</f>
        <v>2943813.5327587062</v>
      </c>
      <c r="I15" s="13" t="s">
        <v>14</v>
      </c>
      <c r="J15" s="63">
        <f>Assumptions!D15</f>
        <v>1.67</v>
      </c>
    </row>
    <row r="16" spans="2:11" x14ac:dyDescent="0.25">
      <c r="B16" s="22">
        <f t="shared" si="1"/>
        <v>2039</v>
      </c>
      <c r="C16" s="57">
        <f>_xlfn.XLOOKUP($B16,'Annualized Operations'!$B$13:$B$32,'Annualized Operations'!C$13:C$32,0,0,1)</f>
        <v>192313.38266392052</v>
      </c>
      <c r="D16" s="58">
        <f>_xlfn.XLOOKUP($B16,'Annualized Operations'!$B$13:$B$32,'Annualized Operations'!D$13:D$32,0,0,1)</f>
        <v>37209.135047694668</v>
      </c>
      <c r="E16" s="59">
        <f t="shared" si="0"/>
        <v>155104.24761622585</v>
      </c>
      <c r="F16" s="60">
        <f t="shared" si="2"/>
        <v>5092489.5161892977</v>
      </c>
      <c r="G16" s="23">
        <f>F16*(1+Assumptions!$D$13)^-($B16-Assumptions!$D$4)</f>
        <v>3030629.4125041547</v>
      </c>
      <c r="I16" s="13" t="s">
        <v>15</v>
      </c>
      <c r="J16" s="63">
        <f>Assumptions!D16</f>
        <v>1</v>
      </c>
    </row>
    <row r="17" spans="2:11" x14ac:dyDescent="0.25">
      <c r="B17" s="22">
        <f t="shared" si="1"/>
        <v>2040</v>
      </c>
      <c r="C17" s="57">
        <f>_xlfn.XLOOKUP($B17,'Annualized Operations'!$B$13:$B$32,'Annualized Operations'!C$13:C$32,0,0,1)</f>
        <v>203439.23506087065</v>
      </c>
      <c r="D17" s="58">
        <f>_xlfn.XLOOKUP($B17,'Annualized Operations'!$B$13:$B$32,'Annualized Operations'!D$13:D$32,0,0,1)</f>
        <v>39361.784741774201</v>
      </c>
      <c r="E17" s="59">
        <f t="shared" si="0"/>
        <v>164077.45031909645</v>
      </c>
      <c r="F17" s="60">
        <f t="shared" si="2"/>
        <v>5387103.8893821929</v>
      </c>
      <c r="G17" s="23">
        <f>F17*(1+Assumptions!$D$13)^-($B17-Assumptions!$D$4)</f>
        <v>3109563.1126869591</v>
      </c>
      <c r="I17" s="20"/>
      <c r="J17" s="25"/>
    </row>
    <row r="18" spans="2:11" x14ac:dyDescent="0.25">
      <c r="B18" s="22">
        <f t="shared" si="1"/>
        <v>2041</v>
      </c>
      <c r="C18" s="57">
        <f>_xlfn.XLOOKUP($B18,'Annualized Operations'!$B$13:$B$32,'Annualized Operations'!C$13:C$32,0,0,1)</f>
        <v>214565.08745781705</v>
      </c>
      <c r="D18" s="58">
        <f>_xlfn.XLOOKUP($B18,'Annualized Operations'!$B$13:$B$32,'Annualized Operations'!D$13:D$32,0,0,1)</f>
        <v>41514.434435852803</v>
      </c>
      <c r="E18" s="59">
        <f t="shared" si="0"/>
        <v>173050.65302196424</v>
      </c>
      <c r="F18" s="60">
        <f t="shared" si="2"/>
        <v>5681718.2625749959</v>
      </c>
      <c r="G18" s="23">
        <f>F18*(1+Assumptions!$D$13)^-($B18-Assumptions!$D$4)</f>
        <v>3181010.1460507954</v>
      </c>
      <c r="I18" s="12" t="s">
        <v>38</v>
      </c>
      <c r="J18" s="10"/>
      <c r="K18" s="10"/>
    </row>
    <row r="19" spans="2:11" x14ac:dyDescent="0.25">
      <c r="B19" s="22">
        <f t="shared" si="1"/>
        <v>2042</v>
      </c>
      <c r="C19" s="57">
        <f>_xlfn.XLOOKUP($B19,'Annualized Operations'!$B$13:$B$32,'Annualized Operations'!C$13:C$32,0,0,1)</f>
        <v>225690.93985476717</v>
      </c>
      <c r="D19" s="58">
        <f>_xlfn.XLOOKUP($B19,'Annualized Operations'!$B$13:$B$32,'Annualized Operations'!D$13:D$32,0,0,1)</f>
        <v>43667.084129932337</v>
      </c>
      <c r="E19" s="59">
        <f t="shared" si="0"/>
        <v>182023.85572483484</v>
      </c>
      <c r="F19" s="60">
        <f t="shared" si="2"/>
        <v>5976332.6357678911</v>
      </c>
      <c r="G19" s="23">
        <f>F19*(1+Assumptions!$D$13)^-($B19-Assumptions!$D$4)</f>
        <v>3245349.3669756791</v>
      </c>
      <c r="I19" s="26" t="s">
        <v>16</v>
      </c>
      <c r="J19" s="18">
        <f>J11*J7*J15+J12*J8*J16</f>
        <v>32.832688946015423</v>
      </c>
      <c r="K19" s="19"/>
    </row>
    <row r="20" spans="2:11" x14ac:dyDescent="0.25">
      <c r="B20" s="22">
        <f t="shared" si="1"/>
        <v>2043</v>
      </c>
      <c r="C20" s="57">
        <f>_xlfn.XLOOKUP($B20,'Annualized Operations'!$B$13:$B$32,'Annualized Operations'!C$13:C$32,0,0,1)</f>
        <v>236816.7922517173</v>
      </c>
      <c r="D20" s="58">
        <f>_xlfn.XLOOKUP($B20,'Annualized Operations'!$B$13:$B$32,'Annualized Operations'!D$13:D$32,0,0,1)</f>
        <v>45819.733824010938</v>
      </c>
      <c r="E20" s="59">
        <f t="shared" si="0"/>
        <v>190997.05842770636</v>
      </c>
      <c r="F20" s="60">
        <f t="shared" si="2"/>
        <v>6270947.008960817</v>
      </c>
      <c r="G20" s="23">
        <f>F20*(1+Assumptions!$D$13)^-($B20-Assumptions!$D$4)</f>
        <v>3302943.6156670577</v>
      </c>
      <c r="I20" s="20"/>
      <c r="J20" s="25"/>
      <c r="K20" s="25"/>
    </row>
    <row r="21" spans="2:11" x14ac:dyDescent="0.25">
      <c r="B21" s="22">
        <f t="shared" si="1"/>
        <v>2044</v>
      </c>
      <c r="C21" s="57">
        <f>_xlfn.XLOOKUP($B21,'Annualized Operations'!$B$13:$B$32,'Annualized Operations'!C$13:C$32,0,0,1)</f>
        <v>247942.64464866742</v>
      </c>
      <c r="D21" s="58">
        <f>_xlfn.XLOOKUP($B21,'Annualized Operations'!$B$13:$B$32,'Annualized Operations'!D$13:D$32,0,0,1)</f>
        <v>47972.383518090472</v>
      </c>
      <c r="E21" s="59">
        <f t="shared" si="0"/>
        <v>199970.26113057695</v>
      </c>
      <c r="F21" s="60">
        <f t="shared" si="2"/>
        <v>6565561.3821537113</v>
      </c>
      <c r="G21" s="23">
        <f>F21*(1+Assumptions!$D$13)^-($B21-Assumptions!$D$4)</f>
        <v>3354140.3386669667</v>
      </c>
      <c r="I21" s="20"/>
      <c r="J21" s="10"/>
      <c r="K21" s="10"/>
    </row>
    <row r="22" spans="2:11" x14ac:dyDescent="0.25">
      <c r="B22" s="22">
        <f t="shared" si="1"/>
        <v>2045</v>
      </c>
      <c r="C22" s="57">
        <f>_xlfn.XLOOKUP($B22,'Annualized Operations'!$B$13:$B$32,'Annualized Operations'!C$13:C$32,0,0,1)</f>
        <v>259068.49704561755</v>
      </c>
      <c r="D22" s="58">
        <f>_xlfn.XLOOKUP($B22,'Annualized Operations'!$B$13:$B$32,'Annualized Operations'!D$13:D$32,0,0,1)</f>
        <v>50125.033212169074</v>
      </c>
      <c r="E22" s="59">
        <f t="shared" si="0"/>
        <v>208943.46383344848</v>
      </c>
      <c r="F22" s="60">
        <f t="shared" si="2"/>
        <v>6860175.7553466372</v>
      </c>
      <c r="G22" s="23">
        <f>F22*(1+Assumptions!$D$13)^-($B22-Assumptions!$D$4)</f>
        <v>3399272.1865282389</v>
      </c>
    </row>
    <row r="23" spans="2:11" x14ac:dyDescent="0.25">
      <c r="B23" s="22">
        <f t="shared" si="1"/>
        <v>2046</v>
      </c>
      <c r="C23" s="57">
        <f>_xlfn.XLOOKUP($B23,'Annualized Operations'!$B$13:$B$32,'Annualized Operations'!C$13:C$32,0,0,1)</f>
        <v>270194.34944256395</v>
      </c>
      <c r="D23" s="58">
        <f>_xlfn.XLOOKUP($B23,'Annualized Operations'!$B$13:$B$32,'Annualized Operations'!D$13:D$32,0,0,1)</f>
        <v>52277.682906248607</v>
      </c>
      <c r="E23" s="59">
        <f t="shared" si="0"/>
        <v>217916.66653631534</v>
      </c>
      <c r="F23" s="60">
        <f t="shared" si="2"/>
        <v>7154790.1285394095</v>
      </c>
      <c r="G23" s="23">
        <f>F23*(1+Assumptions!$D$13)^-($B23-Assumptions!$D$4)</f>
        <v>3438657.589463945</v>
      </c>
    </row>
    <row r="24" spans="2:11" x14ac:dyDescent="0.25">
      <c r="B24" s="22">
        <f t="shared" si="1"/>
        <v>2047</v>
      </c>
      <c r="C24" s="57">
        <f>_xlfn.XLOOKUP($B24,'Annualized Operations'!$B$13:$B$32,'Annualized Operations'!C$13:C$32,0,0,1)</f>
        <v>281320.20183951408</v>
      </c>
      <c r="D24" s="58">
        <f>_xlfn.XLOOKUP($B24,'Annualized Operations'!$B$13:$B$32,'Annualized Operations'!D$13:D$32,0,0,1)</f>
        <v>54430.332600327209</v>
      </c>
      <c r="E24" s="59">
        <f t="shared" si="0"/>
        <v>226889.86923918687</v>
      </c>
      <c r="F24" s="60">
        <f t="shared" si="2"/>
        <v>7449404.5017323354</v>
      </c>
      <c r="G24" s="23">
        <f>F24*(1+Assumptions!$D$13)^-($B24-Assumptions!$D$4)</f>
        <v>3472601.311756961</v>
      </c>
    </row>
    <row r="25" spans="2:11" x14ac:dyDescent="0.25">
      <c r="B25" s="22">
        <f t="shared" si="1"/>
        <v>2048</v>
      </c>
      <c r="C25" s="57">
        <f>_xlfn.XLOOKUP($B25,'Annualized Operations'!$B$13:$B$32,'Annualized Operations'!C$13:C$32,0,0,1)</f>
        <v>292446.0542364642</v>
      </c>
      <c r="D25" s="58">
        <f>_xlfn.XLOOKUP($B25,'Annualized Operations'!$B$13:$B$32,'Annualized Operations'!D$13:D$32,0,0,1)</f>
        <v>56582.982294406742</v>
      </c>
      <c r="E25" s="59">
        <f t="shared" si="0"/>
        <v>235863.07194205746</v>
      </c>
      <c r="F25" s="60">
        <f t="shared" si="2"/>
        <v>7744018.8749252306</v>
      </c>
      <c r="G25" s="23">
        <f>F25*(1+Assumptions!$D$13)^-($B25-Assumptions!$D$4)</f>
        <v>3501394.9856851706</v>
      </c>
    </row>
    <row r="26" spans="2:11" ht="15.75" thickBot="1" x14ac:dyDescent="0.3">
      <c r="B26" s="28">
        <f t="shared" si="1"/>
        <v>2049</v>
      </c>
      <c r="C26" s="64">
        <f>_xlfn.XLOOKUP($B26,'Annualized Operations'!$B$13:$B$32,'Annualized Operations'!C$13:C$32,0,0,1)</f>
        <v>303571.90663341433</v>
      </c>
      <c r="D26" s="65">
        <f>_xlfn.XLOOKUP($B26,'Annualized Operations'!$B$13:$B$32,'Annualized Operations'!D$13:D$32,0,0,1)</f>
        <v>58735.631988486275</v>
      </c>
      <c r="E26" s="66">
        <f t="shared" si="0"/>
        <v>244836.27464492805</v>
      </c>
      <c r="F26" s="67">
        <f t="shared" si="2"/>
        <v>8038633.2481181258</v>
      </c>
      <c r="G26" s="29">
        <f>F26*(1+Assumptions!$D$13)^-($B26-Assumptions!$D$4)</f>
        <v>3525317.6256945077</v>
      </c>
    </row>
    <row r="27" spans="2:11" ht="15.75" thickBot="1" x14ac:dyDescent="0.3">
      <c r="B27" s="30"/>
      <c r="C27" s="68"/>
      <c r="D27" s="69"/>
      <c r="E27" s="69"/>
      <c r="F27" s="70" t="s">
        <v>39</v>
      </c>
      <c r="G27" s="71">
        <f>SUM(G7:G26)</f>
        <v>58839063.175776102</v>
      </c>
    </row>
    <row r="28" spans="2:11" x14ac:dyDescent="0.25">
      <c r="G28" s="10"/>
    </row>
    <row r="29" spans="2:11" x14ac:dyDescent="0.25">
      <c r="B29" s="8" t="s">
        <v>40</v>
      </c>
    </row>
    <row r="30" spans="2:11" ht="15" customHeight="1" x14ac:dyDescent="0.25">
      <c r="B30" s="33" t="s">
        <v>18</v>
      </c>
      <c r="C30" s="686" t="s">
        <v>267</v>
      </c>
      <c r="D30" s="686"/>
      <c r="E30" s="686"/>
      <c r="F30" s="686"/>
    </row>
    <row r="31" spans="2:11" x14ac:dyDescent="0.25">
      <c r="C31" s="686"/>
      <c r="D31" s="686"/>
      <c r="E31" s="686"/>
      <c r="F31" s="686"/>
    </row>
  </sheetData>
  <mergeCells count="11">
    <mergeCell ref="C30:F31"/>
    <mergeCell ref="I6:J6"/>
    <mergeCell ref="I10:J10"/>
    <mergeCell ref="I14:J14"/>
    <mergeCell ref="C4:G4"/>
    <mergeCell ref="G5:G6"/>
    <mergeCell ref="B5:B6"/>
    <mergeCell ref="C5:C6"/>
    <mergeCell ref="D5:D6"/>
    <mergeCell ref="E5:E6"/>
    <mergeCell ref="F5:F6"/>
  </mergeCells>
  <pageMargins left="0.25" right="0.25" top="0.75" bottom="0.75" header="0.3" footer="0.3"/>
  <pageSetup paperSize="119" orientation="landscape"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DFEF13-0539-4A78-9D7D-4E9FB61B797B}">
  <sheetPr>
    <tabColor rgb="FF00B050"/>
    <pageSetUpPr fitToPage="1"/>
  </sheetPr>
  <dimension ref="B1:AQ60"/>
  <sheetViews>
    <sheetView view="pageBreakPreview" zoomScaleNormal="85" zoomScaleSheetLayoutView="100" workbookViewId="0">
      <selection activeCell="L6" sqref="L6"/>
    </sheetView>
  </sheetViews>
  <sheetFormatPr defaultRowHeight="12" x14ac:dyDescent="0.2"/>
  <cols>
    <col min="1" max="1" width="4.85546875" style="30" customWidth="1"/>
    <col min="2" max="2" width="6.28515625" style="30" bestFit="1" customWidth="1"/>
    <col min="3" max="3" width="11.140625" style="30" customWidth="1"/>
    <col min="4" max="4" width="9.28515625" style="30" bestFit="1" customWidth="1"/>
    <col min="5" max="5" width="7.7109375" style="30" bestFit="1" customWidth="1"/>
    <col min="6" max="6" width="9.28515625" style="30" bestFit="1" customWidth="1"/>
    <col min="7" max="10" width="4.7109375" style="30" bestFit="1" customWidth="1"/>
    <col min="11" max="11" width="5.7109375" style="30" bestFit="1" customWidth="1"/>
    <col min="12" max="16" width="4.7109375" style="30" bestFit="1" customWidth="1"/>
    <col min="17" max="17" width="8.7109375" style="30" bestFit="1" customWidth="1"/>
    <col min="18" max="18" width="8.42578125" style="30" bestFit="1" customWidth="1"/>
    <col min="19" max="19" width="9.28515625" style="30" bestFit="1" customWidth="1"/>
    <col min="20" max="20" width="12.140625" style="30" bestFit="1" customWidth="1"/>
    <col min="21" max="21" width="9.42578125" style="30" customWidth="1"/>
    <col min="22" max="22" width="19.42578125" style="30" customWidth="1"/>
    <col min="23" max="26" width="13.7109375" style="30" customWidth="1"/>
    <col min="27" max="27" width="9.28515625" style="30" customWidth="1"/>
    <col min="28" max="28" width="6.28515625" style="221" customWidth="1"/>
    <col min="29" max="30" width="2.28515625" style="30" bestFit="1" customWidth="1"/>
    <col min="31" max="33" width="6.140625" style="30" bestFit="1" customWidth="1"/>
    <col min="34" max="34" width="15.85546875" style="30" customWidth="1"/>
    <col min="35" max="35" width="27.42578125" style="30" bestFit="1" customWidth="1"/>
    <col min="36" max="36" width="11.5703125" style="30" bestFit="1" customWidth="1"/>
    <col min="37" max="38" width="9.28515625" style="30" bestFit="1" customWidth="1"/>
    <col min="39" max="39" width="9.140625" style="30"/>
    <col min="40" max="40" width="13.5703125" style="30" bestFit="1" customWidth="1"/>
    <col min="41" max="41" width="9.140625" style="30"/>
    <col min="42" max="42" width="12.7109375" style="30" bestFit="1" customWidth="1"/>
    <col min="43" max="43" width="9.7109375" style="30" bestFit="1" customWidth="1"/>
    <col min="44" max="16384" width="9.140625" style="30"/>
  </cols>
  <sheetData>
    <row r="1" spans="2:43" x14ac:dyDescent="0.2">
      <c r="B1" s="30" t="s">
        <v>350</v>
      </c>
      <c r="C1" s="45" t="s">
        <v>317</v>
      </c>
    </row>
    <row r="2" spans="2:43" ht="12.75" thickBot="1" x14ac:dyDescent="0.25"/>
    <row r="3" spans="2:43" ht="15" customHeight="1" thickBot="1" x14ac:dyDescent="0.25">
      <c r="B3" s="729" t="s">
        <v>4</v>
      </c>
      <c r="C3" s="727" t="s">
        <v>366</v>
      </c>
      <c r="D3" s="725"/>
      <c r="E3" s="725"/>
      <c r="F3" s="728"/>
      <c r="G3" s="724" t="s">
        <v>1</v>
      </c>
      <c r="H3" s="725"/>
      <c r="I3" s="725"/>
      <c r="J3" s="725"/>
      <c r="K3" s="726"/>
      <c r="L3" s="727" t="s">
        <v>2</v>
      </c>
      <c r="M3" s="725"/>
      <c r="N3" s="725"/>
      <c r="O3" s="725"/>
      <c r="P3" s="728"/>
      <c r="Q3" s="727" t="s">
        <v>155</v>
      </c>
      <c r="R3" s="728"/>
      <c r="S3" s="733" t="s">
        <v>3</v>
      </c>
      <c r="T3" s="731" t="s">
        <v>37</v>
      </c>
      <c r="V3" s="170" t="s">
        <v>497</v>
      </c>
      <c r="W3" s="31" t="s">
        <v>362</v>
      </c>
      <c r="X3" s="31" t="s">
        <v>363</v>
      </c>
    </row>
    <row r="4" spans="2:43" ht="15.75" customHeight="1" thickBot="1" x14ac:dyDescent="0.25">
      <c r="B4" s="730"/>
      <c r="C4" s="260" t="s">
        <v>368</v>
      </c>
      <c r="D4" s="261" t="s">
        <v>367</v>
      </c>
      <c r="E4" s="261" t="s">
        <v>351</v>
      </c>
      <c r="F4" s="500" t="s">
        <v>5</v>
      </c>
      <c r="G4" s="272" t="s">
        <v>146</v>
      </c>
      <c r="H4" s="261" t="s">
        <v>147</v>
      </c>
      <c r="I4" s="261" t="s">
        <v>148</v>
      </c>
      <c r="J4" s="261" t="s">
        <v>149</v>
      </c>
      <c r="K4" s="273" t="s">
        <v>150</v>
      </c>
      <c r="L4" s="260" t="s">
        <v>146</v>
      </c>
      <c r="M4" s="261" t="s">
        <v>147</v>
      </c>
      <c r="N4" s="261" t="s">
        <v>148</v>
      </c>
      <c r="O4" s="261" t="s">
        <v>149</v>
      </c>
      <c r="P4" s="262" t="s">
        <v>150</v>
      </c>
      <c r="Q4" s="260" t="s">
        <v>1</v>
      </c>
      <c r="R4" s="262" t="s">
        <v>2</v>
      </c>
      <c r="S4" s="734"/>
      <c r="T4" s="732"/>
      <c r="U4" s="31"/>
      <c r="V4" s="303" t="s">
        <v>360</v>
      </c>
      <c r="W4" s="498">
        <f>SUM('Annualized Operations'!H9,'Annualized Operations'!J9)</f>
        <v>950</v>
      </c>
      <c r="X4" s="326">
        <f>W$5*365</f>
        <v>456250</v>
      </c>
    </row>
    <row r="5" spans="2:43" x14ac:dyDescent="0.2">
      <c r="B5" s="274">
        <f>Assumptions!D8</f>
        <v>2030</v>
      </c>
      <c r="C5" s="275">
        <f t="shared" ref="C5:C24" si="0">365*$W$4*(1+$W$15)^($B5-2021)</f>
        <v>410756.19844617037</v>
      </c>
      <c r="D5" s="276">
        <f t="shared" ref="D5:D24" si="1">365*$W$5*(1+$W$15)^($B5-2021)</f>
        <v>540468.68216601363</v>
      </c>
      <c r="E5" s="276">
        <f t="shared" ref="E5:E24" si="2">365*$W$6*(1+$W$15)^($B5-2021)</f>
        <v>531821.1832513574</v>
      </c>
      <c r="F5" s="277">
        <f>SUM(C5,D5,E5)</f>
        <v>1483046.0638635415</v>
      </c>
      <c r="G5" s="278">
        <f t="shared" ref="G5:G24" si="3">$C5*W$34+$D5*W$47+$E5*W$60</f>
        <v>0</v>
      </c>
      <c r="H5" s="279">
        <f t="shared" ref="H5:H24" si="4">$C5*X$34+$D5*X$47+$E5*X$60</f>
        <v>0</v>
      </c>
      <c r="I5" s="279">
        <f t="shared" ref="I5:I24" si="5">$C5*Y$34+$D5*Y$47+$E5*Y$60</f>
        <v>0.18576507631110806</v>
      </c>
      <c r="J5" s="279">
        <f t="shared" ref="J5:J24" si="6">$C5*Z$34+$D5*Z$47+$E5*Z$60</f>
        <v>0.54114174403670601</v>
      </c>
      <c r="K5" s="280">
        <f t="shared" ref="K5:K24" si="7">$C5*AA$34+$D5*AA$47+$E5*AA$60</f>
        <v>1.9491871775252496</v>
      </c>
      <c r="L5" s="281">
        <f t="shared" ref="L5:L24" si="8">$W$10*$C5*W$34+$W$10*$D5*W$47+$W$11*$E5*W$60</f>
        <v>0</v>
      </c>
      <c r="M5" s="279">
        <f t="shared" ref="M5:M24" si="9">$W$10*$C5*X$34+$W$10*$D5*X$47+$W$11*$E5*X$60</f>
        <v>0</v>
      </c>
      <c r="N5" s="279">
        <f t="shared" ref="N5:N24" si="10">$W$10*$C5*Y$34+$W$10*$D5*Y$47+$W$11*$E5*Y$60</f>
        <v>6.709888401306878E-2</v>
      </c>
      <c r="O5" s="279">
        <f t="shared" ref="O5:O24" si="11">$W$10*$C5*Z$34+$W$10*$D5*Z$47+$W$11*$E5*Z$60</f>
        <v>0.19373143661262354</v>
      </c>
      <c r="P5" s="282">
        <f t="shared" ref="P5:P24" si="12">$W$12*$C5*AA$34+$W$12*$D5*AA$47+$W$13*$E5*AA$60</f>
        <v>1.4931742988937211</v>
      </c>
      <c r="Q5" s="283">
        <f t="shared" ref="Q5:Q24" si="13">SUMPRODUCT(G5:K5,$V$19:$Z$19)</f>
        <v>113623.34353806337</v>
      </c>
      <c r="R5" s="284">
        <f t="shared" ref="R5:R24" si="14">SUMPRODUCT(L5:P5,$V$19:$Z$19)</f>
        <v>44793.392046354136</v>
      </c>
      <c r="S5" s="285">
        <f>Q5-R5</f>
        <v>68829.951491709246</v>
      </c>
      <c r="T5" s="284">
        <f>S5*(1+Assumptions!$D$13)^-(B5-Assumptions!$D$4)</f>
        <v>53914.817715976264</v>
      </c>
      <c r="U5" s="32"/>
      <c r="V5" s="304" t="s">
        <v>361</v>
      </c>
      <c r="W5" s="256">
        <f>SUM('Annualized Operations'!H10,'Annualized Operations'!J10)</f>
        <v>1250</v>
      </c>
      <c r="X5" s="325">
        <f>W$4*365</f>
        <v>346750</v>
      </c>
    </row>
    <row r="6" spans="2:43" x14ac:dyDescent="0.2">
      <c r="B6" s="85">
        <f>B5+1</f>
        <v>2031</v>
      </c>
      <c r="C6" s="289">
        <f t="shared" si="0"/>
        <v>418560.56621664757</v>
      </c>
      <c r="D6" s="290">
        <f t="shared" si="1"/>
        <v>550737.58712716785</v>
      </c>
      <c r="E6" s="290">
        <f t="shared" si="2"/>
        <v>541925.78573313321</v>
      </c>
      <c r="F6" s="291">
        <f t="shared" ref="F6:F24" si="15">SUM(C6,D6,E6)</f>
        <v>1511223.9390769484</v>
      </c>
      <c r="G6" s="292">
        <f t="shared" si="3"/>
        <v>0</v>
      </c>
      <c r="H6" s="293">
        <f t="shared" si="4"/>
        <v>0</v>
      </c>
      <c r="I6" s="293">
        <f t="shared" si="5"/>
        <v>0.18929461276101911</v>
      </c>
      <c r="J6" s="293">
        <f t="shared" si="6"/>
        <v>0.55142343717340347</v>
      </c>
      <c r="K6" s="294">
        <f t="shared" si="7"/>
        <v>1.9862217338982293</v>
      </c>
      <c r="L6" s="295">
        <f t="shared" si="8"/>
        <v>0</v>
      </c>
      <c r="M6" s="293">
        <f t="shared" si="9"/>
        <v>0</v>
      </c>
      <c r="N6" s="293">
        <f t="shared" si="10"/>
        <v>6.837376280931709E-2</v>
      </c>
      <c r="O6" s="293">
        <f t="shared" si="11"/>
        <v>0.19741233390826335</v>
      </c>
      <c r="P6" s="296">
        <f t="shared" si="12"/>
        <v>1.5215446105727017</v>
      </c>
      <c r="Q6" s="297">
        <f t="shared" si="13"/>
        <v>115782.18706528658</v>
      </c>
      <c r="R6" s="298">
        <f t="shared" si="14"/>
        <v>45644.466495234861</v>
      </c>
      <c r="S6" s="299">
        <f t="shared" ref="S6:S23" si="16">Q6-R6</f>
        <v>70137.720570051722</v>
      </c>
      <c r="T6" s="298">
        <f>S6*(1+Assumptions!$D$13)^-(B6-Assumptions!$D$4)</f>
        <v>53287.293164480914</v>
      </c>
      <c r="U6" s="32"/>
      <c r="V6" s="304" t="s">
        <v>351</v>
      </c>
      <c r="W6" s="256">
        <f>SUM('Annualized Operations'!H11,'Annualized Operations'!J11)</f>
        <v>1230</v>
      </c>
      <c r="X6" s="325">
        <f>W$6*365</f>
        <v>448950</v>
      </c>
    </row>
    <row r="7" spans="2:43" ht="12.75" thickBot="1" x14ac:dyDescent="0.25">
      <c r="B7" s="85">
        <f t="shared" ref="B7:B23" si="17">B6+1</f>
        <v>2032</v>
      </c>
      <c r="C7" s="289">
        <f t="shared" si="0"/>
        <v>426513.2169747639</v>
      </c>
      <c r="D7" s="290">
        <f t="shared" si="1"/>
        <v>561201.60128258413</v>
      </c>
      <c r="E7" s="290">
        <f t="shared" si="2"/>
        <v>552222.37566206278</v>
      </c>
      <c r="F7" s="291">
        <f t="shared" si="15"/>
        <v>1539937.1939194109</v>
      </c>
      <c r="G7" s="292">
        <f t="shared" si="3"/>
        <v>0</v>
      </c>
      <c r="H7" s="293">
        <f t="shared" si="4"/>
        <v>0</v>
      </c>
      <c r="I7" s="293">
        <f t="shared" si="5"/>
        <v>0.19289121040347851</v>
      </c>
      <c r="J7" s="293">
        <f t="shared" si="6"/>
        <v>0.56190048247969826</v>
      </c>
      <c r="K7" s="294">
        <f t="shared" si="7"/>
        <v>2.0239599468422957</v>
      </c>
      <c r="L7" s="295">
        <f t="shared" si="8"/>
        <v>0</v>
      </c>
      <c r="M7" s="293">
        <f t="shared" si="9"/>
        <v>0</v>
      </c>
      <c r="N7" s="293">
        <f t="shared" si="10"/>
        <v>6.9672864302694121E-2</v>
      </c>
      <c r="O7" s="293">
        <f t="shared" si="11"/>
        <v>0.2011631682525204</v>
      </c>
      <c r="P7" s="296">
        <f t="shared" si="12"/>
        <v>1.5504539581735832</v>
      </c>
      <c r="Q7" s="297">
        <f t="shared" si="13"/>
        <v>117982.04861952706</v>
      </c>
      <c r="R7" s="298">
        <f t="shared" si="14"/>
        <v>46511.71135864433</v>
      </c>
      <c r="S7" s="299">
        <f t="shared" si="16"/>
        <v>71470.337260882734</v>
      </c>
      <c r="T7" s="298">
        <f>S7*(1+Assumptions!$D$13)^-(B7-Assumptions!$D$4)</f>
        <v>52667.072487493766</v>
      </c>
      <c r="U7" s="32"/>
      <c r="V7" s="307" t="s">
        <v>5</v>
      </c>
      <c r="W7" s="499">
        <f>SUM(W4:W6)</f>
        <v>3430</v>
      </c>
      <c r="X7" s="324">
        <f>SUM(X4:X6)</f>
        <v>1251950</v>
      </c>
      <c r="AH7" s="305"/>
      <c r="AP7" s="306"/>
      <c r="AQ7" s="31"/>
    </row>
    <row r="8" spans="2:43" x14ac:dyDescent="0.2">
      <c r="B8" s="85">
        <f t="shared" si="17"/>
        <v>2033</v>
      </c>
      <c r="C8" s="289">
        <f t="shared" si="0"/>
        <v>434616.96809728438</v>
      </c>
      <c r="D8" s="290">
        <f t="shared" si="1"/>
        <v>571864.4317069531</v>
      </c>
      <c r="E8" s="290">
        <f t="shared" si="2"/>
        <v>562714.60079964192</v>
      </c>
      <c r="F8" s="291">
        <f t="shared" si="15"/>
        <v>1569196.0006038793</v>
      </c>
      <c r="G8" s="292">
        <f t="shared" si="3"/>
        <v>0</v>
      </c>
      <c r="H8" s="293">
        <f t="shared" si="4"/>
        <v>0</v>
      </c>
      <c r="I8" s="293">
        <f t="shared" si="5"/>
        <v>0.19655614340114455</v>
      </c>
      <c r="J8" s="293">
        <f t="shared" si="6"/>
        <v>0.57257659164681241</v>
      </c>
      <c r="K8" s="294">
        <f t="shared" si="7"/>
        <v>2.0624151858322994</v>
      </c>
      <c r="L8" s="295">
        <f t="shared" si="8"/>
        <v>0</v>
      </c>
      <c r="M8" s="293">
        <f t="shared" si="9"/>
        <v>0</v>
      </c>
      <c r="N8" s="293">
        <f t="shared" si="10"/>
        <v>7.0996648724445291E-2</v>
      </c>
      <c r="O8" s="293">
        <f t="shared" si="11"/>
        <v>0.20498526844931825</v>
      </c>
      <c r="P8" s="296">
        <f t="shared" si="12"/>
        <v>1.579912583378881</v>
      </c>
      <c r="Q8" s="297">
        <f t="shared" si="13"/>
        <v>120223.70754329803</v>
      </c>
      <c r="R8" s="298">
        <f t="shared" si="14"/>
        <v>47395.433874458562</v>
      </c>
      <c r="S8" s="299">
        <f t="shared" si="16"/>
        <v>72828.27366883948</v>
      </c>
      <c r="T8" s="298">
        <f>S8*(1+Assumptions!$D$13)^-(B8-Assumptions!$D$4)</f>
        <v>52054.070673866285</v>
      </c>
      <c r="U8" s="32"/>
      <c r="AH8" s="305"/>
      <c r="AP8" s="306"/>
    </row>
    <row r="9" spans="2:43" ht="12.75" thickBot="1" x14ac:dyDescent="0.25">
      <c r="B9" s="85">
        <f t="shared" si="17"/>
        <v>2034</v>
      </c>
      <c r="C9" s="289">
        <f t="shared" si="0"/>
        <v>442874.69049113267</v>
      </c>
      <c r="D9" s="290">
        <f t="shared" si="1"/>
        <v>582729.85590938514</v>
      </c>
      <c r="E9" s="290">
        <f t="shared" si="2"/>
        <v>573406.178214835</v>
      </c>
      <c r="F9" s="291">
        <f t="shared" si="15"/>
        <v>1599010.7246153527</v>
      </c>
      <c r="G9" s="292">
        <f t="shared" si="3"/>
        <v>0</v>
      </c>
      <c r="H9" s="293">
        <f t="shared" si="4"/>
        <v>0</v>
      </c>
      <c r="I9" s="293">
        <f t="shared" si="5"/>
        <v>0.20029071012576627</v>
      </c>
      <c r="J9" s="293">
        <f t="shared" si="6"/>
        <v>0.58345554688810175</v>
      </c>
      <c r="K9" s="294">
        <f t="shared" si="7"/>
        <v>2.1016010743631126</v>
      </c>
      <c r="L9" s="295">
        <f t="shared" si="8"/>
        <v>0</v>
      </c>
      <c r="M9" s="293">
        <f t="shared" si="9"/>
        <v>0</v>
      </c>
      <c r="N9" s="293">
        <f t="shared" si="10"/>
        <v>7.2345585050209743E-2</v>
      </c>
      <c r="O9" s="293">
        <f t="shared" si="11"/>
        <v>0.20887998854985529</v>
      </c>
      <c r="P9" s="296">
        <f t="shared" si="12"/>
        <v>1.6099309224630796</v>
      </c>
      <c r="Q9" s="297">
        <f t="shared" si="13"/>
        <v>122507.95798662068</v>
      </c>
      <c r="R9" s="298">
        <f t="shared" si="14"/>
        <v>48295.947118073265</v>
      </c>
      <c r="S9" s="299">
        <f t="shared" si="16"/>
        <v>74212.010868547412</v>
      </c>
      <c r="T9" s="298">
        <f>S9*(1+Assumptions!$D$13)^-(B9-Assumptions!$D$4)</f>
        <v>51448.203701910505</v>
      </c>
      <c r="U9" s="32"/>
      <c r="V9" s="170" t="s">
        <v>498</v>
      </c>
      <c r="W9" s="31"/>
      <c r="X9" s="31"/>
      <c r="Y9" s="31"/>
      <c r="Z9" s="31"/>
      <c r="AA9" s="31"/>
      <c r="AH9" s="305"/>
      <c r="AQ9" s="305"/>
    </row>
    <row r="10" spans="2:43" ht="13.5" x14ac:dyDescent="0.2">
      <c r="B10" s="85">
        <f t="shared" si="17"/>
        <v>2035</v>
      </c>
      <c r="C10" s="289">
        <f t="shared" si="0"/>
        <v>451289.30961046432</v>
      </c>
      <c r="D10" s="290">
        <f t="shared" si="1"/>
        <v>593801.72317166359</v>
      </c>
      <c r="E10" s="290">
        <f t="shared" si="2"/>
        <v>584300.89560091693</v>
      </c>
      <c r="F10" s="291">
        <f t="shared" si="15"/>
        <v>1629391.9283830449</v>
      </c>
      <c r="G10" s="292">
        <f t="shared" si="3"/>
        <v>0</v>
      </c>
      <c r="H10" s="293">
        <f t="shared" si="4"/>
        <v>0</v>
      </c>
      <c r="I10" s="293">
        <f t="shared" si="5"/>
        <v>0.20409623361815582</v>
      </c>
      <c r="J10" s="293">
        <f t="shared" si="6"/>
        <v>0.59454120227897578</v>
      </c>
      <c r="K10" s="294">
        <f t="shared" si="7"/>
        <v>2.1415314947760118</v>
      </c>
      <c r="L10" s="295">
        <f t="shared" si="8"/>
        <v>0</v>
      </c>
      <c r="M10" s="293">
        <f t="shared" si="9"/>
        <v>0</v>
      </c>
      <c r="N10" s="293">
        <f t="shared" si="10"/>
        <v>7.3720151166163733E-2</v>
      </c>
      <c r="O10" s="293">
        <f t="shared" si="11"/>
        <v>0.21284870833230257</v>
      </c>
      <c r="P10" s="296">
        <f t="shared" si="12"/>
        <v>1.6405196099898784</v>
      </c>
      <c r="Q10" s="297">
        <f t="shared" si="13"/>
        <v>124835.60918836648</v>
      </c>
      <c r="R10" s="298">
        <f t="shared" si="14"/>
        <v>49213.570113316673</v>
      </c>
      <c r="S10" s="299">
        <f t="shared" si="16"/>
        <v>75622.039075049805</v>
      </c>
      <c r="T10" s="298">
        <f>S10*(1+Assumptions!$D$13)^-(B10-Assumptions!$D$4)</f>
        <v>50849.388527882445</v>
      </c>
      <c r="U10" s="32"/>
      <c r="V10" s="286" t="s">
        <v>316</v>
      </c>
      <c r="W10" s="257">
        <v>0.35099999999999998</v>
      </c>
      <c r="AH10" s="305"/>
    </row>
    <row r="11" spans="2:43" ht="13.5" x14ac:dyDescent="0.2">
      <c r="B11" s="85">
        <f t="shared" si="17"/>
        <v>2036</v>
      </c>
      <c r="C11" s="289">
        <f t="shared" si="0"/>
        <v>459863.80649306311</v>
      </c>
      <c r="D11" s="290">
        <f t="shared" si="1"/>
        <v>605083.95591192518</v>
      </c>
      <c r="E11" s="290">
        <f t="shared" si="2"/>
        <v>595402.61261733435</v>
      </c>
      <c r="F11" s="291">
        <f t="shared" si="15"/>
        <v>1660350.3750223226</v>
      </c>
      <c r="G11" s="292">
        <f t="shared" si="3"/>
        <v>0</v>
      </c>
      <c r="H11" s="293">
        <f t="shared" si="4"/>
        <v>0</v>
      </c>
      <c r="I11" s="293">
        <f t="shared" si="5"/>
        <v>0.2079740620569008</v>
      </c>
      <c r="J11" s="293">
        <f t="shared" si="6"/>
        <v>0.60583748512227631</v>
      </c>
      <c r="K11" s="294">
        <f t="shared" si="7"/>
        <v>2.1822205931767562</v>
      </c>
      <c r="L11" s="295">
        <f t="shared" si="8"/>
        <v>0</v>
      </c>
      <c r="M11" s="293">
        <f t="shared" si="9"/>
        <v>0</v>
      </c>
      <c r="N11" s="293">
        <f t="shared" si="10"/>
        <v>7.5120834038320858E-2</v>
      </c>
      <c r="O11" s="293">
        <f t="shared" si="11"/>
        <v>0.2168928337906163</v>
      </c>
      <c r="P11" s="296">
        <f t="shared" si="12"/>
        <v>1.671689482579686</v>
      </c>
      <c r="Q11" s="297">
        <f t="shared" si="13"/>
        <v>127207.48576294545</v>
      </c>
      <c r="R11" s="298">
        <f t="shared" si="14"/>
        <v>50148.627945469685</v>
      </c>
      <c r="S11" s="299">
        <f t="shared" si="16"/>
        <v>77058.857817475771</v>
      </c>
      <c r="T11" s="298">
        <f>S11*(1+Assumptions!$D$13)^-(B11-Assumptions!$D$4)</f>
        <v>50257.543074599642</v>
      </c>
      <c r="U11" s="32"/>
      <c r="V11" s="567" t="s">
        <v>493</v>
      </c>
      <c r="W11" s="265">
        <v>0.36699999999999999</v>
      </c>
      <c r="AH11" s="305"/>
    </row>
    <row r="12" spans="2:43" ht="13.5" x14ac:dyDescent="0.2">
      <c r="B12" s="85">
        <f t="shared" si="17"/>
        <v>2037</v>
      </c>
      <c r="C12" s="289">
        <f t="shared" si="0"/>
        <v>468601.2188164313</v>
      </c>
      <c r="D12" s="290">
        <f t="shared" si="1"/>
        <v>616580.55107425165</v>
      </c>
      <c r="E12" s="290">
        <f t="shared" si="2"/>
        <v>606715.26225706364</v>
      </c>
      <c r="F12" s="291">
        <f t="shared" si="15"/>
        <v>1691897.0321477465</v>
      </c>
      <c r="G12" s="292">
        <f t="shared" si="3"/>
        <v>0</v>
      </c>
      <c r="H12" s="293">
        <f t="shared" si="4"/>
        <v>0</v>
      </c>
      <c r="I12" s="293">
        <f t="shared" si="5"/>
        <v>0.21192556923598191</v>
      </c>
      <c r="J12" s="293">
        <f t="shared" si="6"/>
        <v>0.61734839733959945</v>
      </c>
      <c r="K12" s="294">
        <f t="shared" si="7"/>
        <v>2.2236827844471145</v>
      </c>
      <c r="L12" s="295">
        <f t="shared" si="8"/>
        <v>0</v>
      </c>
      <c r="M12" s="293">
        <f t="shared" si="9"/>
        <v>0</v>
      </c>
      <c r="N12" s="293">
        <f t="shared" si="10"/>
        <v>7.6548129885048943E-2</v>
      </c>
      <c r="O12" s="293">
        <f t="shared" si="11"/>
        <v>0.22101379763263801</v>
      </c>
      <c r="P12" s="296">
        <f t="shared" si="12"/>
        <v>1.7034515827486998</v>
      </c>
      <c r="Q12" s="297">
        <f t="shared" si="13"/>
        <v>129624.4279924414</v>
      </c>
      <c r="R12" s="298">
        <f t="shared" si="14"/>
        <v>51101.45187643361</v>
      </c>
      <c r="S12" s="299">
        <f t="shared" si="16"/>
        <v>78522.976116007791</v>
      </c>
      <c r="T12" s="298">
        <f>S12*(1+Assumptions!$D$13)^-(B12-Assumptions!$D$4)</f>
        <v>49672.5862201911</v>
      </c>
      <c r="U12" s="32"/>
      <c r="V12" s="300" t="s">
        <v>494</v>
      </c>
      <c r="W12" s="259">
        <v>0.67100000000000004</v>
      </c>
      <c r="AH12" s="305"/>
    </row>
    <row r="13" spans="2:43" ht="13.5" x14ac:dyDescent="0.2">
      <c r="B13" s="85">
        <f t="shared" si="17"/>
        <v>2038</v>
      </c>
      <c r="C13" s="289">
        <f t="shared" si="0"/>
        <v>477504.64197394345</v>
      </c>
      <c r="D13" s="290">
        <f t="shared" si="1"/>
        <v>628295.58154466248</v>
      </c>
      <c r="E13" s="290">
        <f t="shared" si="2"/>
        <v>618242.85223994788</v>
      </c>
      <c r="F13" s="291">
        <f t="shared" si="15"/>
        <v>1724043.0757585536</v>
      </c>
      <c r="G13" s="292">
        <f t="shared" si="3"/>
        <v>0</v>
      </c>
      <c r="H13" s="293">
        <f t="shared" si="4"/>
        <v>0</v>
      </c>
      <c r="I13" s="293">
        <f t="shared" si="5"/>
        <v>0.21595215505146553</v>
      </c>
      <c r="J13" s="293">
        <f t="shared" si="6"/>
        <v>0.62907801688905185</v>
      </c>
      <c r="K13" s="294">
        <f t="shared" si="7"/>
        <v>2.2659327573516093</v>
      </c>
      <c r="L13" s="295">
        <f t="shared" si="8"/>
        <v>0</v>
      </c>
      <c r="M13" s="293">
        <f t="shared" si="9"/>
        <v>0</v>
      </c>
      <c r="N13" s="293">
        <f t="shared" si="10"/>
        <v>7.8002544352864869E-2</v>
      </c>
      <c r="O13" s="293">
        <f t="shared" si="11"/>
        <v>0.2252130597876581</v>
      </c>
      <c r="P13" s="296">
        <f t="shared" si="12"/>
        <v>1.7358171628209251</v>
      </c>
      <c r="Q13" s="297">
        <f t="shared" si="13"/>
        <v>132087.29212429779</v>
      </c>
      <c r="R13" s="298">
        <f t="shared" si="14"/>
        <v>52072.379462085846</v>
      </c>
      <c r="S13" s="299">
        <f t="shared" si="16"/>
        <v>80014.912662211951</v>
      </c>
      <c r="T13" s="298">
        <f>S13*(1+Assumptions!$D$13)^-(B13-Assumptions!$D$4)</f>
        <v>49094.4377869784</v>
      </c>
      <c r="U13" s="32"/>
      <c r="V13" s="300" t="s">
        <v>495</v>
      </c>
      <c r="W13" s="259">
        <v>1.0620000000000001</v>
      </c>
      <c r="AH13" s="305"/>
    </row>
    <row r="14" spans="2:43" x14ac:dyDescent="0.2">
      <c r="B14" s="85">
        <f t="shared" si="17"/>
        <v>2039</v>
      </c>
      <c r="C14" s="289">
        <f t="shared" si="0"/>
        <v>486577.23017144832</v>
      </c>
      <c r="D14" s="290">
        <f t="shared" si="1"/>
        <v>640233.19759401097</v>
      </c>
      <c r="E14" s="290">
        <f t="shared" si="2"/>
        <v>629989.4664325068</v>
      </c>
      <c r="F14" s="291">
        <f t="shared" si="15"/>
        <v>1756799.894197966</v>
      </c>
      <c r="G14" s="292">
        <f t="shared" si="3"/>
        <v>0</v>
      </c>
      <c r="H14" s="293">
        <f t="shared" si="4"/>
        <v>0</v>
      </c>
      <c r="I14" s="293">
        <f t="shared" si="5"/>
        <v>0.22005524599744339</v>
      </c>
      <c r="J14" s="293">
        <f t="shared" si="6"/>
        <v>0.64103049920994382</v>
      </c>
      <c r="K14" s="294">
        <f t="shared" si="7"/>
        <v>2.3089854797412896</v>
      </c>
      <c r="L14" s="295">
        <f t="shared" si="8"/>
        <v>0</v>
      </c>
      <c r="M14" s="293">
        <f t="shared" si="9"/>
        <v>0</v>
      </c>
      <c r="N14" s="293">
        <f t="shared" si="10"/>
        <v>7.9484592695569289E-2</v>
      </c>
      <c r="O14" s="293">
        <f t="shared" si="11"/>
        <v>0.22949210792362357</v>
      </c>
      <c r="P14" s="296">
        <f t="shared" si="12"/>
        <v>1.7687976889145225</v>
      </c>
      <c r="Q14" s="297">
        <f t="shared" si="13"/>
        <v>134596.95067465943</v>
      </c>
      <c r="R14" s="298">
        <f t="shared" si="14"/>
        <v>53061.754671865463</v>
      </c>
      <c r="S14" s="299">
        <f t="shared" si="16"/>
        <v>81535.196002793964</v>
      </c>
      <c r="T14" s="298">
        <f>S14*(1+Assumptions!$D$13)^-(B14-Assumptions!$D$4)</f>
        <v>48523.018530485919</v>
      </c>
      <c r="U14" s="32"/>
      <c r="V14" s="300" t="s">
        <v>20</v>
      </c>
      <c r="W14" s="325">
        <f>'Annualized Operations'!H3</f>
        <v>267.91261365377432</v>
      </c>
      <c r="AH14" s="305"/>
    </row>
    <row r="15" spans="2:43" ht="12.75" thickBot="1" x14ac:dyDescent="0.25">
      <c r="B15" s="85">
        <f t="shared" si="17"/>
        <v>2040</v>
      </c>
      <c r="C15" s="289">
        <f t="shared" si="0"/>
        <v>495822.19754470588</v>
      </c>
      <c r="D15" s="290">
        <f t="shared" si="1"/>
        <v>652397.62834829721</v>
      </c>
      <c r="E15" s="290">
        <f t="shared" si="2"/>
        <v>641959.26629472442</v>
      </c>
      <c r="F15" s="291">
        <f t="shared" si="15"/>
        <v>1790179.0921877273</v>
      </c>
      <c r="G15" s="292">
        <f t="shared" si="3"/>
        <v>0</v>
      </c>
      <c r="H15" s="293">
        <f t="shared" si="4"/>
        <v>0</v>
      </c>
      <c r="I15" s="293">
        <f t="shared" si="5"/>
        <v>0.2242362956713948</v>
      </c>
      <c r="J15" s="293">
        <f t="shared" si="6"/>
        <v>0.65321007869493264</v>
      </c>
      <c r="K15" s="294">
        <f t="shared" si="7"/>
        <v>2.3528562038563745</v>
      </c>
      <c r="L15" s="295">
        <f t="shared" si="8"/>
        <v>0</v>
      </c>
      <c r="M15" s="293">
        <f t="shared" si="9"/>
        <v>0</v>
      </c>
      <c r="N15" s="293">
        <f t="shared" si="10"/>
        <v>8.0994799956785116E-2</v>
      </c>
      <c r="O15" s="293">
        <f t="shared" si="11"/>
        <v>0.23385245797417242</v>
      </c>
      <c r="P15" s="296">
        <f t="shared" si="12"/>
        <v>1.8024048450038985</v>
      </c>
      <c r="Q15" s="297">
        <f t="shared" si="13"/>
        <v>137154.29273747795</v>
      </c>
      <c r="R15" s="298">
        <f t="shared" si="14"/>
        <v>54069.928010630916</v>
      </c>
      <c r="S15" s="299">
        <f t="shared" si="16"/>
        <v>83084.364726847038</v>
      </c>
      <c r="T15" s="298">
        <f>S15*(1+Assumptions!$D$13)^-(B15-Assumptions!$D$4)</f>
        <v>47958.250128579202</v>
      </c>
      <c r="U15" s="32"/>
      <c r="V15" s="51" t="s">
        <v>365</v>
      </c>
      <c r="W15" s="308">
        <f>Assumptions!D21</f>
        <v>1.9E-2</v>
      </c>
      <c r="AH15" s="305"/>
    </row>
    <row r="16" spans="2:43" x14ac:dyDescent="0.2">
      <c r="B16" s="85">
        <f t="shared" si="17"/>
        <v>2041</v>
      </c>
      <c r="C16" s="289">
        <f t="shared" si="0"/>
        <v>505242.8192980552</v>
      </c>
      <c r="D16" s="290">
        <f t="shared" si="1"/>
        <v>664793.18328691472</v>
      </c>
      <c r="E16" s="290">
        <f t="shared" si="2"/>
        <v>654156.49235432409</v>
      </c>
      <c r="F16" s="291">
        <f t="shared" si="15"/>
        <v>1824192.4949392939</v>
      </c>
      <c r="G16" s="292">
        <f t="shared" si="3"/>
        <v>0</v>
      </c>
      <c r="H16" s="293">
        <f t="shared" si="4"/>
        <v>0</v>
      </c>
      <c r="I16" s="293">
        <f t="shared" si="5"/>
        <v>0.22849678528915129</v>
      </c>
      <c r="J16" s="293">
        <f t="shared" si="6"/>
        <v>0.66562107019013639</v>
      </c>
      <c r="K16" s="294">
        <f t="shared" si="7"/>
        <v>2.397560471729645</v>
      </c>
      <c r="L16" s="295">
        <f t="shared" si="8"/>
        <v>0</v>
      </c>
      <c r="M16" s="293">
        <f t="shared" si="9"/>
        <v>0</v>
      </c>
      <c r="N16" s="293">
        <f t="shared" si="10"/>
        <v>8.2533701155964007E-2</v>
      </c>
      <c r="O16" s="293">
        <f t="shared" si="11"/>
        <v>0.23829565467568165</v>
      </c>
      <c r="P16" s="296">
        <f t="shared" si="12"/>
        <v>1.8366505370589721</v>
      </c>
      <c r="Q16" s="297">
        <f t="shared" si="13"/>
        <v>139760.22429949002</v>
      </c>
      <c r="R16" s="298">
        <f t="shared" si="14"/>
        <v>55097.256642832886</v>
      </c>
      <c r="S16" s="299">
        <f t="shared" si="16"/>
        <v>84662.967656657129</v>
      </c>
      <c r="T16" s="298">
        <f>S16*(1+Assumptions!$D$13)^-(B16-Assumptions!$D$4)</f>
        <v>47400.055170729589</v>
      </c>
      <c r="U16" s="32"/>
      <c r="X16" s="305"/>
      <c r="Y16" s="305"/>
      <c r="Z16" s="305"/>
      <c r="AH16" s="305"/>
    </row>
    <row r="17" spans="2:34" ht="12.75" thickBot="1" x14ac:dyDescent="0.25">
      <c r="B17" s="85">
        <f t="shared" si="17"/>
        <v>2042</v>
      </c>
      <c r="C17" s="289">
        <f t="shared" si="0"/>
        <v>514842.43286471826</v>
      </c>
      <c r="D17" s="290">
        <f t="shared" si="1"/>
        <v>677424.25376936607</v>
      </c>
      <c r="E17" s="290">
        <f t="shared" si="2"/>
        <v>666585.46570905624</v>
      </c>
      <c r="F17" s="291">
        <f t="shared" si="15"/>
        <v>1858852.1523431404</v>
      </c>
      <c r="G17" s="292">
        <f t="shared" si="3"/>
        <v>0</v>
      </c>
      <c r="H17" s="293">
        <f t="shared" si="4"/>
        <v>0</v>
      </c>
      <c r="I17" s="293">
        <f t="shared" si="5"/>
        <v>0.23283822420964512</v>
      </c>
      <c r="J17" s="293">
        <f t="shared" si="6"/>
        <v>0.67826787052374882</v>
      </c>
      <c r="K17" s="294">
        <f t="shared" si="7"/>
        <v>2.443114120692508</v>
      </c>
      <c r="L17" s="295">
        <f t="shared" si="8"/>
        <v>0</v>
      </c>
      <c r="M17" s="293">
        <f t="shared" si="9"/>
        <v>0</v>
      </c>
      <c r="N17" s="293">
        <f t="shared" si="10"/>
        <v>8.4101841477927319E-2</v>
      </c>
      <c r="O17" s="293">
        <f t="shared" si="11"/>
        <v>0.24282327211451959</v>
      </c>
      <c r="P17" s="296">
        <f t="shared" si="12"/>
        <v>1.8715468972630926</v>
      </c>
      <c r="Q17" s="297">
        <f t="shared" si="13"/>
        <v>142415.66856118033</v>
      </c>
      <c r="R17" s="298">
        <f t="shared" si="14"/>
        <v>56144.104519046712</v>
      </c>
      <c r="S17" s="299">
        <f t="shared" si="16"/>
        <v>86271.564042133614</v>
      </c>
      <c r="T17" s="298">
        <f>S17*(1+Assumptions!$D$13)^-(B17-Assumptions!$D$4)</f>
        <v>46848.357147403935</v>
      </c>
      <c r="U17" s="32"/>
      <c r="V17" s="170" t="s">
        <v>499</v>
      </c>
      <c r="W17" s="31"/>
      <c r="X17" s="31"/>
      <c r="Y17" s="31"/>
      <c r="Z17" s="31"/>
      <c r="AA17" s="321"/>
      <c r="AE17" s="323"/>
      <c r="AF17" s="323"/>
      <c r="AG17" s="323"/>
      <c r="AH17" s="305"/>
    </row>
    <row r="18" spans="2:34" x14ac:dyDescent="0.2">
      <c r="B18" s="85">
        <f t="shared" si="17"/>
        <v>2043</v>
      </c>
      <c r="C18" s="289">
        <f t="shared" si="0"/>
        <v>524624.43908914796</v>
      </c>
      <c r="D18" s="290">
        <f t="shared" si="1"/>
        <v>690295.31459098414</v>
      </c>
      <c r="E18" s="290">
        <f t="shared" si="2"/>
        <v>679250.58955752838</v>
      </c>
      <c r="F18" s="291">
        <f t="shared" si="15"/>
        <v>1894170.3432376604</v>
      </c>
      <c r="G18" s="292">
        <f t="shared" si="3"/>
        <v>0</v>
      </c>
      <c r="H18" s="293">
        <f t="shared" si="4"/>
        <v>0</v>
      </c>
      <c r="I18" s="293">
        <f t="shared" si="5"/>
        <v>0.23726215046962845</v>
      </c>
      <c r="J18" s="293">
        <f t="shared" si="6"/>
        <v>0.69115496006370025</v>
      </c>
      <c r="K18" s="294">
        <f t="shared" si="7"/>
        <v>2.4895332889856663</v>
      </c>
      <c r="L18" s="295">
        <f t="shared" si="8"/>
        <v>0</v>
      </c>
      <c r="M18" s="293">
        <f t="shared" si="9"/>
        <v>0</v>
      </c>
      <c r="N18" s="293">
        <f t="shared" si="10"/>
        <v>8.569977646600796E-2</v>
      </c>
      <c r="O18" s="293">
        <f t="shared" si="11"/>
        <v>0.2474369142846955</v>
      </c>
      <c r="P18" s="296">
        <f t="shared" si="12"/>
        <v>1.9071062883110916</v>
      </c>
      <c r="Q18" s="297">
        <f t="shared" si="13"/>
        <v>145121.56626384277</v>
      </c>
      <c r="R18" s="298">
        <f t="shared" si="14"/>
        <v>57210.842504908607</v>
      </c>
      <c r="S18" s="299">
        <f t="shared" si="16"/>
        <v>87910.723758934168</v>
      </c>
      <c r="T18" s="298">
        <f>S18*(1+Assumptions!$D$13)^-(B18-Assumptions!$D$4)</f>
        <v>46303.080439577709</v>
      </c>
      <c r="U18" s="32"/>
      <c r="V18" s="171" t="s">
        <v>146</v>
      </c>
      <c r="W18" s="172" t="s">
        <v>152</v>
      </c>
      <c r="X18" s="172" t="s">
        <v>153</v>
      </c>
      <c r="Y18" s="172" t="s">
        <v>154</v>
      </c>
      <c r="Z18" s="173" t="s">
        <v>150</v>
      </c>
      <c r="AA18" s="321"/>
    </row>
    <row r="19" spans="2:34" ht="12.75" thickBot="1" x14ac:dyDescent="0.25">
      <c r="B19" s="85">
        <f t="shared" si="17"/>
        <v>2044</v>
      </c>
      <c r="C19" s="289">
        <f t="shared" si="0"/>
        <v>534592.30343184166</v>
      </c>
      <c r="D19" s="290">
        <f t="shared" si="1"/>
        <v>703410.92556821276</v>
      </c>
      <c r="E19" s="290">
        <f t="shared" si="2"/>
        <v>692156.35075912136</v>
      </c>
      <c r="F19" s="291">
        <f t="shared" si="15"/>
        <v>1930159.5797591757</v>
      </c>
      <c r="G19" s="292">
        <f t="shared" si="3"/>
        <v>0</v>
      </c>
      <c r="H19" s="293">
        <f t="shared" si="4"/>
        <v>0</v>
      </c>
      <c r="I19" s="293">
        <f t="shared" si="5"/>
        <v>0.24177013132855135</v>
      </c>
      <c r="J19" s="293">
        <f t="shared" si="6"/>
        <v>0.70428690430491048</v>
      </c>
      <c r="K19" s="294">
        <f t="shared" si="7"/>
        <v>2.5368344214763936</v>
      </c>
      <c r="L19" s="295">
        <f t="shared" si="8"/>
        <v>0</v>
      </c>
      <c r="M19" s="293">
        <f t="shared" si="9"/>
        <v>0</v>
      </c>
      <c r="N19" s="293">
        <f t="shared" si="10"/>
        <v>8.7328072218862102E-2</v>
      </c>
      <c r="O19" s="293">
        <f t="shared" si="11"/>
        <v>0.25213821565610467</v>
      </c>
      <c r="P19" s="296">
        <f t="shared" si="12"/>
        <v>1.943341307789002</v>
      </c>
      <c r="Q19" s="297">
        <f t="shared" si="13"/>
        <v>147878.87602285578</v>
      </c>
      <c r="R19" s="298">
        <f t="shared" si="14"/>
        <v>58297.848512501863</v>
      </c>
      <c r="S19" s="299">
        <f t="shared" si="16"/>
        <v>89581.027510353917</v>
      </c>
      <c r="T19" s="298">
        <f>S19*(1+Assumptions!$D$13)^-(B19-Assumptions!$D$4)</f>
        <v>45764.150308370212</v>
      </c>
      <c r="U19" s="32"/>
      <c r="V19" s="174">
        <v>12500000</v>
      </c>
      <c r="W19" s="175">
        <v>1188200</v>
      </c>
      <c r="X19" s="175">
        <v>233800</v>
      </c>
      <c r="Y19" s="175">
        <v>111700</v>
      </c>
      <c r="Z19" s="92">
        <v>5000</v>
      </c>
      <c r="AA19" s="305"/>
    </row>
    <row r="20" spans="2:34" x14ac:dyDescent="0.2">
      <c r="B20" s="85">
        <f t="shared" si="17"/>
        <v>2045</v>
      </c>
      <c r="C20" s="289">
        <f t="shared" si="0"/>
        <v>544749.5571970467</v>
      </c>
      <c r="D20" s="290">
        <f t="shared" si="1"/>
        <v>716775.73315400875</v>
      </c>
      <c r="E20" s="290">
        <f t="shared" si="2"/>
        <v>705307.32142354466</v>
      </c>
      <c r="F20" s="291">
        <f t="shared" si="15"/>
        <v>1966832.6117746001</v>
      </c>
      <c r="G20" s="292">
        <f t="shared" si="3"/>
        <v>0</v>
      </c>
      <c r="H20" s="293">
        <f t="shared" si="4"/>
        <v>0</v>
      </c>
      <c r="I20" s="293">
        <f t="shared" si="5"/>
        <v>0.24636376382379382</v>
      </c>
      <c r="J20" s="293">
        <f t="shared" si="6"/>
        <v>0.71766835548670371</v>
      </c>
      <c r="K20" s="294">
        <f t="shared" si="7"/>
        <v>2.5850342754844453</v>
      </c>
      <c r="L20" s="295">
        <f t="shared" si="8"/>
        <v>0</v>
      </c>
      <c r="M20" s="293">
        <f t="shared" si="9"/>
        <v>0</v>
      </c>
      <c r="N20" s="293">
        <f t="shared" si="10"/>
        <v>8.8987305591020471E-2</v>
      </c>
      <c r="O20" s="293">
        <f t="shared" si="11"/>
        <v>0.25692884175357067</v>
      </c>
      <c r="P20" s="296">
        <f t="shared" si="12"/>
        <v>1.9802647926369932</v>
      </c>
      <c r="Q20" s="297">
        <f t="shared" si="13"/>
        <v>150688.57466729003</v>
      </c>
      <c r="R20" s="298">
        <f t="shared" si="14"/>
        <v>59405.507634239395</v>
      </c>
      <c r="S20" s="299">
        <f t="shared" si="16"/>
        <v>91283.06703305064</v>
      </c>
      <c r="T20" s="298">
        <f>S20*(1+Assumptions!$D$13)^-(B20-Assumptions!$D$4)</f>
        <v>45231.492884800427</v>
      </c>
      <c r="U20" s="32"/>
    </row>
    <row r="21" spans="2:34" x14ac:dyDescent="0.2">
      <c r="B21" s="85">
        <f t="shared" si="17"/>
        <v>2046</v>
      </c>
      <c r="C21" s="289">
        <f t="shared" si="0"/>
        <v>555099.79878379044</v>
      </c>
      <c r="D21" s="290">
        <f t="shared" si="1"/>
        <v>730394.47208393482</v>
      </c>
      <c r="E21" s="290">
        <f t="shared" si="2"/>
        <v>718708.16053059185</v>
      </c>
      <c r="F21" s="291">
        <f t="shared" si="15"/>
        <v>2004202.4313983172</v>
      </c>
      <c r="G21" s="292">
        <f t="shared" si="3"/>
        <v>0</v>
      </c>
      <c r="H21" s="293">
        <f t="shared" si="4"/>
        <v>0</v>
      </c>
      <c r="I21" s="293">
        <f t="shared" si="5"/>
        <v>0.25104467533644587</v>
      </c>
      <c r="J21" s="293">
        <f t="shared" si="6"/>
        <v>0.73130405424095091</v>
      </c>
      <c r="K21" s="294">
        <f t="shared" si="7"/>
        <v>2.6341499267186488</v>
      </c>
      <c r="L21" s="295">
        <f t="shared" si="8"/>
        <v>0</v>
      </c>
      <c r="M21" s="293">
        <f t="shared" si="9"/>
        <v>0</v>
      </c>
      <c r="N21" s="293">
        <f t="shared" si="10"/>
        <v>9.0678064397249847E-2</v>
      </c>
      <c r="O21" s="293">
        <f t="shared" si="11"/>
        <v>0.26181048974688848</v>
      </c>
      <c r="P21" s="296">
        <f t="shared" si="12"/>
        <v>2.0178898236970957</v>
      </c>
      <c r="Q21" s="297">
        <f t="shared" si="13"/>
        <v>153551.6575859685</v>
      </c>
      <c r="R21" s="298">
        <f t="shared" si="14"/>
        <v>60534.212279289932</v>
      </c>
      <c r="S21" s="299">
        <f t="shared" si="16"/>
        <v>93017.445306678565</v>
      </c>
      <c r="T21" s="298">
        <f>S21*(1+Assumptions!$D$13)^-(B21-Assumptions!$D$4)</f>
        <v>44705.035159662104</v>
      </c>
      <c r="U21" s="32"/>
    </row>
    <row r="22" spans="2:34" ht="12.75" thickBot="1" x14ac:dyDescent="0.25">
      <c r="B22" s="85">
        <f t="shared" si="17"/>
        <v>2047</v>
      </c>
      <c r="C22" s="289">
        <f t="shared" si="0"/>
        <v>565646.69496068254</v>
      </c>
      <c r="D22" s="290">
        <f t="shared" si="1"/>
        <v>744271.96705352957</v>
      </c>
      <c r="E22" s="290">
        <f t="shared" si="2"/>
        <v>732363.6155806731</v>
      </c>
      <c r="F22" s="291">
        <f t="shared" si="15"/>
        <v>2042282.2775948851</v>
      </c>
      <c r="G22" s="292">
        <f t="shared" si="3"/>
        <v>0</v>
      </c>
      <c r="H22" s="293">
        <f t="shared" si="4"/>
        <v>0</v>
      </c>
      <c r="I22" s="293">
        <f t="shared" si="5"/>
        <v>0.25581452416783834</v>
      </c>
      <c r="J22" s="293">
        <f t="shared" si="6"/>
        <v>0.74519883127152897</v>
      </c>
      <c r="K22" s="294">
        <f t="shared" si="7"/>
        <v>2.6841987753263035</v>
      </c>
      <c r="L22" s="295">
        <f t="shared" si="8"/>
        <v>0</v>
      </c>
      <c r="M22" s="293">
        <f t="shared" si="9"/>
        <v>0</v>
      </c>
      <c r="N22" s="293">
        <f t="shared" si="10"/>
        <v>9.2400947620797591E-2</v>
      </c>
      <c r="O22" s="293">
        <f t="shared" si="11"/>
        <v>0.26678488905207942</v>
      </c>
      <c r="P22" s="296">
        <f t="shared" si="12"/>
        <v>2.0562297303473405</v>
      </c>
      <c r="Q22" s="297">
        <f t="shared" si="13"/>
        <v>156469.13908010192</v>
      </c>
      <c r="R22" s="298">
        <f t="shared" si="14"/>
        <v>61684.362312596451</v>
      </c>
      <c r="S22" s="299">
        <f t="shared" si="16"/>
        <v>94784.776767505464</v>
      </c>
      <c r="T22" s="298">
        <f>S22*(1+Assumptions!$D$13)^-(B22-Assumptions!$D$4)</f>
        <v>44184.704973516666</v>
      </c>
      <c r="U22" s="32"/>
      <c r="V22" s="170" t="s">
        <v>500</v>
      </c>
      <c r="Y22" s="323"/>
      <c r="Z22" s="323"/>
      <c r="AA22" s="323"/>
      <c r="AH22" s="305"/>
    </row>
    <row r="23" spans="2:34" x14ac:dyDescent="0.2">
      <c r="B23" s="85">
        <f t="shared" si="17"/>
        <v>2048</v>
      </c>
      <c r="C23" s="289">
        <f t="shared" si="0"/>
        <v>576393.98216493544</v>
      </c>
      <c r="D23" s="290">
        <f t="shared" si="1"/>
        <v>758413.13442754664</v>
      </c>
      <c r="E23" s="290">
        <f t="shared" si="2"/>
        <v>746278.52427670592</v>
      </c>
      <c r="F23" s="291">
        <f t="shared" si="15"/>
        <v>2081085.6408691881</v>
      </c>
      <c r="G23" s="292">
        <f t="shared" si="3"/>
        <v>0</v>
      </c>
      <c r="H23" s="293">
        <f t="shared" si="4"/>
        <v>0</v>
      </c>
      <c r="I23" s="293">
        <f t="shared" si="5"/>
        <v>0.26067500012702727</v>
      </c>
      <c r="J23" s="293">
        <f t="shared" si="6"/>
        <v>0.75935760906568806</v>
      </c>
      <c r="K23" s="294">
        <f t="shared" si="7"/>
        <v>2.7351985520575033</v>
      </c>
      <c r="L23" s="295">
        <f t="shared" si="8"/>
        <v>0</v>
      </c>
      <c r="M23" s="293">
        <f t="shared" si="9"/>
        <v>0</v>
      </c>
      <c r="N23" s="293">
        <f t="shared" si="10"/>
        <v>9.4156565625592756E-2</v>
      </c>
      <c r="O23" s="293">
        <f t="shared" si="11"/>
        <v>0.27185380194406888</v>
      </c>
      <c r="P23" s="296">
        <f t="shared" si="12"/>
        <v>2.0952980952239399</v>
      </c>
      <c r="Q23" s="297">
        <f t="shared" si="13"/>
        <v>159442.05272262383</v>
      </c>
      <c r="R23" s="298">
        <f t="shared" si="14"/>
        <v>62856.365196535771</v>
      </c>
      <c r="S23" s="299">
        <f t="shared" si="16"/>
        <v>96585.687526088062</v>
      </c>
      <c r="T23" s="298">
        <f>S23*(1+Assumptions!$D$13)^-(B23-Assumptions!$D$4)</f>
        <v>43670.43100680261</v>
      </c>
      <c r="U23" s="32"/>
      <c r="V23" s="287" t="s">
        <v>4</v>
      </c>
      <c r="W23" s="288" t="s">
        <v>146</v>
      </c>
      <c r="X23" s="288" t="s">
        <v>147</v>
      </c>
      <c r="Y23" s="322" t="s">
        <v>148</v>
      </c>
      <c r="Z23" s="322" t="s">
        <v>149</v>
      </c>
      <c r="AA23" s="484" t="s">
        <v>150</v>
      </c>
      <c r="AH23" s="305"/>
    </row>
    <row r="24" spans="2:34" ht="12.75" thickBot="1" x14ac:dyDescent="0.25">
      <c r="B24" s="88">
        <f>B23+1</f>
        <v>2049</v>
      </c>
      <c r="C24" s="310">
        <f t="shared" si="0"/>
        <v>587345.4678260691</v>
      </c>
      <c r="D24" s="311">
        <f t="shared" si="1"/>
        <v>772822.98398166988</v>
      </c>
      <c r="E24" s="311">
        <f t="shared" si="2"/>
        <v>760457.81623796315</v>
      </c>
      <c r="F24" s="312">
        <f t="shared" si="15"/>
        <v>2120626.268045702</v>
      </c>
      <c r="G24" s="313">
        <f t="shared" si="3"/>
        <v>0</v>
      </c>
      <c r="H24" s="314">
        <f t="shared" si="4"/>
        <v>0</v>
      </c>
      <c r="I24" s="314">
        <f t="shared" si="5"/>
        <v>0.26562782512944072</v>
      </c>
      <c r="J24" s="314">
        <f t="shared" si="6"/>
        <v>0.77378540363793591</v>
      </c>
      <c r="K24" s="315">
        <f t="shared" si="7"/>
        <v>2.7871673245465951</v>
      </c>
      <c r="L24" s="316">
        <f t="shared" si="8"/>
        <v>0</v>
      </c>
      <c r="M24" s="314">
        <f t="shared" si="9"/>
        <v>0</v>
      </c>
      <c r="N24" s="314">
        <f t="shared" si="10"/>
        <v>9.5945540372478988E-2</v>
      </c>
      <c r="O24" s="314">
        <f t="shared" si="11"/>
        <v>0.2770190241810061</v>
      </c>
      <c r="P24" s="317">
        <f t="shared" si="12"/>
        <v>2.1351087590331943</v>
      </c>
      <c r="Q24" s="318">
        <f t="shared" si="13"/>
        <v>162471.45172435365</v>
      </c>
      <c r="R24" s="319">
        <f t="shared" si="14"/>
        <v>64050.636135269939</v>
      </c>
      <c r="S24" s="320">
        <f>Q24-R24</f>
        <v>98420.815589083708</v>
      </c>
      <c r="T24" s="319">
        <f>S24*(1+Assumptions!$D$13)^-(B24-Assumptions!$D$4)</f>
        <v>43162.142770059989</v>
      </c>
      <c r="U24" s="32"/>
      <c r="V24" s="50">
        <v>2014</v>
      </c>
      <c r="W24" s="302">
        <v>0</v>
      </c>
      <c r="X24" s="302">
        <v>0</v>
      </c>
      <c r="Y24" s="302">
        <v>0</v>
      </c>
      <c r="Z24" s="302">
        <v>0</v>
      </c>
      <c r="AA24" s="301">
        <v>4</v>
      </c>
      <c r="AH24" s="305"/>
    </row>
    <row r="25" spans="2:34" x14ac:dyDescent="0.2">
      <c r="Q25" s="32"/>
      <c r="R25" s="32"/>
      <c r="S25" s="32"/>
      <c r="T25" s="32">
        <f>SUM(T5:T24)</f>
        <v>966996.13187336759</v>
      </c>
      <c r="U25" s="32"/>
      <c r="V25" s="50">
        <v>2015</v>
      </c>
      <c r="W25" s="302">
        <v>0</v>
      </c>
      <c r="X25" s="302">
        <v>0</v>
      </c>
      <c r="Y25" s="302">
        <v>0</v>
      </c>
      <c r="Z25" s="302">
        <v>0</v>
      </c>
      <c r="AA25" s="301">
        <v>2</v>
      </c>
      <c r="AH25" s="305"/>
    </row>
    <row r="26" spans="2:34" x14ac:dyDescent="0.2">
      <c r="V26" s="50">
        <v>2016</v>
      </c>
      <c r="W26" s="302">
        <v>0</v>
      </c>
      <c r="X26" s="302">
        <v>0</v>
      </c>
      <c r="Y26" s="302">
        <v>0</v>
      </c>
      <c r="Z26" s="302">
        <v>0</v>
      </c>
      <c r="AA26" s="301">
        <v>1</v>
      </c>
      <c r="AH26" s="305"/>
    </row>
    <row r="27" spans="2:34" x14ac:dyDescent="0.2">
      <c r="V27" s="50">
        <v>2017</v>
      </c>
      <c r="W27" s="302">
        <v>0</v>
      </c>
      <c r="X27" s="302">
        <v>0</v>
      </c>
      <c r="Y27" s="302">
        <v>0</v>
      </c>
      <c r="Z27" s="302">
        <v>1</v>
      </c>
      <c r="AA27" s="301">
        <v>0</v>
      </c>
      <c r="AH27" s="305"/>
    </row>
    <row r="28" spans="2:34" x14ac:dyDescent="0.2">
      <c r="V28" s="50">
        <v>2018</v>
      </c>
      <c r="W28" s="302">
        <v>0</v>
      </c>
      <c r="X28" s="302">
        <v>0</v>
      </c>
      <c r="Y28" s="302">
        <v>0</v>
      </c>
      <c r="Z28" s="302">
        <v>1</v>
      </c>
      <c r="AA28" s="301">
        <v>2</v>
      </c>
      <c r="AH28" s="305"/>
    </row>
    <row r="29" spans="2:34" x14ac:dyDescent="0.2">
      <c r="C29" s="30" t="s">
        <v>261</v>
      </c>
      <c r="V29" s="50">
        <v>2019</v>
      </c>
      <c r="W29" s="302">
        <v>0</v>
      </c>
      <c r="X29" s="302">
        <v>0</v>
      </c>
      <c r="Y29" s="302">
        <v>0</v>
      </c>
      <c r="Z29" s="302">
        <v>0</v>
      </c>
      <c r="AA29" s="301">
        <v>2</v>
      </c>
      <c r="AH29" s="305"/>
    </row>
    <row r="30" spans="2:34" ht="12" customHeight="1" x14ac:dyDescent="0.2">
      <c r="B30" s="269" t="s">
        <v>18</v>
      </c>
      <c r="C30" s="649" t="s">
        <v>382</v>
      </c>
      <c r="D30" s="649"/>
      <c r="E30" s="649"/>
      <c r="F30" s="649"/>
      <c r="G30" s="649"/>
      <c r="H30" s="649"/>
      <c r="V30" s="50">
        <v>2020</v>
      </c>
      <c r="W30" s="302">
        <v>0</v>
      </c>
      <c r="X30" s="302">
        <v>0</v>
      </c>
      <c r="Y30" s="302">
        <v>0</v>
      </c>
      <c r="Z30" s="302">
        <v>0</v>
      </c>
      <c r="AA30" s="301">
        <v>0</v>
      </c>
      <c r="AH30" s="305"/>
    </row>
    <row r="31" spans="2:34" x14ac:dyDescent="0.2">
      <c r="B31" s="269"/>
      <c r="C31" s="649"/>
      <c r="D31" s="649"/>
      <c r="E31" s="649"/>
      <c r="F31" s="649"/>
      <c r="G31" s="649"/>
      <c r="H31" s="649"/>
      <c r="V31" s="50">
        <v>2021</v>
      </c>
      <c r="W31" s="302">
        <v>0</v>
      </c>
      <c r="X31" s="302">
        <v>0</v>
      </c>
      <c r="Y31" s="302">
        <v>0</v>
      </c>
      <c r="Z31" s="302">
        <v>0</v>
      </c>
      <c r="AA31" s="301">
        <v>1</v>
      </c>
      <c r="AE31" s="323"/>
      <c r="AF31" s="323"/>
      <c r="AG31" s="323"/>
      <c r="AH31" s="305"/>
    </row>
    <row r="32" spans="2:34" x14ac:dyDescent="0.2">
      <c r="B32" s="269" t="s">
        <v>19</v>
      </c>
      <c r="C32" s="30" t="s">
        <v>318</v>
      </c>
      <c r="V32" s="50">
        <v>2022</v>
      </c>
      <c r="W32" s="302">
        <v>0</v>
      </c>
      <c r="X32" s="302">
        <v>0</v>
      </c>
      <c r="Y32" s="302">
        <v>0</v>
      </c>
      <c r="Z32" s="302">
        <v>0</v>
      </c>
      <c r="AA32" s="301">
        <v>1</v>
      </c>
      <c r="AH32" s="305"/>
    </row>
    <row r="33" spans="2:34" ht="12.75" thickBot="1" x14ac:dyDescent="0.25">
      <c r="B33" s="269" t="s">
        <v>279</v>
      </c>
      <c r="C33" s="30" t="s">
        <v>489</v>
      </c>
      <c r="V33" s="51">
        <v>2023</v>
      </c>
      <c r="W33" s="309">
        <v>0</v>
      </c>
      <c r="X33" s="309">
        <v>0</v>
      </c>
      <c r="Y33" s="309">
        <v>0</v>
      </c>
      <c r="Z33" s="309">
        <v>0</v>
      </c>
      <c r="AA33" s="485">
        <v>4</v>
      </c>
    </row>
    <row r="34" spans="2:34" ht="12.75" thickBot="1" x14ac:dyDescent="0.25">
      <c r="B34" s="269" t="s">
        <v>491</v>
      </c>
      <c r="C34" s="30" t="s">
        <v>319</v>
      </c>
      <c r="V34" s="481" t="s">
        <v>151</v>
      </c>
      <c r="W34" s="482">
        <f>SUM(W24:W33)/SUM($X$4:$X$5)/10</f>
        <v>0</v>
      </c>
      <c r="X34" s="482">
        <f>SUM(X24:X33)/SUM($X$4:$X$5)/10</f>
        <v>0</v>
      </c>
      <c r="Y34" s="483">
        <f>SUM(Y24:Y33)/SUM($X$4:$X$5)/10</f>
        <v>0</v>
      </c>
      <c r="Z34" s="483">
        <f>SUM(Z24:Z33)/SUM($X$4:$X$5)/10</f>
        <v>2.4906600249066003E-7</v>
      </c>
      <c r="AA34" s="483">
        <f>SUM(AA24:AA33)/SUM($X$4:$X$5)/10</f>
        <v>2.1170610211706102E-6</v>
      </c>
    </row>
    <row r="35" spans="2:34" ht="12.75" thickBot="1" x14ac:dyDescent="0.25">
      <c r="B35" s="269" t="s">
        <v>492</v>
      </c>
      <c r="C35" s="30" t="s">
        <v>490</v>
      </c>
      <c r="D35" s="221"/>
      <c r="E35" s="221"/>
      <c r="V35" s="170" t="s">
        <v>501</v>
      </c>
      <c r="Y35" s="323"/>
      <c r="Z35" s="323"/>
      <c r="AA35" s="323"/>
    </row>
    <row r="36" spans="2:34" x14ac:dyDescent="0.2">
      <c r="B36" s="269" t="s">
        <v>320</v>
      </c>
      <c r="C36" s="221" t="s">
        <v>321</v>
      </c>
      <c r="V36" s="287" t="s">
        <v>4</v>
      </c>
      <c r="W36" s="288" t="s">
        <v>146</v>
      </c>
      <c r="X36" s="288" t="s">
        <v>147</v>
      </c>
      <c r="Y36" s="322" t="s">
        <v>148</v>
      </c>
      <c r="Z36" s="322" t="s">
        <v>149</v>
      </c>
      <c r="AA36" s="484" t="s">
        <v>150</v>
      </c>
    </row>
    <row r="37" spans="2:34" x14ac:dyDescent="0.2">
      <c r="V37" s="50">
        <v>2014</v>
      </c>
      <c r="W37" s="302">
        <v>0</v>
      </c>
      <c r="X37" s="302">
        <v>0</v>
      </c>
      <c r="Y37" s="302">
        <v>0</v>
      </c>
      <c r="Z37" s="302">
        <v>1</v>
      </c>
      <c r="AA37" s="301">
        <v>0</v>
      </c>
      <c r="AH37" s="305"/>
    </row>
    <row r="38" spans="2:34" x14ac:dyDescent="0.2">
      <c r="V38" s="50">
        <v>2015</v>
      </c>
      <c r="W38" s="302">
        <v>0</v>
      </c>
      <c r="X38" s="302">
        <v>0</v>
      </c>
      <c r="Y38" s="302">
        <v>0</v>
      </c>
      <c r="Z38" s="302">
        <v>0</v>
      </c>
      <c r="AA38" s="301">
        <v>2</v>
      </c>
      <c r="AH38" s="305"/>
    </row>
    <row r="39" spans="2:34" x14ac:dyDescent="0.2">
      <c r="V39" s="50">
        <v>2016</v>
      </c>
      <c r="W39" s="302">
        <v>0</v>
      </c>
      <c r="X39" s="302">
        <v>0</v>
      </c>
      <c r="Y39" s="302">
        <v>0</v>
      </c>
      <c r="Z39" s="302">
        <v>0</v>
      </c>
      <c r="AA39" s="301">
        <v>1</v>
      </c>
      <c r="AH39" s="305"/>
    </row>
    <row r="40" spans="2:34" x14ac:dyDescent="0.2">
      <c r="V40" s="50">
        <v>2017</v>
      </c>
      <c r="W40" s="302">
        <v>0</v>
      </c>
      <c r="X40" s="302">
        <v>0</v>
      </c>
      <c r="Y40" s="302">
        <v>1</v>
      </c>
      <c r="Z40" s="302">
        <v>0</v>
      </c>
      <c r="AA40" s="301">
        <v>0</v>
      </c>
      <c r="AH40" s="305"/>
    </row>
    <row r="41" spans="2:34" x14ac:dyDescent="0.2">
      <c r="V41" s="50">
        <v>2018</v>
      </c>
      <c r="W41" s="302">
        <v>0</v>
      </c>
      <c r="X41" s="302">
        <v>0</v>
      </c>
      <c r="Y41" s="302">
        <v>0</v>
      </c>
      <c r="Z41" s="302">
        <v>1</v>
      </c>
      <c r="AA41" s="301">
        <v>0</v>
      </c>
      <c r="AH41" s="305"/>
    </row>
    <row r="42" spans="2:34" x14ac:dyDescent="0.2">
      <c r="V42" s="50">
        <v>2019</v>
      </c>
      <c r="W42" s="302">
        <v>0</v>
      </c>
      <c r="X42" s="302">
        <v>0</v>
      </c>
      <c r="Y42" s="302">
        <v>0</v>
      </c>
      <c r="Z42" s="302">
        <v>0</v>
      </c>
      <c r="AA42" s="301">
        <v>1</v>
      </c>
      <c r="AH42" s="305"/>
    </row>
    <row r="43" spans="2:34" x14ac:dyDescent="0.2">
      <c r="V43" s="50">
        <v>2020</v>
      </c>
      <c r="W43" s="302">
        <v>0</v>
      </c>
      <c r="X43" s="302">
        <v>0</v>
      </c>
      <c r="Y43" s="302">
        <v>0</v>
      </c>
      <c r="Z43" s="302">
        <v>0</v>
      </c>
      <c r="AA43" s="301">
        <v>2</v>
      </c>
      <c r="AH43" s="305"/>
    </row>
    <row r="44" spans="2:34" x14ac:dyDescent="0.2">
      <c r="V44" s="50">
        <v>2021</v>
      </c>
      <c r="W44" s="302">
        <v>0</v>
      </c>
      <c r="X44" s="302">
        <v>0</v>
      </c>
      <c r="Y44" s="302">
        <v>0</v>
      </c>
      <c r="Z44" s="302">
        <v>0</v>
      </c>
      <c r="AA44" s="301">
        <v>0</v>
      </c>
      <c r="AH44" s="305"/>
    </row>
    <row r="45" spans="2:34" x14ac:dyDescent="0.2">
      <c r="V45" s="50">
        <v>2022</v>
      </c>
      <c r="W45" s="302">
        <v>0</v>
      </c>
      <c r="X45" s="302">
        <v>0</v>
      </c>
      <c r="Y45" s="302">
        <v>0</v>
      </c>
      <c r="Z45" s="302">
        <v>1</v>
      </c>
      <c r="AA45" s="301">
        <v>0</v>
      </c>
      <c r="AE45" s="323"/>
      <c r="AF45" s="323"/>
      <c r="AG45" s="323"/>
      <c r="AH45" s="305"/>
    </row>
    <row r="46" spans="2:34" ht="12.75" thickBot="1" x14ac:dyDescent="0.25">
      <c r="V46" s="486">
        <v>2023</v>
      </c>
      <c r="W46" s="487">
        <v>0</v>
      </c>
      <c r="X46" s="487">
        <v>0</v>
      </c>
      <c r="Y46" s="487">
        <v>0</v>
      </c>
      <c r="Z46" s="487">
        <v>0</v>
      </c>
      <c r="AA46" s="488">
        <v>3</v>
      </c>
      <c r="AH46" s="305"/>
    </row>
    <row r="47" spans="2:34" ht="12.75" thickBot="1" x14ac:dyDescent="0.25">
      <c r="V47" s="489" t="s">
        <v>151</v>
      </c>
      <c r="W47" s="490">
        <f>SUM(W37:W46)/SUM($X$4:$X$5)/10</f>
        <v>0</v>
      </c>
      <c r="X47" s="490">
        <f>SUM(X37:X46)/SUM($X$4:$X$5)/10</f>
        <v>0</v>
      </c>
      <c r="Y47" s="491">
        <f>SUM(Y37:Y46)/SUM($X$4:$X$5)/10</f>
        <v>1.2453300124533001E-7</v>
      </c>
      <c r="Z47" s="491">
        <f>SUM(Z37:Z46)/SUM($X$4:$X$5)/10</f>
        <v>3.7359900373599004E-7</v>
      </c>
      <c r="AA47" s="492">
        <f>SUM(AA37:AA46)/SUM($X$4:$X$5)/10</f>
        <v>1.1207970112079701E-6</v>
      </c>
      <c r="AH47" s="305"/>
    </row>
    <row r="48" spans="2:34" ht="12.75" thickBot="1" x14ac:dyDescent="0.25">
      <c r="V48" s="170" t="s">
        <v>502</v>
      </c>
      <c r="Y48" s="323"/>
      <c r="Z48" s="323"/>
      <c r="AA48" s="323"/>
    </row>
    <row r="49" spans="22:27" x14ac:dyDescent="0.2">
      <c r="V49" s="287" t="s">
        <v>4</v>
      </c>
      <c r="W49" s="288" t="s">
        <v>146</v>
      </c>
      <c r="X49" s="288" t="s">
        <v>147</v>
      </c>
      <c r="Y49" s="322" t="s">
        <v>148</v>
      </c>
      <c r="Z49" s="322" t="s">
        <v>149</v>
      </c>
      <c r="AA49" s="484" t="s">
        <v>150</v>
      </c>
    </row>
    <row r="50" spans="22:27" x14ac:dyDescent="0.2">
      <c r="V50" s="50">
        <v>2014</v>
      </c>
      <c r="W50" s="302">
        <v>0</v>
      </c>
      <c r="X50" s="302">
        <v>0</v>
      </c>
      <c r="Y50" s="302">
        <v>0</v>
      </c>
      <c r="Z50" s="302">
        <v>0</v>
      </c>
      <c r="AA50" s="301">
        <v>0</v>
      </c>
    </row>
    <row r="51" spans="22:27" x14ac:dyDescent="0.2">
      <c r="V51" s="50">
        <v>2015</v>
      </c>
      <c r="W51" s="302">
        <v>0</v>
      </c>
      <c r="X51" s="302">
        <v>0</v>
      </c>
      <c r="Y51" s="302">
        <v>0</v>
      </c>
      <c r="Z51" s="302">
        <v>0</v>
      </c>
      <c r="AA51" s="301">
        <v>2</v>
      </c>
    </row>
    <row r="52" spans="22:27" x14ac:dyDescent="0.2">
      <c r="V52" s="50">
        <v>2016</v>
      </c>
      <c r="W52" s="302">
        <v>0</v>
      </c>
      <c r="X52" s="302">
        <v>0</v>
      </c>
      <c r="Y52" s="302">
        <v>0</v>
      </c>
      <c r="Z52" s="302">
        <v>0</v>
      </c>
      <c r="AA52" s="301">
        <v>0</v>
      </c>
    </row>
    <row r="53" spans="22:27" x14ac:dyDescent="0.2">
      <c r="V53" s="50">
        <v>2017</v>
      </c>
      <c r="W53" s="302">
        <v>0</v>
      </c>
      <c r="X53" s="302">
        <v>0</v>
      </c>
      <c r="Y53" s="302">
        <v>0</v>
      </c>
      <c r="Z53" s="302">
        <v>0</v>
      </c>
      <c r="AA53" s="301">
        <v>0</v>
      </c>
    </row>
    <row r="54" spans="22:27" x14ac:dyDescent="0.2">
      <c r="V54" s="50">
        <v>2018</v>
      </c>
      <c r="W54" s="302">
        <v>0</v>
      </c>
      <c r="X54" s="302">
        <v>0</v>
      </c>
      <c r="Y54" s="302">
        <v>0</v>
      </c>
      <c r="Z54" s="302">
        <v>1</v>
      </c>
      <c r="AA54" s="301">
        <v>0</v>
      </c>
    </row>
    <row r="55" spans="22:27" x14ac:dyDescent="0.2">
      <c r="V55" s="50">
        <v>2019</v>
      </c>
      <c r="W55" s="302">
        <v>0</v>
      </c>
      <c r="X55" s="302">
        <v>0</v>
      </c>
      <c r="Y55" s="302">
        <v>0</v>
      </c>
      <c r="Z55" s="302">
        <v>0</v>
      </c>
      <c r="AA55" s="301">
        <v>0</v>
      </c>
    </row>
    <row r="56" spans="22:27" x14ac:dyDescent="0.2">
      <c r="V56" s="50">
        <v>2020</v>
      </c>
      <c r="W56" s="302">
        <v>0</v>
      </c>
      <c r="X56" s="302">
        <v>0</v>
      </c>
      <c r="Y56" s="302">
        <v>0</v>
      </c>
      <c r="Z56" s="302">
        <v>0</v>
      </c>
      <c r="AA56" s="301">
        <v>0</v>
      </c>
    </row>
    <row r="57" spans="22:27" x14ac:dyDescent="0.2">
      <c r="V57" s="50">
        <v>2021</v>
      </c>
      <c r="W57" s="302">
        <v>0</v>
      </c>
      <c r="X57" s="302">
        <v>0</v>
      </c>
      <c r="Y57" s="302">
        <v>1</v>
      </c>
      <c r="Z57" s="302">
        <v>1</v>
      </c>
      <c r="AA57" s="301">
        <v>1</v>
      </c>
    </row>
    <row r="58" spans="22:27" x14ac:dyDescent="0.2">
      <c r="V58" s="50">
        <v>2022</v>
      </c>
      <c r="W58" s="302">
        <v>0</v>
      </c>
      <c r="X58" s="302">
        <v>0</v>
      </c>
      <c r="Y58" s="302">
        <v>0</v>
      </c>
      <c r="Z58" s="302">
        <v>0</v>
      </c>
      <c r="AA58" s="301">
        <v>1</v>
      </c>
    </row>
    <row r="59" spans="22:27" ht="12.75" thickBot="1" x14ac:dyDescent="0.25">
      <c r="V59" s="486">
        <v>2023</v>
      </c>
      <c r="W59" s="487">
        <v>0</v>
      </c>
      <c r="X59" s="487">
        <v>0</v>
      </c>
      <c r="Y59" s="487">
        <v>0</v>
      </c>
      <c r="Z59" s="487">
        <v>0</v>
      </c>
      <c r="AA59" s="488">
        <v>0</v>
      </c>
    </row>
    <row r="60" spans="22:27" ht="12.75" thickBot="1" x14ac:dyDescent="0.25">
      <c r="V60" s="489" t="s">
        <v>151</v>
      </c>
      <c r="W60" s="490">
        <f>SUM(W50:W59)/$X$6/10</f>
        <v>0</v>
      </c>
      <c r="X60" s="490">
        <f>SUM(X50:X59)/$X$6/10</f>
        <v>0</v>
      </c>
      <c r="Y60" s="491">
        <f>SUM(Y50:Y59)/$X$6/10</f>
        <v>2.2274195344693173E-7</v>
      </c>
      <c r="Z60" s="491">
        <f>SUM(Z50:Z59)/$X$6/10</f>
        <v>4.4548390689386346E-7</v>
      </c>
      <c r="AA60" s="492">
        <f>SUM(AA50:AA59)/$X$6/10</f>
        <v>8.9096781378772693E-7</v>
      </c>
    </row>
  </sheetData>
  <mergeCells count="8">
    <mergeCell ref="C30:H31"/>
    <mergeCell ref="G3:K3"/>
    <mergeCell ref="L3:P3"/>
    <mergeCell ref="B3:B4"/>
    <mergeCell ref="T3:T4"/>
    <mergeCell ref="S3:S4"/>
    <mergeCell ref="C3:F3"/>
    <mergeCell ref="Q3:R3"/>
  </mergeCells>
  <pageMargins left="0.7" right="0.7" top="0.75" bottom="0.75" header="0.3" footer="0.3"/>
  <pageSetup scale="69"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B6038F-863B-4497-8C7E-95026BBFA411}">
  <sheetPr>
    <tabColor rgb="FFC00000"/>
    <pageSetUpPr fitToPage="1"/>
  </sheetPr>
  <dimension ref="A2:K41"/>
  <sheetViews>
    <sheetView view="pageBreakPreview" zoomScaleNormal="85" zoomScaleSheetLayoutView="100" workbookViewId="0">
      <selection activeCell="D36" sqref="D36"/>
    </sheetView>
  </sheetViews>
  <sheetFormatPr defaultRowHeight="12" x14ac:dyDescent="0.2"/>
  <cols>
    <col min="1" max="1" width="5.140625" style="30" customWidth="1"/>
    <col min="2" max="2" width="15.7109375" style="30" customWidth="1"/>
    <col min="3" max="4" width="12" style="30" customWidth="1"/>
    <col min="5" max="6" width="13.7109375" style="30" customWidth="1"/>
    <col min="7" max="8" width="15.7109375" style="30" customWidth="1"/>
    <col min="9" max="9" width="17" style="30" bestFit="1" customWidth="1"/>
    <col min="10" max="11" width="15.7109375" style="30" customWidth="1"/>
    <col min="12" max="16384" width="9.140625" style="30"/>
  </cols>
  <sheetData>
    <row r="2" spans="2:11" x14ac:dyDescent="0.2">
      <c r="B2" s="45" t="s">
        <v>56</v>
      </c>
    </row>
    <row r="3" spans="2:11" ht="12.75" thickBot="1" x14ac:dyDescent="0.25">
      <c r="H3" s="45" t="s">
        <v>328</v>
      </c>
    </row>
    <row r="4" spans="2:11" ht="12.75" thickBot="1" x14ac:dyDescent="0.25">
      <c r="C4" s="736" t="s">
        <v>45</v>
      </c>
      <c r="D4" s="737"/>
      <c r="E4" s="736" t="s">
        <v>57</v>
      </c>
      <c r="F4" s="737"/>
      <c r="H4" s="360" t="s">
        <v>58</v>
      </c>
      <c r="I4" s="256">
        <f>Assumptions!D5</f>
        <v>2028</v>
      </c>
    </row>
    <row r="5" spans="2:11" x14ac:dyDescent="0.2">
      <c r="B5" s="738" t="s">
        <v>8</v>
      </c>
      <c r="C5" s="738" t="s">
        <v>59</v>
      </c>
      <c r="D5" s="731" t="s">
        <v>37</v>
      </c>
      <c r="E5" s="738" t="s">
        <v>75</v>
      </c>
      <c r="F5" s="696" t="s">
        <v>329</v>
      </c>
      <c r="H5" s="360" t="s">
        <v>60</v>
      </c>
      <c r="I5" s="256">
        <f>Assumptions!D6</f>
        <v>2</v>
      </c>
    </row>
    <row r="6" spans="2:11" ht="12.75" thickBot="1" x14ac:dyDescent="0.25">
      <c r="B6" s="739"/>
      <c r="C6" s="739"/>
      <c r="D6" s="732"/>
      <c r="E6" s="739"/>
      <c r="F6" s="740"/>
    </row>
    <row r="7" spans="2:11" x14ac:dyDescent="0.2">
      <c r="B7" s="361">
        <f>Assumptions!D4</f>
        <v>2022</v>
      </c>
      <c r="C7" s="362">
        <f t="shared" ref="C7:C34" si="0">IF(AND($B7&gt;=$I$4,$B7&lt;$I$4+$I$5),($K$17)/$I$5,0)</f>
        <v>0</v>
      </c>
      <c r="D7" s="363">
        <f>C7*(1+Assumptions!$D$13)^-($B7-Assumptions!$D$4)</f>
        <v>0</v>
      </c>
      <c r="E7" s="364">
        <f>IF($B7=Assumptions!$D$9,'Capital Costs'!$J$29,0)</f>
        <v>0</v>
      </c>
      <c r="F7" s="365">
        <f>E7*(1+Assumptions!$D$13)^-(B7-Assumptions!$D$4)</f>
        <v>0</v>
      </c>
      <c r="G7" s="366"/>
      <c r="H7" s="45" t="s">
        <v>327</v>
      </c>
    </row>
    <row r="8" spans="2:11" ht="12.75" thickBot="1" x14ac:dyDescent="0.25">
      <c r="B8" s="367">
        <f>B7+1</f>
        <v>2023</v>
      </c>
      <c r="C8" s="368">
        <f t="shared" si="0"/>
        <v>0</v>
      </c>
      <c r="D8" s="369">
        <f>C8*(1+Assumptions!$D$13)^-($B8-Assumptions!$D$4)</f>
        <v>0</v>
      </c>
      <c r="E8" s="104">
        <f>IF($B8=Assumptions!$D$9,'Capital Costs'!$J$29,0)</f>
        <v>0</v>
      </c>
      <c r="F8" s="90">
        <f>E8*(1+Assumptions!$D$13)^-(B8-Assumptions!$D$4)</f>
        <v>0</v>
      </c>
      <c r="G8" s="370"/>
      <c r="H8" s="742" t="s">
        <v>61</v>
      </c>
      <c r="I8" s="745" t="s">
        <v>62</v>
      </c>
      <c r="J8" s="748" t="s">
        <v>63</v>
      </c>
      <c r="K8" s="748" t="s">
        <v>64</v>
      </c>
    </row>
    <row r="9" spans="2:11" x14ac:dyDescent="0.2">
      <c r="B9" s="361">
        <f t="shared" ref="B9:B34" si="1">B8+1</f>
        <v>2024</v>
      </c>
      <c r="C9" s="371">
        <f t="shared" si="0"/>
        <v>0</v>
      </c>
      <c r="D9" s="363">
        <f>C9*(1+Assumptions!$D$13)^-($B9-Assumptions!$D$4)</f>
        <v>0</v>
      </c>
      <c r="E9" s="372">
        <f>IF($B9=Assumptions!$D$9,'Capital Costs'!$J$29,0)</f>
        <v>0</v>
      </c>
      <c r="F9" s="56">
        <f>E9*(1+Assumptions!$D$13)^-(B9-Assumptions!$D$4)</f>
        <v>0</v>
      </c>
      <c r="G9" s="370"/>
      <c r="H9" s="743"/>
      <c r="I9" s="746"/>
      <c r="J9" s="749"/>
      <c r="K9" s="749"/>
    </row>
    <row r="10" spans="2:11" x14ac:dyDescent="0.2">
      <c r="B10" s="80">
        <f t="shared" si="1"/>
        <v>2025</v>
      </c>
      <c r="C10" s="373">
        <f t="shared" si="0"/>
        <v>0</v>
      </c>
      <c r="D10" s="84">
        <f>C10*(1+Assumptions!$D$13)^-($B10-Assumptions!$D$4)</f>
        <v>0</v>
      </c>
      <c r="E10" s="374">
        <f>IF($B10=Assumptions!$D$9,'Capital Costs'!$J$29,0)</f>
        <v>0</v>
      </c>
      <c r="F10" s="298">
        <f>E10*(1+Assumptions!$D$13)^-(B10-Assumptions!$D$4)</f>
        <v>0</v>
      </c>
      <c r="G10" s="370"/>
      <c r="H10" s="744"/>
      <c r="I10" s="747"/>
      <c r="J10" s="750"/>
      <c r="K10" s="750"/>
    </row>
    <row r="11" spans="2:11" x14ac:dyDescent="0.2">
      <c r="B11" s="80">
        <f t="shared" si="1"/>
        <v>2026</v>
      </c>
      <c r="C11" s="373">
        <f t="shared" si="0"/>
        <v>0</v>
      </c>
      <c r="D11" s="84">
        <f>C11*(1+Assumptions!$D$13)^-($B11-Assumptions!$D$4)</f>
        <v>0</v>
      </c>
      <c r="E11" s="374">
        <f>IF($B11=Assumptions!$D$9,'Capital Costs'!$J$29,0)</f>
        <v>0</v>
      </c>
      <c r="F11" s="298">
        <f>E11*(1+Assumptions!$D$13)^-(B11-Assumptions!$D$4)</f>
        <v>0</v>
      </c>
      <c r="G11" s="370"/>
      <c r="H11" s="360" t="s">
        <v>66</v>
      </c>
      <c r="I11" s="375">
        <v>100</v>
      </c>
      <c r="J11" s="83">
        <f>SUMIFS('Cost Data'!$I$12:$I$54,'Cost Data'!$J$12:$J$54,'Capital Costs'!H11)</f>
        <v>100000</v>
      </c>
      <c r="K11" s="83">
        <f t="shared" ref="K11:K16" si="2">J11*$I$34</f>
        <v>96483.25358851676</v>
      </c>
    </row>
    <row r="12" spans="2:11" x14ac:dyDescent="0.2">
      <c r="B12" s="80">
        <f t="shared" si="1"/>
        <v>2027</v>
      </c>
      <c r="C12" s="373">
        <f t="shared" si="0"/>
        <v>0</v>
      </c>
      <c r="D12" s="84">
        <f>C12*(1+Assumptions!$D$13)^-($B12-Assumptions!$D$4)</f>
        <v>0</v>
      </c>
      <c r="E12" s="374">
        <f>IF($B12=Assumptions!$D$9,'Capital Costs'!$J$29,0)</f>
        <v>0</v>
      </c>
      <c r="F12" s="298">
        <f>E12*(1+Assumptions!$D$13)^-(B12-Assumptions!$D$4)</f>
        <v>0</v>
      </c>
      <c r="G12" s="370"/>
      <c r="H12" s="360" t="s">
        <v>67</v>
      </c>
      <c r="I12" s="375">
        <v>80</v>
      </c>
      <c r="J12" s="83">
        <f>SUMIFS('Cost Data'!$I$12:$I$54,'Cost Data'!$J$12:$J$54,'Capital Costs'!H12)</f>
        <v>11663485.6</v>
      </c>
      <c r="K12" s="83">
        <f t="shared" si="2"/>
        <v>11253310.388708135</v>
      </c>
    </row>
    <row r="13" spans="2:11" x14ac:dyDescent="0.2">
      <c r="B13" s="80">
        <f t="shared" si="1"/>
        <v>2028</v>
      </c>
      <c r="C13" s="373">
        <f>IF(AND($B13&gt;=$I$4,$B13&lt;$I$4+$I$5),($K$17)/$I$5,0)</f>
        <v>23787196.804378137</v>
      </c>
      <c r="D13" s="84">
        <f>C13*(1+Assumptions!$D$13)^-($B13-Assumptions!$D$4)</f>
        <v>19805749.143284947</v>
      </c>
      <c r="E13" s="374">
        <f>IF($B13=Assumptions!$D$9,'Capital Costs'!$J$29,0)</f>
        <v>0</v>
      </c>
      <c r="F13" s="298">
        <f>E13*(1+Assumptions!$D$13)^-(B13-Assumptions!$D$4)</f>
        <v>0</v>
      </c>
      <c r="G13" s="370"/>
      <c r="H13" s="360" t="s">
        <v>68</v>
      </c>
      <c r="I13" s="375">
        <v>60</v>
      </c>
      <c r="J13" s="83">
        <f>SUMIFS('Cost Data'!$I$12:$I$54,'Cost Data'!$J$12:$J$54,'Capital Costs'!H13)</f>
        <v>1357150</v>
      </c>
      <c r="K13" s="83">
        <f t="shared" si="2"/>
        <v>1309422.4760765552</v>
      </c>
    </row>
    <row r="14" spans="2:11" x14ac:dyDescent="0.2">
      <c r="B14" s="80">
        <f t="shared" si="1"/>
        <v>2029</v>
      </c>
      <c r="C14" s="373">
        <f t="shared" si="0"/>
        <v>23787196.804378137</v>
      </c>
      <c r="D14" s="84">
        <f>C14*(1+Assumptions!$D$13)^-($B14-Assumptions!$D$4)</f>
        <v>19210231.952749711</v>
      </c>
      <c r="E14" s="374">
        <f>IF($B14=Assumptions!$D$9,'Capital Costs'!$J$29,0)</f>
        <v>0</v>
      </c>
      <c r="F14" s="298">
        <f>E14*(1+Assumptions!$D$13)^-(B14-Assumptions!$D$4)</f>
        <v>0</v>
      </c>
      <c r="G14" s="370"/>
      <c r="H14" s="360" t="s">
        <v>69</v>
      </c>
      <c r="I14" s="375">
        <v>40</v>
      </c>
      <c r="J14" s="83">
        <f>SUMIFS('Cost Data'!$I$12:$I$54,'Cost Data'!$J$12:$J$54,'Capital Costs'!H14)</f>
        <v>7573783</v>
      </c>
      <c r="K14" s="83">
        <f t="shared" si="2"/>
        <v>7307432.2581339721</v>
      </c>
    </row>
    <row r="15" spans="2:11" x14ac:dyDescent="0.2">
      <c r="B15" s="80">
        <f t="shared" si="1"/>
        <v>2030</v>
      </c>
      <c r="C15" s="373">
        <f t="shared" si="0"/>
        <v>0</v>
      </c>
      <c r="D15" s="84">
        <f>C15*(1+Assumptions!$D$13)^-($B15-Assumptions!$D$4)</f>
        <v>0</v>
      </c>
      <c r="E15" s="374">
        <f>IF($B15=Assumptions!$D$9,'Capital Costs'!$J$29,0)</f>
        <v>0</v>
      </c>
      <c r="F15" s="298">
        <f>E15*(1+Assumptions!$D$13)^-(B15-Assumptions!$D$4)</f>
        <v>0</v>
      </c>
      <c r="G15" s="370"/>
      <c r="H15" s="360" t="s">
        <v>70</v>
      </c>
      <c r="I15" s="375">
        <v>25</v>
      </c>
      <c r="J15" s="83">
        <f>SUMIFS('Cost Data'!$I$12:$I$54,'Cost Data'!$J$12:$J$54,'Capital Costs'!H15)</f>
        <v>5981889</v>
      </c>
      <c r="K15" s="83">
        <f t="shared" si="2"/>
        <v>5771521.1332535893</v>
      </c>
    </row>
    <row r="16" spans="2:11" x14ac:dyDescent="0.2">
      <c r="B16" s="80">
        <f t="shared" si="1"/>
        <v>2031</v>
      </c>
      <c r="C16" s="373">
        <f t="shared" si="0"/>
        <v>0</v>
      </c>
      <c r="D16" s="84">
        <f>C16*(1+Assumptions!$D$13)^-($B16-Assumptions!$D$4)</f>
        <v>0</v>
      </c>
      <c r="E16" s="374">
        <f>IF($B16=Assumptions!$D$9,'Capital Costs'!$J$29,0)</f>
        <v>0</v>
      </c>
      <c r="F16" s="298">
        <f>E16*(1+Assumptions!$D$13)^-(B16-Assumptions!$D$4)</f>
        <v>0</v>
      </c>
      <c r="G16" s="370"/>
      <c r="H16" s="360" t="s">
        <v>65</v>
      </c>
      <c r="I16" s="375" t="s">
        <v>71</v>
      </c>
      <c r="J16" s="83">
        <f>SUMIFS('Cost Data'!$I$12:$I$54,'Cost Data'!$J$12:$J$54,'Capital Costs'!H16)</f>
        <v>22632139.036400005</v>
      </c>
      <c r="K16" s="83">
        <f t="shared" si="2"/>
        <v>21836224.09899551</v>
      </c>
    </row>
    <row r="17" spans="2:11" x14ac:dyDescent="0.2">
      <c r="B17" s="80">
        <f t="shared" si="1"/>
        <v>2032</v>
      </c>
      <c r="C17" s="373">
        <f t="shared" si="0"/>
        <v>0</v>
      </c>
      <c r="D17" s="84">
        <f>C17*(1+Assumptions!$D$13)^-($B17-Assumptions!$D$4)</f>
        <v>0</v>
      </c>
      <c r="E17" s="374">
        <f>IF($B17=Assumptions!$D$9,'Capital Costs'!$J$29,0)</f>
        <v>0</v>
      </c>
      <c r="F17" s="298">
        <f>E17*(1+Assumptions!$D$13)^-(B17-Assumptions!$D$4)</f>
        <v>0</v>
      </c>
      <c r="G17" s="370"/>
      <c r="H17" s="741" t="s">
        <v>5</v>
      </c>
      <c r="I17" s="741"/>
      <c r="J17" s="376">
        <f>SUM(J11:J16)</f>
        <v>49308446.636400007</v>
      </c>
      <c r="K17" s="377">
        <f>SUM(K11:K16)</f>
        <v>47574393.608756274</v>
      </c>
    </row>
    <row r="18" spans="2:11" x14ac:dyDescent="0.2">
      <c r="B18" s="80">
        <f t="shared" si="1"/>
        <v>2033</v>
      </c>
      <c r="C18" s="373">
        <f t="shared" si="0"/>
        <v>0</v>
      </c>
      <c r="D18" s="84">
        <f>C18*(1+Assumptions!$D$13)^-($B18-Assumptions!$D$4)</f>
        <v>0</v>
      </c>
      <c r="E18" s="374">
        <f>IF($B18=Assumptions!$D$9,'Capital Costs'!$J$29,0)</f>
        <v>0</v>
      </c>
      <c r="F18" s="298">
        <f>E18*(1+Assumptions!$D$13)^-(B18-Assumptions!$D$4)</f>
        <v>0</v>
      </c>
      <c r="G18" s="370"/>
    </row>
    <row r="19" spans="2:11" ht="13.5" x14ac:dyDescent="0.2">
      <c r="B19" s="80">
        <f t="shared" si="1"/>
        <v>2034</v>
      </c>
      <c r="C19" s="373">
        <f t="shared" si="0"/>
        <v>0</v>
      </c>
      <c r="D19" s="84">
        <f>C19*(1+Assumptions!$D$13)^-($B19-Assumptions!$D$4)</f>
        <v>0</v>
      </c>
      <c r="E19" s="374">
        <f>IF($B19=Assumptions!$D$9,'Capital Costs'!$J$29,0)</f>
        <v>0</v>
      </c>
      <c r="F19" s="298">
        <f>E19*(1+Assumptions!$D$13)^-(B19-Assumptions!$D$4)</f>
        <v>0</v>
      </c>
      <c r="G19" s="370"/>
      <c r="H19" s="45" t="s">
        <v>343</v>
      </c>
    </row>
    <row r="20" spans="2:11" x14ac:dyDescent="0.2">
      <c r="B20" s="80">
        <f t="shared" si="1"/>
        <v>2035</v>
      </c>
      <c r="C20" s="373">
        <f t="shared" si="0"/>
        <v>0</v>
      </c>
      <c r="D20" s="84">
        <f>C20*(1+Assumptions!$D$13)^-($B20-Assumptions!$D$4)</f>
        <v>0</v>
      </c>
      <c r="E20" s="374">
        <f>IF($B20=Assumptions!$D$9,'Capital Costs'!$J$29,0)</f>
        <v>0</v>
      </c>
      <c r="F20" s="298">
        <f>E20*(1+Assumptions!$D$13)^-(B20-Assumptions!$D$4)</f>
        <v>0</v>
      </c>
      <c r="G20" s="370"/>
      <c r="H20" s="751" t="s">
        <v>61</v>
      </c>
      <c r="I20" s="752" t="s">
        <v>238</v>
      </c>
      <c r="J20" s="752" t="s">
        <v>72</v>
      </c>
      <c r="K20" s="378"/>
    </row>
    <row r="21" spans="2:11" x14ac:dyDescent="0.2">
      <c r="B21" s="80">
        <f t="shared" si="1"/>
        <v>2036</v>
      </c>
      <c r="C21" s="373">
        <f t="shared" si="0"/>
        <v>0</v>
      </c>
      <c r="D21" s="84">
        <f>C21*(1+Assumptions!$D$13)^-($B21-Assumptions!$D$4)</f>
        <v>0</v>
      </c>
      <c r="E21" s="374">
        <f>IF($B21=Assumptions!$D$9,'Capital Costs'!$J$29,0)</f>
        <v>0</v>
      </c>
      <c r="F21" s="298">
        <f>E21*(1+Assumptions!$D$13)^-(B21-Assumptions!$D$4)</f>
        <v>0</v>
      </c>
      <c r="G21" s="370"/>
      <c r="H21" s="751"/>
      <c r="I21" s="752"/>
      <c r="J21" s="752"/>
      <c r="K21" s="378"/>
    </row>
    <row r="22" spans="2:11" x14ac:dyDescent="0.2">
      <c r="B22" s="80">
        <f t="shared" si="1"/>
        <v>2037</v>
      </c>
      <c r="C22" s="373">
        <f t="shared" si="0"/>
        <v>0</v>
      </c>
      <c r="D22" s="84">
        <f>C22*(1+Assumptions!$D$13)^-($B22-Assumptions!$D$4)</f>
        <v>0</v>
      </c>
      <c r="E22" s="374">
        <f>IF($B22=Assumptions!$D$9,'Capital Costs'!$J$29,0)</f>
        <v>0</v>
      </c>
      <c r="F22" s="298">
        <f>E22*(1+Assumptions!$D$13)^-(B22-Assumptions!$D$4)</f>
        <v>0</v>
      </c>
      <c r="G22" s="370"/>
      <c r="H22" s="751"/>
      <c r="I22" s="752"/>
      <c r="J22" s="752"/>
      <c r="K22" s="378"/>
    </row>
    <row r="23" spans="2:11" x14ac:dyDescent="0.2">
      <c r="B23" s="80">
        <f t="shared" si="1"/>
        <v>2038</v>
      </c>
      <c r="C23" s="373">
        <f t="shared" si="0"/>
        <v>0</v>
      </c>
      <c r="D23" s="84">
        <f>C23*(1+Assumptions!$D$13)^-($B23-Assumptions!$D$4)</f>
        <v>0</v>
      </c>
      <c r="E23" s="374">
        <f>IF($B23=Assumptions!$D$9,'Capital Costs'!$J$29,0)</f>
        <v>0</v>
      </c>
      <c r="F23" s="298">
        <f>E23*(1+Assumptions!$D$13)^-(B23-Assumptions!$D$4)</f>
        <v>0</v>
      </c>
      <c r="G23" s="370"/>
      <c r="H23" s="360" t="s">
        <v>66</v>
      </c>
      <c r="I23" s="379">
        <v>1</v>
      </c>
      <c r="J23" s="380">
        <f t="shared" ref="J23:J28" si="3">I23*K11</f>
        <v>96483.25358851676</v>
      </c>
      <c r="K23" s="381"/>
    </row>
    <row r="24" spans="2:11" x14ac:dyDescent="0.2">
      <c r="B24" s="80">
        <f t="shared" si="1"/>
        <v>2039</v>
      </c>
      <c r="C24" s="373">
        <f t="shared" si="0"/>
        <v>0</v>
      </c>
      <c r="D24" s="84">
        <f>C24*(1+Assumptions!$D$13)^-($B24-Assumptions!$D$4)</f>
        <v>0</v>
      </c>
      <c r="E24" s="374">
        <f>IF($B24=Assumptions!$D$9,'Capital Costs'!$J$29,0)</f>
        <v>0</v>
      </c>
      <c r="F24" s="298">
        <f>E24*(1+Assumptions!$D$13)^-(B24-Assumptions!$D$4)</f>
        <v>0</v>
      </c>
      <c r="G24" s="370"/>
      <c r="H24" s="360" t="s">
        <v>67</v>
      </c>
      <c r="I24" s="379">
        <f>(I12-Assumptions!$D$7)/I12</f>
        <v>0.75</v>
      </c>
      <c r="J24" s="380">
        <f t="shared" si="3"/>
        <v>8439982.7915311009</v>
      </c>
      <c r="K24" s="381"/>
    </row>
    <row r="25" spans="2:11" x14ac:dyDescent="0.2">
      <c r="B25" s="80">
        <f t="shared" si="1"/>
        <v>2040</v>
      </c>
      <c r="C25" s="373">
        <f t="shared" si="0"/>
        <v>0</v>
      </c>
      <c r="D25" s="84">
        <f>C25*(1+Assumptions!$D$13)^-($B25-Assumptions!$D$4)</f>
        <v>0</v>
      </c>
      <c r="E25" s="374">
        <f>IF($B25=Assumptions!$D$9,'Capital Costs'!$J$29,0)</f>
        <v>0</v>
      </c>
      <c r="F25" s="298">
        <f>E25*(1+Assumptions!$D$13)^-(B25-Assumptions!$D$4)</f>
        <v>0</v>
      </c>
      <c r="G25" s="370"/>
      <c r="H25" s="360" t="s">
        <v>68</v>
      </c>
      <c r="I25" s="379">
        <f>(I13-Assumptions!$D$7)/I13</f>
        <v>0.66666666666666663</v>
      </c>
      <c r="J25" s="380">
        <f t="shared" si="3"/>
        <v>872948.31738437014</v>
      </c>
      <c r="K25" s="381"/>
    </row>
    <row r="26" spans="2:11" x14ac:dyDescent="0.2">
      <c r="B26" s="80">
        <f t="shared" si="1"/>
        <v>2041</v>
      </c>
      <c r="C26" s="373">
        <f t="shared" si="0"/>
        <v>0</v>
      </c>
      <c r="D26" s="84">
        <f>C26*(1+Assumptions!$D$13)^-($B26-Assumptions!$D$4)</f>
        <v>0</v>
      </c>
      <c r="E26" s="374">
        <f>IF($B26=Assumptions!$D$9,'Capital Costs'!$J$29,0)</f>
        <v>0</v>
      </c>
      <c r="F26" s="298">
        <f>E26*(1+Assumptions!$D$13)^-(B26-Assumptions!$D$4)</f>
        <v>0</v>
      </c>
      <c r="G26" s="370"/>
      <c r="H26" s="360" t="s">
        <v>69</v>
      </c>
      <c r="I26" s="379">
        <f>(I14-Assumptions!$D$7)/I14</f>
        <v>0.5</v>
      </c>
      <c r="J26" s="380">
        <f t="shared" si="3"/>
        <v>3653716.129066986</v>
      </c>
      <c r="K26" s="381"/>
    </row>
    <row r="27" spans="2:11" x14ac:dyDescent="0.2">
      <c r="B27" s="80">
        <f t="shared" si="1"/>
        <v>2042</v>
      </c>
      <c r="C27" s="373">
        <f t="shared" si="0"/>
        <v>0</v>
      </c>
      <c r="D27" s="84">
        <f>C27*(1+Assumptions!$D$13)^-($B27-Assumptions!$D$4)</f>
        <v>0</v>
      </c>
      <c r="E27" s="374">
        <f>IF($B27=Assumptions!$D$9,'Capital Costs'!$J$29,0)</f>
        <v>0</v>
      </c>
      <c r="F27" s="298">
        <f>E27*(1+Assumptions!$D$13)^-(B27-Assumptions!$D$4)</f>
        <v>0</v>
      </c>
      <c r="G27" s="370"/>
      <c r="H27" s="360" t="s">
        <v>70</v>
      </c>
      <c r="I27" s="379">
        <f>(I15-Assumptions!$D$7)/I15</f>
        <v>0.2</v>
      </c>
      <c r="J27" s="382">
        <f t="shared" si="3"/>
        <v>1154304.2266507179</v>
      </c>
      <c r="K27" s="381"/>
    </row>
    <row r="28" spans="2:11" x14ac:dyDescent="0.2">
      <c r="B28" s="80">
        <f t="shared" si="1"/>
        <v>2043</v>
      </c>
      <c r="C28" s="373">
        <f t="shared" si="0"/>
        <v>0</v>
      </c>
      <c r="D28" s="84">
        <f>C28*(1+Assumptions!$D$13)^-($B28-Assumptions!$D$4)</f>
        <v>0</v>
      </c>
      <c r="E28" s="374">
        <f>IF($B28=Assumptions!$D$9,'Capital Costs'!$J$29,0)</f>
        <v>0</v>
      </c>
      <c r="F28" s="298">
        <f>E28*(1+Assumptions!$D$13)^-(B28-Assumptions!$D$4)</f>
        <v>0</v>
      </c>
      <c r="G28" s="370"/>
      <c r="H28" s="360" t="s">
        <v>65</v>
      </c>
      <c r="I28" s="379">
        <v>0</v>
      </c>
      <c r="J28" s="380">
        <f t="shared" si="3"/>
        <v>0</v>
      </c>
      <c r="K28" s="381"/>
    </row>
    <row r="29" spans="2:11" x14ac:dyDescent="0.2">
      <c r="B29" s="80">
        <f t="shared" si="1"/>
        <v>2044</v>
      </c>
      <c r="C29" s="373">
        <f t="shared" si="0"/>
        <v>0</v>
      </c>
      <c r="D29" s="84">
        <f>C29*(1+Assumptions!$D$13)^-($B29-Assumptions!$D$4)</f>
        <v>0</v>
      </c>
      <c r="E29" s="374">
        <f>IF($B29=Assumptions!$D$9,'Capital Costs'!$J$29,0)</f>
        <v>0</v>
      </c>
      <c r="F29" s="298">
        <f>E29*(1+Assumptions!$D$13)^-(B29-Assumptions!$D$4)</f>
        <v>0</v>
      </c>
      <c r="G29" s="370"/>
      <c r="H29" s="741" t="s">
        <v>73</v>
      </c>
      <c r="I29" s="741"/>
      <c r="J29" s="377">
        <f>SUM(J23:J28)</f>
        <v>14217434.718221691</v>
      </c>
      <c r="K29" s="383"/>
    </row>
    <row r="30" spans="2:11" x14ac:dyDescent="0.2">
      <c r="B30" s="80">
        <f t="shared" si="1"/>
        <v>2045</v>
      </c>
      <c r="C30" s="373">
        <f t="shared" si="0"/>
        <v>0</v>
      </c>
      <c r="D30" s="84">
        <f>C30*(1+Assumptions!$D$13)^-($B30-Assumptions!$D$4)</f>
        <v>0</v>
      </c>
      <c r="E30" s="374">
        <f>IF($B30=Assumptions!$D$9,'Capital Costs'!$J$29,0)</f>
        <v>0</v>
      </c>
      <c r="F30" s="298">
        <f>E30*(1+Assumptions!$D$13)^-(B30-Assumptions!$D$4)</f>
        <v>0</v>
      </c>
      <c r="G30" s="370"/>
    </row>
    <row r="31" spans="2:11" x14ac:dyDescent="0.2">
      <c r="B31" s="80">
        <f t="shared" si="1"/>
        <v>2046</v>
      </c>
      <c r="C31" s="373">
        <f t="shared" si="0"/>
        <v>0</v>
      </c>
      <c r="D31" s="84">
        <f>C31*(1+Assumptions!$D$13)^-($B31-Assumptions!$D$4)</f>
        <v>0</v>
      </c>
      <c r="E31" s="374">
        <f>IF($B31=Assumptions!$D$9,'Capital Costs'!$J$29,0)</f>
        <v>0</v>
      </c>
      <c r="F31" s="298">
        <f>E31*(1+Assumptions!$D$13)^-(B31-Assumptions!$D$4)</f>
        <v>0</v>
      </c>
      <c r="G31" s="370"/>
      <c r="H31" s="45" t="s">
        <v>488</v>
      </c>
      <c r="I31" s="45"/>
    </row>
    <row r="32" spans="2:11" x14ac:dyDescent="0.2">
      <c r="B32" s="80">
        <f t="shared" si="1"/>
        <v>2047</v>
      </c>
      <c r="C32" s="373">
        <f t="shared" si="0"/>
        <v>0</v>
      </c>
      <c r="D32" s="84">
        <f>C32*(1+Assumptions!$D$13)^-($B32-Assumptions!$D$4)</f>
        <v>0</v>
      </c>
      <c r="E32" s="374">
        <f>IF($B32=Assumptions!$D$9,'Capital Costs'!$J$29,0)</f>
        <v>0</v>
      </c>
      <c r="F32" s="298">
        <f>E32*(1+Assumptions!$D$13)^-(B32-Assumptions!$D$4)</f>
        <v>0</v>
      </c>
      <c r="G32" s="370"/>
      <c r="H32" s="256">
        <v>2022</v>
      </c>
      <c r="I32" s="357">
        <f>AVERAGE(115.135,117.671,118.962,120.093)</f>
        <v>117.96525000000001</v>
      </c>
    </row>
    <row r="33" spans="1:10" x14ac:dyDescent="0.2">
      <c r="B33" s="80">
        <f t="shared" si="1"/>
        <v>2048</v>
      </c>
      <c r="C33" s="373">
        <f t="shared" si="0"/>
        <v>0</v>
      </c>
      <c r="D33" s="84">
        <f>C33*(1+Assumptions!$D$13)^-($B33-Assumptions!$D$4)</f>
        <v>0</v>
      </c>
      <c r="E33" s="374">
        <f>IF($B33=Assumptions!$D$9,'Capital Costs'!$J$29,0)</f>
        <v>0</v>
      </c>
      <c r="F33" s="298">
        <f>E33*(1+Assumptions!$D$13)^-(B33-Assumptions!$D$4)</f>
        <v>0</v>
      </c>
      <c r="G33" s="370"/>
      <c r="H33" s="256">
        <v>2023</v>
      </c>
      <c r="I33" s="357">
        <f>AVERAGE(121.261,121.766,122.762,123.271)</f>
        <v>122.265</v>
      </c>
    </row>
    <row r="34" spans="1:10" ht="12.75" thickBot="1" x14ac:dyDescent="0.25">
      <c r="B34" s="422">
        <f t="shared" si="1"/>
        <v>2049</v>
      </c>
      <c r="C34" s="384">
        <f t="shared" si="0"/>
        <v>0</v>
      </c>
      <c r="D34" s="92">
        <f>C34*(1+Assumptions!$D$13)^-($B34-Assumptions!$D$4)</f>
        <v>0</v>
      </c>
      <c r="E34" s="385">
        <f>IF($B34=Assumptions!$D$9,'Capital Costs'!$J$29,0)</f>
        <v>14217434.718221691</v>
      </c>
      <c r="F34" s="319">
        <f>E34*((1+Assumptions!$D$13)^-(B34-Assumptions!$D$4))-J40</f>
        <v>4782369.8193392875</v>
      </c>
      <c r="G34" s="370"/>
      <c r="H34" s="256" t="s">
        <v>157</v>
      </c>
      <c r="I34" s="358">
        <f>I32/I33</f>
        <v>0.9648325358851676</v>
      </c>
    </row>
    <row r="35" spans="1:10" x14ac:dyDescent="0.2">
      <c r="C35" s="386"/>
      <c r="D35" s="386">
        <f>SUM(D7:D34)</f>
        <v>39015981.096034661</v>
      </c>
      <c r="F35" s="386">
        <f>SUM(F7:F34)</f>
        <v>4782369.8193392875</v>
      </c>
    </row>
    <row r="36" spans="1:10" x14ac:dyDescent="0.2">
      <c r="H36" s="45" t="s">
        <v>339</v>
      </c>
    </row>
    <row r="37" spans="1:10" x14ac:dyDescent="0.2">
      <c r="G37" s="387"/>
      <c r="H37" s="349" t="s">
        <v>4</v>
      </c>
      <c r="I37" s="354" t="s">
        <v>340</v>
      </c>
      <c r="J37" s="302" t="s">
        <v>338</v>
      </c>
    </row>
    <row r="38" spans="1:10" x14ac:dyDescent="0.2">
      <c r="B38" s="30" t="s">
        <v>40</v>
      </c>
      <c r="F38" s="386"/>
      <c r="H38" s="349">
        <f>'Ops and Main'!P19</f>
        <v>2053</v>
      </c>
      <c r="I38" s="359">
        <f>SUM('Ops and Main'!W5:W9)</f>
        <v>1163547.0407482807</v>
      </c>
      <c r="J38" s="83">
        <f>I38*(1+Assumptions!$D$13)^-(H38-Assumptions!$D$4)</f>
        <v>451611.84289157059</v>
      </c>
    </row>
    <row r="39" spans="1:10" x14ac:dyDescent="0.2">
      <c r="A39" s="269" t="s">
        <v>18</v>
      </c>
      <c r="B39" s="649" t="s">
        <v>326</v>
      </c>
      <c r="C39" s="649"/>
      <c r="D39" s="649"/>
      <c r="H39" s="349">
        <f>'Ops and Main'!P20</f>
        <v>2078</v>
      </c>
      <c r="I39" s="359">
        <f>SUM('Ops and Main'!W8:W12)</f>
        <v>5532639.9868392833</v>
      </c>
      <c r="J39" s="83">
        <f>I39*(1+Assumptions!$D$13)^-(H39-Assumptions!$D$4)</f>
        <v>1001030.143543645</v>
      </c>
    </row>
    <row r="40" spans="1:10" x14ac:dyDescent="0.2">
      <c r="B40" s="649"/>
      <c r="C40" s="649"/>
      <c r="D40" s="649"/>
      <c r="H40" s="735" t="s">
        <v>344</v>
      </c>
      <c r="I40" s="735"/>
      <c r="J40" s="376">
        <f>SUM(J38:J39)</f>
        <v>1452641.9864352157</v>
      </c>
    </row>
    <row r="41" spans="1:10" x14ac:dyDescent="0.2">
      <c r="B41" s="649"/>
      <c r="C41" s="649"/>
      <c r="D41" s="649"/>
    </row>
  </sheetData>
  <mergeCells count="18">
    <mergeCell ref="J8:J10"/>
    <mergeCell ref="K8:K10"/>
    <mergeCell ref="H17:I17"/>
    <mergeCell ref="H20:H22"/>
    <mergeCell ref="I20:I22"/>
    <mergeCell ref="J20:J22"/>
    <mergeCell ref="B39:D41"/>
    <mergeCell ref="H40:I40"/>
    <mergeCell ref="C4:D4"/>
    <mergeCell ref="E4:F4"/>
    <mergeCell ref="B5:B6"/>
    <mergeCell ref="C5:C6"/>
    <mergeCell ref="D5:D6"/>
    <mergeCell ref="E5:E6"/>
    <mergeCell ref="F5:F6"/>
    <mergeCell ref="H29:I29"/>
    <mergeCell ref="H8:H10"/>
    <mergeCell ref="I8:I10"/>
  </mergeCells>
  <pageMargins left="0.25" right="0.25" top="0.75" bottom="0.75" header="0.3" footer="0.3"/>
  <pageSetup paperSize="119"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8079FD-EFAA-42B4-803E-575D5D4BE353}">
  <sheetPr>
    <tabColor rgb="FFC00000"/>
    <pageSetUpPr fitToPage="1"/>
  </sheetPr>
  <dimension ref="B2:AB34"/>
  <sheetViews>
    <sheetView zoomScaleNormal="100" zoomScaleSheetLayoutView="100" workbookViewId="0">
      <selection activeCell="U31" sqref="U31"/>
    </sheetView>
  </sheetViews>
  <sheetFormatPr defaultRowHeight="12" x14ac:dyDescent="0.2"/>
  <cols>
    <col min="1" max="1" width="5.140625" style="328" customWidth="1"/>
    <col min="2" max="2" width="3.28515625" style="328" customWidth="1"/>
    <col min="3" max="3" width="7.42578125" style="328" customWidth="1"/>
    <col min="4" max="13" width="10" style="328" customWidth="1"/>
    <col min="14" max="14" width="9.140625" style="328"/>
    <col min="15" max="15" width="19.42578125" style="328" customWidth="1"/>
    <col min="16" max="16" width="12.5703125" style="328" bestFit="1" customWidth="1"/>
    <col min="17" max="17" width="7.7109375" style="328" bestFit="1" customWidth="1"/>
    <col min="18" max="18" width="8" style="328" bestFit="1" customWidth="1"/>
    <col min="19" max="19" width="12" style="328" bestFit="1" customWidth="1"/>
    <col min="20" max="20" width="40.7109375" style="328" bestFit="1" customWidth="1"/>
    <col min="21" max="21" width="66.140625" style="328" bestFit="1" customWidth="1"/>
    <col min="22" max="22" width="21.85546875" style="328" bestFit="1" customWidth="1"/>
    <col min="23" max="23" width="18.5703125" style="328" bestFit="1" customWidth="1"/>
    <col min="24" max="24" width="24.28515625" style="328" bestFit="1" customWidth="1"/>
    <col min="25" max="25" width="23.7109375" style="328" bestFit="1" customWidth="1"/>
    <col min="26" max="26" width="6.140625" style="328" bestFit="1" customWidth="1"/>
    <col min="27" max="27" width="4.7109375" style="328" bestFit="1" customWidth="1"/>
    <col min="28" max="28" width="9.7109375" style="328" bestFit="1" customWidth="1"/>
    <col min="29" max="16384" width="9.140625" style="328"/>
  </cols>
  <sheetData>
    <row r="2" spans="3:28" ht="13.5" x14ac:dyDescent="0.2">
      <c r="C2" s="327" t="s">
        <v>342</v>
      </c>
    </row>
    <row r="3" spans="3:28" ht="17.25" thickBot="1" x14ac:dyDescent="0.25">
      <c r="O3" s="327" t="s">
        <v>394</v>
      </c>
      <c r="T3" s="533" t="s">
        <v>292</v>
      </c>
      <c r="U3" s="533" t="s">
        <v>397</v>
      </c>
      <c r="V3" s="533" t="s">
        <v>398</v>
      </c>
      <c r="W3" s="533" t="s">
        <v>399</v>
      </c>
      <c r="X3" s="534" t="s">
        <v>400</v>
      </c>
      <c r="Y3" s="534" t="s">
        <v>402</v>
      </c>
      <c r="Z3" s="534" t="s">
        <v>401</v>
      </c>
      <c r="AA3" s="534" t="s">
        <v>376</v>
      </c>
      <c r="AB3" s="534" t="s">
        <v>374</v>
      </c>
    </row>
    <row r="4" spans="3:28" ht="15" x14ac:dyDescent="0.2">
      <c r="C4" s="762" t="s">
        <v>4</v>
      </c>
      <c r="D4" s="764" t="s">
        <v>240</v>
      </c>
      <c r="E4" s="757"/>
      <c r="F4" s="764" t="s">
        <v>241</v>
      </c>
      <c r="G4" s="757"/>
      <c r="H4" s="764" t="s">
        <v>335</v>
      </c>
      <c r="I4" s="757"/>
      <c r="J4" s="756" t="s">
        <v>242</v>
      </c>
      <c r="K4" s="757"/>
      <c r="L4" s="758" t="s">
        <v>3</v>
      </c>
      <c r="M4" s="760" t="s">
        <v>43</v>
      </c>
      <c r="N4" s="329"/>
      <c r="O4" s="351" t="s">
        <v>322</v>
      </c>
      <c r="P4" s="349" t="s">
        <v>291</v>
      </c>
      <c r="Q4" s="349" t="s">
        <v>323</v>
      </c>
      <c r="R4" s="349" t="s">
        <v>243</v>
      </c>
      <c r="T4" s="533" t="s">
        <v>297</v>
      </c>
      <c r="U4" s="533" t="s">
        <v>304</v>
      </c>
      <c r="V4" s="534"/>
      <c r="W4" s="534"/>
      <c r="X4" s="534"/>
      <c r="Y4" s="534"/>
      <c r="Z4" s="534"/>
      <c r="AA4" s="534"/>
      <c r="AB4" s="535"/>
    </row>
    <row r="5" spans="3:28" ht="15.75" thickBot="1" x14ac:dyDescent="0.25">
      <c r="C5" s="763"/>
      <c r="D5" s="504" t="s">
        <v>1</v>
      </c>
      <c r="E5" s="505" t="s">
        <v>2</v>
      </c>
      <c r="F5" s="504" t="s">
        <v>244</v>
      </c>
      <c r="G5" s="505" t="s">
        <v>2</v>
      </c>
      <c r="H5" s="504" t="s">
        <v>1</v>
      </c>
      <c r="I5" s="505" t="s">
        <v>2</v>
      </c>
      <c r="J5" s="506" t="s">
        <v>1</v>
      </c>
      <c r="K5" s="505" t="s">
        <v>2</v>
      </c>
      <c r="L5" s="759"/>
      <c r="M5" s="761"/>
      <c r="O5" s="351" t="s">
        <v>239</v>
      </c>
      <c r="P5" s="349">
        <v>1</v>
      </c>
      <c r="Q5" s="528">
        <v>0.2</v>
      </c>
      <c r="R5" s="350">
        <f>Q5*SUM($P$13)</f>
        <v>5014.8</v>
      </c>
      <c r="T5" s="533" t="s">
        <v>293</v>
      </c>
      <c r="U5" s="533" t="s">
        <v>302</v>
      </c>
      <c r="V5" s="536">
        <v>2051</v>
      </c>
      <c r="W5" s="537">
        <f>$Z5*$AB5*$P$33</f>
        <v>988502.23409036826</v>
      </c>
      <c r="X5" s="534">
        <v>986</v>
      </c>
      <c r="Y5" s="534">
        <v>1800</v>
      </c>
      <c r="Z5" s="534">
        <f>SUM(X5:Y5)</f>
        <v>2786</v>
      </c>
      <c r="AA5" s="534" t="s">
        <v>203</v>
      </c>
      <c r="AB5" s="535">
        <v>400</v>
      </c>
    </row>
    <row r="6" spans="3:28" ht="15" x14ac:dyDescent="0.2">
      <c r="C6" s="501">
        <f>Assumptions!D8</f>
        <v>2030</v>
      </c>
      <c r="D6" s="330">
        <f>IF(MOD(C6-$O$18,$P$7)=0,$R$7,)</f>
        <v>0</v>
      </c>
      <c r="E6" s="331">
        <f>IF(MOD(C6-$P$18,$P$7)=0,$R$7,)</f>
        <v>0</v>
      </c>
      <c r="F6" s="330">
        <f>IF(MOD(C6-$O$18,$P$8)=0,$R$8,)</f>
        <v>0</v>
      </c>
      <c r="G6" s="331">
        <f>IF(MOD(C6-$P$18,$P$8)=0,$R$8,)</f>
        <v>0</v>
      </c>
      <c r="H6" s="424">
        <f>IF(C6=$O$28,SUM($W$8:$W$12),0)</f>
        <v>0</v>
      </c>
      <c r="I6" s="425">
        <v>0</v>
      </c>
      <c r="J6" s="332">
        <f>SUM(D6,F6,H6)</f>
        <v>0</v>
      </c>
      <c r="K6" s="333">
        <f>SUM(E6,G6,I6)</f>
        <v>0</v>
      </c>
      <c r="L6" s="334">
        <f>J6-K6</f>
        <v>0</v>
      </c>
      <c r="M6" s="335">
        <f>L6*(1+Assumptions!$D$13)^-(C6-Assumptions!$D$4)</f>
        <v>0</v>
      </c>
      <c r="O6" s="351" t="s">
        <v>245</v>
      </c>
      <c r="P6" s="349">
        <v>1</v>
      </c>
      <c r="Q6" s="528">
        <v>0.02</v>
      </c>
      <c r="R6" s="350">
        <f>Q6*SUM($P$13)</f>
        <v>501.48</v>
      </c>
      <c r="T6" s="533" t="s">
        <v>295</v>
      </c>
      <c r="U6" s="533" t="s">
        <v>302</v>
      </c>
      <c r="V6" s="536">
        <v>2051</v>
      </c>
      <c r="W6" s="537">
        <f>$Z6*$AB6*$P$33*2</f>
        <v>120679.94342066995</v>
      </c>
      <c r="X6" s="534">
        <v>405</v>
      </c>
      <c r="Y6" s="534">
        <v>502</v>
      </c>
      <c r="Z6" s="534">
        <f>SUM(X6:Y6)</f>
        <v>907</v>
      </c>
      <c r="AA6" s="534" t="s">
        <v>188</v>
      </c>
      <c r="AB6" s="535">
        <v>75</v>
      </c>
    </row>
    <row r="7" spans="3:28" ht="15" x14ac:dyDescent="0.2">
      <c r="C7" s="502">
        <f>C6+1</f>
        <v>2031</v>
      </c>
      <c r="D7" s="336">
        <f>IF(MOD(C7-$O$18,$P$7)=0,$R$7,)</f>
        <v>4764.0600000000004</v>
      </c>
      <c r="E7" s="337">
        <f t="shared" ref="E7:E25" si="0">IF(MOD(C7-$P$18,$P$7)=0,$R$7,)</f>
        <v>4764.0600000000004</v>
      </c>
      <c r="F7" s="336">
        <f t="shared" ref="F7:F25" si="1">IF(MOD(C7-$O$18,$P$8)=0,$R$8,)</f>
        <v>16298.1</v>
      </c>
      <c r="G7" s="337">
        <f t="shared" ref="G7:G25" si="2">IF(MOD(C7-$P$18,$P$8)=0,$R$8,)</f>
        <v>0</v>
      </c>
      <c r="H7" s="336">
        <f t="shared" ref="H7:H25" si="3">IF(C7=$O$28,SUM($W$8:$W$12),0)</f>
        <v>0</v>
      </c>
      <c r="I7" s="337">
        <v>0</v>
      </c>
      <c r="J7" s="338">
        <f t="shared" ref="J7:J25" si="4">SUM(D7,F7,H7)</f>
        <v>21062.16</v>
      </c>
      <c r="K7" s="339">
        <f t="shared" ref="K7:K25" si="5">SUM(E7,G7,I7)</f>
        <v>4764.0600000000004</v>
      </c>
      <c r="L7" s="340">
        <f>J7-K7</f>
        <v>16298.099999999999</v>
      </c>
      <c r="M7" s="341">
        <f>L7*(1+Assumptions!$D$13)^-(C7-Assumptions!$D$4)</f>
        <v>12382.518645678107</v>
      </c>
      <c r="O7" s="351" t="s">
        <v>240</v>
      </c>
      <c r="P7" s="349">
        <v>3</v>
      </c>
      <c r="Q7" s="528">
        <v>0.19</v>
      </c>
      <c r="R7" s="350">
        <f>Q7*SUM($P$13)</f>
        <v>4764.0600000000004</v>
      </c>
      <c r="T7" s="533" t="s">
        <v>375</v>
      </c>
      <c r="U7" s="533" t="s">
        <v>377</v>
      </c>
      <c r="V7" s="538"/>
      <c r="W7" s="535"/>
      <c r="X7" s="534"/>
      <c r="Y7" s="534"/>
      <c r="Z7" s="534"/>
      <c r="AA7" s="534"/>
      <c r="AB7" s="535"/>
    </row>
    <row r="8" spans="3:28" ht="15" x14ac:dyDescent="0.2">
      <c r="C8" s="502">
        <f t="shared" ref="C8:C25" si="6">C7+1</f>
        <v>2032</v>
      </c>
      <c r="D8" s="330">
        <f t="shared" ref="D8:D25" si="7">IF(MOD(C8-$O$18,$P$7)=0,$R$7,)</f>
        <v>0</v>
      </c>
      <c r="E8" s="331">
        <f t="shared" si="0"/>
        <v>0</v>
      </c>
      <c r="F8" s="336">
        <f t="shared" si="1"/>
        <v>0</v>
      </c>
      <c r="G8" s="337">
        <f t="shared" si="2"/>
        <v>0</v>
      </c>
      <c r="H8" s="336">
        <f t="shared" si="3"/>
        <v>0</v>
      </c>
      <c r="I8" s="337">
        <v>0</v>
      </c>
      <c r="J8" s="338">
        <f t="shared" si="4"/>
        <v>0</v>
      </c>
      <c r="K8" s="339">
        <f t="shared" si="5"/>
        <v>0</v>
      </c>
      <c r="L8" s="340">
        <f>J8-K8</f>
        <v>0</v>
      </c>
      <c r="M8" s="341">
        <f>L8*(1+Assumptions!$D$13)^-(C8-Assumptions!$D$4)</f>
        <v>0</v>
      </c>
      <c r="O8" s="351" t="s">
        <v>241</v>
      </c>
      <c r="P8" s="349">
        <v>6</v>
      </c>
      <c r="Q8" s="528">
        <v>0.65</v>
      </c>
      <c r="R8" s="350">
        <f>Q8*SUM($P$13)</f>
        <v>16298.1</v>
      </c>
      <c r="T8" s="533" t="s">
        <v>300</v>
      </c>
      <c r="U8" s="533" t="s">
        <v>301</v>
      </c>
      <c r="V8" s="539" t="s">
        <v>299</v>
      </c>
      <c r="W8" s="537">
        <f>($AB$8*$X$12/$Y$12+$AB$8)*$P$33</f>
        <v>31065.636135567125</v>
      </c>
      <c r="X8" s="534"/>
      <c r="Y8" s="534"/>
      <c r="Z8" s="534"/>
      <c r="AA8" s="534"/>
      <c r="AB8" s="535">
        <v>20000</v>
      </c>
    </row>
    <row r="9" spans="3:28" ht="15" x14ac:dyDescent="0.2">
      <c r="C9" s="502">
        <f t="shared" si="6"/>
        <v>2033</v>
      </c>
      <c r="D9" s="336">
        <f t="shared" si="7"/>
        <v>0</v>
      </c>
      <c r="E9" s="337">
        <f t="shared" si="0"/>
        <v>0</v>
      </c>
      <c r="F9" s="336">
        <f t="shared" si="1"/>
        <v>0</v>
      </c>
      <c r="G9" s="337">
        <f t="shared" si="2"/>
        <v>0</v>
      </c>
      <c r="H9" s="336">
        <f>IF(C9=$O$28,SUM($W$8:$W$12),0)</f>
        <v>5532639.9868392833</v>
      </c>
      <c r="I9" s="337">
        <v>0</v>
      </c>
      <c r="J9" s="338">
        <f>SUM(D9,F9,H9)</f>
        <v>5532639.9868392833</v>
      </c>
      <c r="K9" s="339">
        <f t="shared" si="5"/>
        <v>0</v>
      </c>
      <c r="L9" s="340">
        <f t="shared" ref="L9:L25" si="8">J9-K9</f>
        <v>5532639.9868392833</v>
      </c>
      <c r="M9" s="341">
        <f>L9*(1+Assumptions!$D$13)^-(C9-Assumptions!$D$4)</f>
        <v>3954459.145874464</v>
      </c>
      <c r="O9" s="351" t="s">
        <v>369</v>
      </c>
      <c r="P9" s="349">
        <v>1</v>
      </c>
      <c r="Q9" s="528">
        <v>525</v>
      </c>
      <c r="R9" s="350">
        <f>Q13*R13/5280*Q9</f>
        <v>180.36931818181819</v>
      </c>
      <c r="T9" s="533" t="s">
        <v>298</v>
      </c>
      <c r="U9" s="533" t="s">
        <v>301</v>
      </c>
      <c r="V9" s="539" t="s">
        <v>299</v>
      </c>
      <c r="W9" s="537">
        <f>($AB$9*$X$12/$Y$12+$AB$9)*$P$33</f>
        <v>23299.227101675344</v>
      </c>
      <c r="X9" s="534"/>
      <c r="Y9" s="534"/>
      <c r="Z9" s="534"/>
      <c r="AA9" s="534"/>
      <c r="AB9" s="535">
        <v>15000</v>
      </c>
    </row>
    <row r="10" spans="3:28" ht="15" x14ac:dyDescent="0.2">
      <c r="C10" s="502">
        <f t="shared" si="6"/>
        <v>2034</v>
      </c>
      <c r="D10" s="336">
        <f t="shared" si="7"/>
        <v>4764.0600000000004</v>
      </c>
      <c r="E10" s="337">
        <f t="shared" si="0"/>
        <v>4764.0600000000004</v>
      </c>
      <c r="F10" s="336">
        <f t="shared" si="1"/>
        <v>0</v>
      </c>
      <c r="G10" s="337">
        <f t="shared" si="2"/>
        <v>16298.1</v>
      </c>
      <c r="H10" s="336">
        <f t="shared" si="3"/>
        <v>0</v>
      </c>
      <c r="I10" s="337">
        <v>0</v>
      </c>
      <c r="J10" s="338">
        <f>SUM(D10,F10,H10)</f>
        <v>4764.0600000000004</v>
      </c>
      <c r="K10" s="339">
        <f t="shared" si="5"/>
        <v>21062.16</v>
      </c>
      <c r="L10" s="340">
        <f t="shared" si="8"/>
        <v>-16298.099999999999</v>
      </c>
      <c r="M10" s="341">
        <f>L10*(1+Assumptions!$D$13)^-(C10-Assumptions!$D$4)</f>
        <v>-11298.817522130836</v>
      </c>
      <c r="O10" s="329"/>
      <c r="P10" s="329"/>
      <c r="Q10" s="329"/>
      <c r="R10" s="329"/>
      <c r="T10" s="533" t="s">
        <v>373</v>
      </c>
      <c r="U10" s="533" t="s">
        <v>305</v>
      </c>
      <c r="V10" s="538"/>
      <c r="W10" s="535"/>
      <c r="X10" s="534"/>
      <c r="Y10" s="534"/>
      <c r="Z10" s="534"/>
      <c r="AA10" s="534"/>
      <c r="AB10" s="535"/>
    </row>
    <row r="11" spans="3:28" ht="15" x14ac:dyDescent="0.2">
      <c r="C11" s="502">
        <f>C10+1</f>
        <v>2035</v>
      </c>
      <c r="D11" s="330">
        <f t="shared" si="7"/>
        <v>0</v>
      </c>
      <c r="E11" s="331">
        <f t="shared" si="0"/>
        <v>0</v>
      </c>
      <c r="F11" s="336">
        <f t="shared" si="1"/>
        <v>0</v>
      </c>
      <c r="G11" s="337">
        <f t="shared" si="2"/>
        <v>0</v>
      </c>
      <c r="H11" s="336">
        <f t="shared" si="3"/>
        <v>0</v>
      </c>
      <c r="I11" s="337">
        <v>0</v>
      </c>
      <c r="J11" s="338">
        <f t="shared" si="4"/>
        <v>0</v>
      </c>
      <c r="K11" s="339">
        <f t="shared" si="5"/>
        <v>0</v>
      </c>
      <c r="L11" s="340">
        <f t="shared" si="8"/>
        <v>0</v>
      </c>
      <c r="M11" s="341">
        <f>L11*(1+Assumptions!$D$13)^-(C11-Assumptions!$D$4)</f>
        <v>0</v>
      </c>
      <c r="O11" s="353" t="s">
        <v>325</v>
      </c>
      <c r="P11" s="329"/>
      <c r="Q11" s="329"/>
      <c r="R11" s="329"/>
      <c r="T11" s="533" t="s">
        <v>296</v>
      </c>
      <c r="U11" s="533" t="s">
        <v>303</v>
      </c>
      <c r="V11" s="536">
        <v>2076</v>
      </c>
      <c r="W11" s="537">
        <f>$Z11*$AB11*$P$33</f>
        <v>585437.43225021812</v>
      </c>
      <c r="X11" s="534">
        <v>300</v>
      </c>
      <c r="Y11" s="534">
        <v>300</v>
      </c>
      <c r="Z11" s="534">
        <f>SUM(X11:Y11)</f>
        <v>600</v>
      </c>
      <c r="AA11" s="534" t="s">
        <v>203</v>
      </c>
      <c r="AB11" s="535">
        <v>1100</v>
      </c>
    </row>
    <row r="12" spans="3:28" ht="15" x14ac:dyDescent="0.2">
      <c r="C12" s="502">
        <f t="shared" si="6"/>
        <v>2036</v>
      </c>
      <c r="D12" s="336">
        <f t="shared" si="7"/>
        <v>0</v>
      </c>
      <c r="E12" s="337">
        <f t="shared" si="0"/>
        <v>0</v>
      </c>
      <c r="F12" s="330">
        <f t="shared" si="1"/>
        <v>0</v>
      </c>
      <c r="G12" s="331">
        <f t="shared" si="2"/>
        <v>0</v>
      </c>
      <c r="H12" s="336">
        <f t="shared" si="3"/>
        <v>0</v>
      </c>
      <c r="I12" s="337">
        <v>0</v>
      </c>
      <c r="J12" s="338">
        <f t="shared" si="4"/>
        <v>0</v>
      </c>
      <c r="K12" s="339">
        <f t="shared" si="5"/>
        <v>0</v>
      </c>
      <c r="L12" s="340">
        <f t="shared" si="8"/>
        <v>0</v>
      </c>
      <c r="M12" s="341">
        <f>L12*(1+Assumptions!$D$13)^-(C12-Assumptions!$D$4)</f>
        <v>0</v>
      </c>
      <c r="O12" s="349" t="s">
        <v>324</v>
      </c>
      <c r="P12" s="349" t="s">
        <v>391</v>
      </c>
      <c r="Q12" s="349" t="s">
        <v>353</v>
      </c>
      <c r="R12" s="349" t="s">
        <v>236</v>
      </c>
      <c r="T12" s="533" t="s">
        <v>294</v>
      </c>
      <c r="U12" s="533" t="s">
        <v>303</v>
      </c>
      <c r="V12" s="536">
        <v>2076</v>
      </c>
      <c r="W12" s="537">
        <f>$Z12*$AB12*$P$33</f>
        <v>4892837.6913518226</v>
      </c>
      <c r="X12" s="534">
        <v>1690</v>
      </c>
      <c r="Y12" s="534">
        <v>2250</v>
      </c>
      <c r="Z12" s="534">
        <f>SUM(X12:Y12)</f>
        <v>3940</v>
      </c>
      <c r="AA12" s="534" t="s">
        <v>203</v>
      </c>
      <c r="AB12" s="535">
        <v>1400</v>
      </c>
    </row>
    <row r="13" spans="3:28" ht="15" x14ac:dyDescent="0.25">
      <c r="C13" s="502">
        <f t="shared" si="6"/>
        <v>2037</v>
      </c>
      <c r="D13" s="336">
        <f t="shared" si="7"/>
        <v>4764.0600000000004</v>
      </c>
      <c r="E13" s="337">
        <f t="shared" si="0"/>
        <v>4764.0600000000004</v>
      </c>
      <c r="F13" s="336">
        <f t="shared" si="1"/>
        <v>16298.1</v>
      </c>
      <c r="G13" s="337">
        <f t="shared" si="2"/>
        <v>0</v>
      </c>
      <c r="H13" s="336">
        <f t="shared" si="3"/>
        <v>0</v>
      </c>
      <c r="I13" s="337">
        <v>0</v>
      </c>
      <c r="J13" s="338">
        <f t="shared" si="4"/>
        <v>21062.16</v>
      </c>
      <c r="K13" s="339">
        <f t="shared" si="5"/>
        <v>4764.0600000000004</v>
      </c>
      <c r="L13" s="340">
        <f t="shared" si="8"/>
        <v>16298.099999999999</v>
      </c>
      <c r="M13" s="341">
        <f>L13*(1+Assumptions!$D$13)^-(C13-Assumptions!$D$4)</f>
        <v>10309.960441123128</v>
      </c>
      <c r="O13" s="349" t="s">
        <v>378</v>
      </c>
      <c r="P13" s="349">
        <f>SUM(X5:Y5)*9</f>
        <v>25074</v>
      </c>
      <c r="Q13" s="349">
        <f>SUM(X6:AA6)/2</f>
        <v>907</v>
      </c>
      <c r="R13" s="349">
        <v>2</v>
      </c>
      <c r="T13"/>
      <c r="U13"/>
      <c r="V13"/>
      <c r="W13"/>
      <c r="X13"/>
      <c r="Y13" s="243"/>
      <c r="Z13" s="243"/>
      <c r="AA13" s="243"/>
      <c r="AB13" s="10"/>
    </row>
    <row r="14" spans="3:28" ht="15" x14ac:dyDescent="0.25">
      <c r="C14" s="502">
        <f t="shared" si="6"/>
        <v>2038</v>
      </c>
      <c r="D14" s="330">
        <f t="shared" si="7"/>
        <v>0</v>
      </c>
      <c r="E14" s="331">
        <f t="shared" si="0"/>
        <v>0</v>
      </c>
      <c r="F14" s="336">
        <f t="shared" si="1"/>
        <v>0</v>
      </c>
      <c r="G14" s="337">
        <f t="shared" si="2"/>
        <v>0</v>
      </c>
      <c r="H14" s="336">
        <f t="shared" si="3"/>
        <v>0</v>
      </c>
      <c r="I14" s="337">
        <v>0</v>
      </c>
      <c r="J14" s="338">
        <f t="shared" si="4"/>
        <v>0</v>
      </c>
      <c r="K14" s="339">
        <f t="shared" si="5"/>
        <v>0</v>
      </c>
      <c r="L14" s="340">
        <f t="shared" si="8"/>
        <v>0</v>
      </c>
      <c r="M14" s="341">
        <f>L14*(1+Assumptions!$D$13)^-(C14-Assumptions!$D$4)</f>
        <v>0</v>
      </c>
      <c r="T14" s="540" t="s">
        <v>372</v>
      </c>
      <c r="U14"/>
      <c r="V14"/>
      <c r="W14"/>
      <c r="X14"/>
      <c r="Y14" s="243"/>
      <c r="Z14" s="243"/>
      <c r="AA14" s="243"/>
      <c r="AB14" s="10"/>
    </row>
    <row r="15" spans="3:28" x14ac:dyDescent="0.2">
      <c r="C15" s="502">
        <f t="shared" si="6"/>
        <v>2039</v>
      </c>
      <c r="D15" s="336">
        <f t="shared" si="7"/>
        <v>0</v>
      </c>
      <c r="E15" s="337">
        <f t="shared" si="0"/>
        <v>0</v>
      </c>
      <c r="F15" s="336">
        <f t="shared" si="1"/>
        <v>0</v>
      </c>
      <c r="G15" s="337">
        <f t="shared" si="2"/>
        <v>0</v>
      </c>
      <c r="H15" s="336">
        <f t="shared" si="3"/>
        <v>0</v>
      </c>
      <c r="I15" s="337">
        <v>0</v>
      </c>
      <c r="J15" s="338">
        <f t="shared" si="4"/>
        <v>0</v>
      </c>
      <c r="K15" s="339">
        <f t="shared" si="5"/>
        <v>0</v>
      </c>
      <c r="L15" s="340">
        <f>J15-K15</f>
        <v>0</v>
      </c>
      <c r="M15" s="341">
        <f>L15*(1+Assumptions!$D$13)^-(C15-Assumptions!$D$4)</f>
        <v>0</v>
      </c>
      <c r="O15" s="327" t="s">
        <v>334</v>
      </c>
    </row>
    <row r="16" spans="3:28" x14ac:dyDescent="0.2">
      <c r="C16" s="502">
        <f t="shared" si="6"/>
        <v>2040</v>
      </c>
      <c r="D16" s="336">
        <f t="shared" si="7"/>
        <v>4764.0600000000004</v>
      </c>
      <c r="E16" s="337">
        <f t="shared" si="0"/>
        <v>4764.0600000000004</v>
      </c>
      <c r="F16" s="336">
        <f t="shared" si="1"/>
        <v>0</v>
      </c>
      <c r="G16" s="337">
        <f t="shared" si="2"/>
        <v>16298.1</v>
      </c>
      <c r="H16" s="336">
        <f t="shared" si="3"/>
        <v>0</v>
      </c>
      <c r="I16" s="337">
        <v>0</v>
      </c>
      <c r="J16" s="338">
        <f t="shared" si="4"/>
        <v>4764.0600000000004</v>
      </c>
      <c r="K16" s="339">
        <f t="shared" si="5"/>
        <v>21062.16</v>
      </c>
      <c r="L16" s="340">
        <f t="shared" si="8"/>
        <v>-16298.099999999999</v>
      </c>
      <c r="M16" s="341">
        <f>L16*(1+Assumptions!$D$13)^-(C16-Assumptions!$D$4)</f>
        <v>-9407.6467815614069</v>
      </c>
      <c r="O16" s="349">
        <v>25</v>
      </c>
      <c r="P16" s="349" t="s">
        <v>306</v>
      </c>
    </row>
    <row r="17" spans="2:21" x14ac:dyDescent="0.2">
      <c r="C17" s="502">
        <f t="shared" si="6"/>
        <v>2041</v>
      </c>
      <c r="D17" s="330">
        <f t="shared" si="7"/>
        <v>0</v>
      </c>
      <c r="E17" s="331">
        <f t="shared" si="0"/>
        <v>0</v>
      </c>
      <c r="F17" s="336">
        <f t="shared" si="1"/>
        <v>0</v>
      </c>
      <c r="G17" s="337">
        <f t="shared" si="2"/>
        <v>0</v>
      </c>
      <c r="H17" s="336">
        <f t="shared" si="3"/>
        <v>0</v>
      </c>
      <c r="I17" s="337">
        <v>0</v>
      </c>
      <c r="J17" s="338">
        <f t="shared" si="4"/>
        <v>0</v>
      </c>
      <c r="K17" s="339">
        <f t="shared" si="5"/>
        <v>0</v>
      </c>
      <c r="L17" s="340">
        <f>J17-K17</f>
        <v>0</v>
      </c>
      <c r="M17" s="341">
        <f>L17*(1+Assumptions!$D$13)^-(C17-Assumptions!$D$4)</f>
        <v>0</v>
      </c>
      <c r="O17" s="349" t="s">
        <v>1</v>
      </c>
      <c r="P17" s="352" t="s">
        <v>2</v>
      </c>
    </row>
    <row r="18" spans="2:21" x14ac:dyDescent="0.2">
      <c r="C18" s="502">
        <f t="shared" si="6"/>
        <v>2042</v>
      </c>
      <c r="D18" s="336">
        <f t="shared" si="7"/>
        <v>0</v>
      </c>
      <c r="E18" s="337">
        <f t="shared" si="0"/>
        <v>0</v>
      </c>
      <c r="F18" s="330">
        <f t="shared" si="1"/>
        <v>0</v>
      </c>
      <c r="G18" s="331">
        <f t="shared" si="2"/>
        <v>0</v>
      </c>
      <c r="H18" s="336">
        <f t="shared" si="3"/>
        <v>0</v>
      </c>
      <c r="I18" s="337">
        <v>0</v>
      </c>
      <c r="J18" s="338">
        <f t="shared" si="4"/>
        <v>0</v>
      </c>
      <c r="K18" s="339">
        <f t="shared" si="5"/>
        <v>0</v>
      </c>
      <c r="L18" s="340">
        <f t="shared" si="8"/>
        <v>0</v>
      </c>
      <c r="M18" s="341">
        <f>L18*(1+Assumptions!$D$13)^-(C18-Assumptions!$D$4)</f>
        <v>0</v>
      </c>
      <c r="O18" s="349">
        <v>1983</v>
      </c>
      <c r="P18" s="349">
        <f>'Capital Costs'!I4</f>
        <v>2028</v>
      </c>
      <c r="T18" s="328" t="s">
        <v>415</v>
      </c>
      <c r="U18" s="328" t="s">
        <v>416</v>
      </c>
    </row>
    <row r="19" spans="2:21" x14ac:dyDescent="0.2">
      <c r="C19" s="502">
        <f t="shared" si="6"/>
        <v>2043</v>
      </c>
      <c r="D19" s="336">
        <f t="shared" si="7"/>
        <v>4764.0600000000004</v>
      </c>
      <c r="E19" s="337">
        <f t="shared" si="0"/>
        <v>4764.0600000000004</v>
      </c>
      <c r="F19" s="336">
        <f t="shared" si="1"/>
        <v>16298.1</v>
      </c>
      <c r="G19" s="337">
        <f t="shared" si="2"/>
        <v>0</v>
      </c>
      <c r="H19" s="336">
        <f t="shared" si="3"/>
        <v>0</v>
      </c>
      <c r="I19" s="337">
        <v>0</v>
      </c>
      <c r="J19" s="338">
        <f t="shared" si="4"/>
        <v>21062.16</v>
      </c>
      <c r="K19" s="339">
        <f t="shared" si="5"/>
        <v>4764.0600000000004</v>
      </c>
      <c r="L19" s="340">
        <f t="shared" si="8"/>
        <v>16298.099999999999</v>
      </c>
      <c r="M19" s="341">
        <f>L19*(1+Assumptions!$D$13)^-(C19-Assumptions!$D$4)</f>
        <v>8584.3023813757172</v>
      </c>
      <c r="O19" s="349">
        <f>O18+$O$16</f>
        <v>2008</v>
      </c>
      <c r="P19" s="349">
        <f>P18+$O$16</f>
        <v>2053</v>
      </c>
      <c r="T19" s="328" t="s">
        <v>417</v>
      </c>
      <c r="U19" s="328" t="s">
        <v>418</v>
      </c>
    </row>
    <row r="20" spans="2:21" x14ac:dyDescent="0.2">
      <c r="C20" s="502">
        <f t="shared" si="6"/>
        <v>2044</v>
      </c>
      <c r="D20" s="330">
        <f t="shared" si="7"/>
        <v>0</v>
      </c>
      <c r="E20" s="331">
        <f t="shared" si="0"/>
        <v>0</v>
      </c>
      <c r="F20" s="336">
        <f t="shared" si="1"/>
        <v>0</v>
      </c>
      <c r="G20" s="337">
        <f t="shared" si="2"/>
        <v>0</v>
      </c>
      <c r="H20" s="336">
        <f t="shared" si="3"/>
        <v>0</v>
      </c>
      <c r="I20" s="337">
        <v>0</v>
      </c>
      <c r="J20" s="338">
        <f t="shared" si="4"/>
        <v>0</v>
      </c>
      <c r="K20" s="339">
        <f t="shared" si="5"/>
        <v>0</v>
      </c>
      <c r="L20" s="340">
        <f t="shared" si="8"/>
        <v>0</v>
      </c>
      <c r="M20" s="341">
        <f>L20*(1+Assumptions!$D$13)^-(C20-Assumptions!$D$4)</f>
        <v>0</v>
      </c>
      <c r="O20" s="349">
        <f>O19+$O$16</f>
        <v>2033</v>
      </c>
      <c r="P20" s="349">
        <f>P19+$O$16</f>
        <v>2078</v>
      </c>
      <c r="T20" s="328" t="s">
        <v>419</v>
      </c>
      <c r="U20" s="328" t="s">
        <v>420</v>
      </c>
    </row>
    <row r="21" spans="2:21" x14ac:dyDescent="0.2">
      <c r="C21" s="502">
        <f t="shared" si="6"/>
        <v>2045</v>
      </c>
      <c r="D21" s="336">
        <f t="shared" si="7"/>
        <v>0</v>
      </c>
      <c r="E21" s="337">
        <f t="shared" si="0"/>
        <v>0</v>
      </c>
      <c r="F21" s="336">
        <f t="shared" si="1"/>
        <v>0</v>
      </c>
      <c r="G21" s="337">
        <f t="shared" si="2"/>
        <v>0</v>
      </c>
      <c r="H21" s="336">
        <f t="shared" si="3"/>
        <v>0</v>
      </c>
      <c r="I21" s="337">
        <v>0</v>
      </c>
      <c r="J21" s="338">
        <f t="shared" si="4"/>
        <v>0</v>
      </c>
      <c r="K21" s="339">
        <f t="shared" si="5"/>
        <v>0</v>
      </c>
      <c r="L21" s="340">
        <f t="shared" si="8"/>
        <v>0</v>
      </c>
      <c r="M21" s="341">
        <f>L21*(1+Assumptions!$D$13)^-(C21-Assumptions!$D$4)</f>
        <v>0</v>
      </c>
      <c r="O21" s="349">
        <v>25</v>
      </c>
      <c r="P21" s="349" t="s">
        <v>336</v>
      </c>
      <c r="S21" s="328" t="s">
        <v>423</v>
      </c>
      <c r="T21" s="328" t="s">
        <v>421</v>
      </c>
      <c r="U21" s="328" t="s">
        <v>422</v>
      </c>
    </row>
    <row r="22" spans="2:21" x14ac:dyDescent="0.2">
      <c r="C22" s="502">
        <f t="shared" si="6"/>
        <v>2046</v>
      </c>
      <c r="D22" s="336">
        <f t="shared" si="7"/>
        <v>4764.0600000000004</v>
      </c>
      <c r="E22" s="337">
        <f t="shared" si="0"/>
        <v>4764.0600000000004</v>
      </c>
      <c r="F22" s="336">
        <f t="shared" si="1"/>
        <v>0</v>
      </c>
      <c r="G22" s="337">
        <f t="shared" si="2"/>
        <v>16298.1</v>
      </c>
      <c r="H22" s="336">
        <f t="shared" si="3"/>
        <v>0</v>
      </c>
      <c r="I22" s="337">
        <v>0</v>
      </c>
      <c r="J22" s="338">
        <f t="shared" si="4"/>
        <v>4764.0600000000004</v>
      </c>
      <c r="K22" s="339">
        <f t="shared" si="5"/>
        <v>21062.16</v>
      </c>
      <c r="L22" s="340">
        <f t="shared" si="8"/>
        <v>-16298.099999999999</v>
      </c>
      <c r="M22" s="341">
        <f>L22*(1+Assumptions!$D$13)^-(C22-Assumptions!$D$4)</f>
        <v>-7833.0159588179486</v>
      </c>
      <c r="O22" s="349" t="s">
        <v>1</v>
      </c>
      <c r="P22" s="352" t="s">
        <v>2</v>
      </c>
      <c r="T22" s="328" t="s">
        <v>424</v>
      </c>
      <c r="U22" s="328" t="s">
        <v>425</v>
      </c>
    </row>
    <row r="23" spans="2:21" x14ac:dyDescent="0.2">
      <c r="C23" s="502">
        <f t="shared" si="6"/>
        <v>2047</v>
      </c>
      <c r="D23" s="330">
        <f t="shared" si="7"/>
        <v>0</v>
      </c>
      <c r="E23" s="331">
        <f t="shared" si="0"/>
        <v>0</v>
      </c>
      <c r="F23" s="336">
        <f t="shared" si="1"/>
        <v>0</v>
      </c>
      <c r="G23" s="337">
        <f t="shared" si="2"/>
        <v>0</v>
      </c>
      <c r="H23" s="336">
        <f t="shared" si="3"/>
        <v>0</v>
      </c>
      <c r="I23" s="337">
        <v>0</v>
      </c>
      <c r="J23" s="338">
        <f t="shared" si="4"/>
        <v>0</v>
      </c>
      <c r="K23" s="339">
        <f t="shared" si="5"/>
        <v>0</v>
      </c>
      <c r="L23" s="340">
        <f t="shared" si="8"/>
        <v>0</v>
      </c>
      <c r="M23" s="341">
        <f>L23*(1+Assumptions!$D$13)^-(C23-Assumptions!$D$4)</f>
        <v>0</v>
      </c>
      <c r="O23" s="349">
        <v>1983</v>
      </c>
      <c r="P23" s="349">
        <f>'Capital Costs'!I4</f>
        <v>2028</v>
      </c>
    </row>
    <row r="24" spans="2:21" x14ac:dyDescent="0.2">
      <c r="C24" s="502">
        <f t="shared" si="6"/>
        <v>2048</v>
      </c>
      <c r="D24" s="336">
        <f t="shared" si="7"/>
        <v>0</v>
      </c>
      <c r="E24" s="337">
        <f t="shared" si="0"/>
        <v>0</v>
      </c>
      <c r="F24" s="330">
        <f t="shared" si="1"/>
        <v>0</v>
      </c>
      <c r="G24" s="331">
        <f t="shared" si="2"/>
        <v>0</v>
      </c>
      <c r="H24" s="336">
        <f t="shared" si="3"/>
        <v>0</v>
      </c>
      <c r="I24" s="337">
        <v>0</v>
      </c>
      <c r="J24" s="338">
        <f t="shared" si="4"/>
        <v>0</v>
      </c>
      <c r="K24" s="339">
        <f t="shared" si="5"/>
        <v>0</v>
      </c>
      <c r="L24" s="340">
        <f t="shared" si="8"/>
        <v>0</v>
      </c>
      <c r="M24" s="341">
        <f>L24*(1+Assumptions!$D$13)^-(C24-Assumptions!$D$4)</f>
        <v>0</v>
      </c>
      <c r="O24" s="349">
        <f>O23+$O$21</f>
        <v>2008</v>
      </c>
      <c r="P24" s="349">
        <f>P23+$O$21</f>
        <v>2053</v>
      </c>
    </row>
    <row r="25" spans="2:21" ht="12.75" thickBot="1" x14ac:dyDescent="0.25">
      <c r="C25" s="503">
        <f t="shared" si="6"/>
        <v>2049</v>
      </c>
      <c r="D25" s="342">
        <f t="shared" si="7"/>
        <v>4764.0600000000004</v>
      </c>
      <c r="E25" s="343">
        <f t="shared" si="0"/>
        <v>4764.0600000000004</v>
      </c>
      <c r="F25" s="342">
        <f t="shared" si="1"/>
        <v>16298.1</v>
      </c>
      <c r="G25" s="343">
        <f t="shared" si="2"/>
        <v>0</v>
      </c>
      <c r="H25" s="342">
        <f t="shared" si="3"/>
        <v>0</v>
      </c>
      <c r="I25" s="343">
        <v>0</v>
      </c>
      <c r="J25" s="344">
        <f t="shared" si="4"/>
        <v>21062.16</v>
      </c>
      <c r="K25" s="345">
        <f t="shared" si="5"/>
        <v>4764.0600000000004</v>
      </c>
      <c r="L25" s="346">
        <f t="shared" si="8"/>
        <v>16298.099999999999</v>
      </c>
      <c r="M25" s="347">
        <f>L25*(1+Assumptions!$D$13)^-(C25-Assumptions!$D$4)</f>
        <v>7147.4810980812335</v>
      </c>
      <c r="O25" s="349">
        <v>50</v>
      </c>
      <c r="P25" s="349" t="s">
        <v>337</v>
      </c>
    </row>
    <row r="26" spans="2:21" x14ac:dyDescent="0.2">
      <c r="L26" s="327" t="s">
        <v>39</v>
      </c>
      <c r="M26" s="348">
        <f>SUM(M6:M25)</f>
        <v>3964343.9281782121</v>
      </c>
      <c r="O26" s="349" t="s">
        <v>1</v>
      </c>
      <c r="P26" s="352" t="s">
        <v>2</v>
      </c>
    </row>
    <row r="27" spans="2:21" x14ac:dyDescent="0.2">
      <c r="O27" s="349">
        <f>O18</f>
        <v>1983</v>
      </c>
      <c r="P27" s="349">
        <f>'Capital Costs'!I4</f>
        <v>2028</v>
      </c>
    </row>
    <row r="28" spans="2:21" x14ac:dyDescent="0.2">
      <c r="C28" s="328" t="s">
        <v>261</v>
      </c>
      <c r="O28" s="349">
        <f>O27+O25</f>
        <v>2033</v>
      </c>
      <c r="P28" s="349">
        <v>2076</v>
      </c>
    </row>
    <row r="29" spans="2:21" x14ac:dyDescent="0.2">
      <c r="B29" s="356" t="s">
        <v>18</v>
      </c>
      <c r="C29" s="755" t="s">
        <v>331</v>
      </c>
      <c r="D29" s="755"/>
      <c r="E29" s="755"/>
    </row>
    <row r="30" spans="2:21" x14ac:dyDescent="0.2">
      <c r="B30" s="356"/>
      <c r="C30" s="755"/>
      <c r="D30" s="755"/>
      <c r="E30" s="755"/>
      <c r="O30" s="45" t="s">
        <v>341</v>
      </c>
      <c r="P30" s="45"/>
    </row>
    <row r="31" spans="2:21" x14ac:dyDescent="0.2">
      <c r="B31" s="356" t="s">
        <v>19</v>
      </c>
      <c r="C31" s="754" t="s">
        <v>358</v>
      </c>
      <c r="D31" s="754"/>
      <c r="E31" s="754"/>
      <c r="O31" s="256">
        <v>2022</v>
      </c>
      <c r="P31" s="357">
        <v>335.5</v>
      </c>
    </row>
    <row r="32" spans="2:21" x14ac:dyDescent="0.2">
      <c r="B32" s="356"/>
      <c r="C32" s="754"/>
      <c r="D32" s="754"/>
      <c r="E32" s="754"/>
      <c r="O32" s="256">
        <v>2023</v>
      </c>
      <c r="P32" s="357">
        <v>378.23</v>
      </c>
    </row>
    <row r="33" spans="2:16" x14ac:dyDescent="0.2">
      <c r="B33" s="356"/>
      <c r="C33" s="753" t="s">
        <v>379</v>
      </c>
      <c r="D33" s="753"/>
      <c r="E33" s="753"/>
      <c r="O33" s="256" t="s">
        <v>157</v>
      </c>
      <c r="P33" s="358">
        <f>P31/P32</f>
        <v>0.88702641250033043</v>
      </c>
    </row>
    <row r="34" spans="2:16" x14ac:dyDescent="0.2">
      <c r="B34" s="356" t="s">
        <v>279</v>
      </c>
      <c r="C34" s="328" t="s">
        <v>403</v>
      </c>
    </row>
  </sheetData>
  <mergeCells count="10">
    <mergeCell ref="M4:M5"/>
    <mergeCell ref="C4:C5"/>
    <mergeCell ref="D4:E4"/>
    <mergeCell ref="F4:G4"/>
    <mergeCell ref="H4:I4"/>
    <mergeCell ref="C33:E33"/>
    <mergeCell ref="C31:E32"/>
    <mergeCell ref="C29:E30"/>
    <mergeCell ref="J4:K4"/>
    <mergeCell ref="L4:L5"/>
  </mergeCells>
  <pageMargins left="0.7" right="0.7" top="0.75" bottom="0.75" header="0.3" footer="0.3"/>
  <pageSetup scale="82"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80B368-FB6C-4283-8A78-3366986B8B0A}">
  <sheetPr>
    <tabColor rgb="FFC00000"/>
  </sheetPr>
  <dimension ref="B1:BS164"/>
  <sheetViews>
    <sheetView zoomScale="70" zoomScaleNormal="70" workbookViewId="0">
      <selection activeCell="H14" sqref="H14"/>
    </sheetView>
  </sheetViews>
  <sheetFormatPr defaultRowHeight="15" x14ac:dyDescent="0.25"/>
  <cols>
    <col min="2" max="4" width="14.42578125" customWidth="1"/>
    <col min="8" max="8" width="30.7109375" bestFit="1" customWidth="1"/>
    <col min="9" max="9" width="10.5703125" bestFit="1" customWidth="1"/>
    <col min="10" max="10" width="10.5703125" customWidth="1"/>
    <col min="11" max="11" width="10.5703125" bestFit="1" customWidth="1"/>
    <col min="12" max="12" width="10.85546875" bestFit="1" customWidth="1"/>
    <col min="13" max="13" width="10.5703125" bestFit="1" customWidth="1"/>
    <col min="14" max="15" width="8.7109375" customWidth="1"/>
    <col min="16" max="16" width="24" bestFit="1" customWidth="1"/>
    <col min="17" max="17" width="19.7109375" bestFit="1" customWidth="1"/>
    <col min="18" max="24" width="8.7109375" customWidth="1"/>
    <col min="25" max="25" width="24" bestFit="1" customWidth="1"/>
    <col min="26" max="26" width="19.7109375" bestFit="1" customWidth="1"/>
    <col min="27" max="27" width="22.5703125" bestFit="1" customWidth="1"/>
    <col min="28" max="28" width="8.140625" bestFit="1" customWidth="1"/>
    <col min="29" max="29" width="13.140625" bestFit="1" customWidth="1"/>
    <col min="30" max="30" width="23.42578125" bestFit="1" customWidth="1"/>
    <col min="31" max="31" width="15.85546875" bestFit="1" customWidth="1"/>
    <col min="33" max="33" width="14.140625" customWidth="1"/>
    <col min="48" max="48" width="19.28515625" bestFit="1" customWidth="1"/>
    <col min="70" max="70" width="22.140625" bestFit="1" customWidth="1"/>
  </cols>
  <sheetData>
    <row r="1" spans="2:63" ht="21.75" thickBot="1" x14ac:dyDescent="0.4">
      <c r="B1" s="45"/>
      <c r="C1" s="30"/>
      <c r="D1" s="30"/>
      <c r="O1" s="545"/>
      <c r="P1" s="548" t="s">
        <v>466</v>
      </c>
      <c r="Q1" s="545"/>
      <c r="R1" s="545"/>
      <c r="S1" s="545"/>
      <c r="T1" s="545"/>
      <c r="U1" s="545"/>
      <c r="V1" s="545"/>
      <c r="W1" s="545"/>
      <c r="X1" s="545"/>
      <c r="Y1" s="545"/>
      <c r="Z1" s="545"/>
      <c r="AA1" s="545"/>
      <c r="AB1" s="545"/>
      <c r="AC1" s="545"/>
      <c r="AD1" s="545"/>
    </row>
    <row r="2" spans="2:63" ht="15.75" thickBot="1" x14ac:dyDescent="0.3">
      <c r="B2" s="30"/>
      <c r="C2" s="30"/>
      <c r="D2" s="30"/>
      <c r="O2" s="545"/>
      <c r="P2" s="546"/>
      <c r="Q2" s="550" t="s">
        <v>428</v>
      </c>
      <c r="R2" s="545"/>
      <c r="S2" s="545"/>
      <c r="T2" s="545"/>
      <c r="U2" s="545"/>
      <c r="V2" s="545"/>
      <c r="W2" s="545"/>
      <c r="X2" s="545"/>
      <c r="Y2" s="545"/>
      <c r="Z2" s="545"/>
      <c r="AA2" s="545"/>
      <c r="AB2" s="545"/>
      <c r="AC2" s="545"/>
      <c r="AD2" s="545"/>
      <c r="AG2" s="597" t="s">
        <v>526</v>
      </c>
      <c r="AH2" s="582"/>
      <c r="AI2" s="582"/>
      <c r="AJ2" s="582"/>
      <c r="AK2" s="582"/>
      <c r="AL2" s="582"/>
      <c r="AM2" s="582"/>
      <c r="AN2" s="582"/>
      <c r="AO2" s="582"/>
      <c r="AP2" s="582"/>
      <c r="AQ2" s="582"/>
      <c r="AR2" s="582"/>
      <c r="AS2" s="582"/>
      <c r="AT2" s="582"/>
      <c r="AU2" s="582"/>
      <c r="AV2" s="583"/>
    </row>
    <row r="3" spans="2:63" ht="15.75" thickBot="1" x14ac:dyDescent="0.3">
      <c r="B3" s="30"/>
      <c r="C3" s="736" t="s">
        <v>548</v>
      </c>
      <c r="D3" s="737"/>
      <c r="H3" s="26" t="s">
        <v>547</v>
      </c>
      <c r="I3" s="48">
        <v>2</v>
      </c>
      <c r="J3" s="108"/>
      <c r="O3" s="545"/>
      <c r="P3" s="545" t="s">
        <v>427</v>
      </c>
      <c r="Q3" s="550">
        <v>0.71</v>
      </c>
      <c r="R3" s="545"/>
      <c r="S3" s="545"/>
      <c r="T3" s="545"/>
      <c r="U3" s="545"/>
      <c r="V3" s="545"/>
      <c r="W3" s="545"/>
      <c r="X3" s="545"/>
      <c r="Y3" s="545"/>
      <c r="Z3" s="545"/>
      <c r="AA3" s="545"/>
      <c r="AB3" s="545"/>
      <c r="AC3" s="545"/>
      <c r="AD3" s="545"/>
      <c r="AG3" s="584"/>
      <c r="AH3" s="550"/>
      <c r="AI3" s="550"/>
      <c r="AJ3" s="550"/>
      <c r="AK3" s="550"/>
      <c r="AL3" s="550"/>
      <c r="AM3" s="550"/>
      <c r="AN3" s="550"/>
      <c r="AO3" s="550"/>
      <c r="AP3" s="550"/>
      <c r="AQ3" s="550"/>
      <c r="AR3" s="545"/>
      <c r="AS3" s="550"/>
      <c r="AT3" s="550"/>
      <c r="AU3" s="550"/>
      <c r="AV3" s="585"/>
    </row>
    <row r="4" spans="2:63" x14ac:dyDescent="0.25">
      <c r="B4" s="738" t="s">
        <v>8</v>
      </c>
      <c r="C4" s="738" t="s">
        <v>59</v>
      </c>
      <c r="D4" s="731" t="s">
        <v>37</v>
      </c>
      <c r="H4" s="26" t="s">
        <v>544</v>
      </c>
      <c r="I4" s="532">
        <f>I9</f>
        <v>426393.57007630984</v>
      </c>
      <c r="O4" s="545"/>
      <c r="P4" s="545" t="s">
        <v>523</v>
      </c>
      <c r="Q4" s="550">
        <v>40</v>
      </c>
      <c r="R4" s="545"/>
      <c r="S4" s="545"/>
      <c r="T4" s="545"/>
      <c r="U4" s="545"/>
      <c r="V4" s="545"/>
      <c r="W4" s="545"/>
      <c r="X4" s="545"/>
      <c r="Y4" s="545"/>
      <c r="Z4" s="545"/>
      <c r="AA4" s="545"/>
      <c r="AB4" s="545"/>
      <c r="AC4" s="545"/>
      <c r="AD4" s="545"/>
      <c r="AG4" s="584"/>
      <c r="AH4" s="550"/>
      <c r="AI4" s="550"/>
      <c r="AJ4" s="550"/>
      <c r="AK4" s="550"/>
      <c r="AL4" s="550"/>
      <c r="AM4" s="550"/>
      <c r="AN4" s="550"/>
      <c r="AO4" s="550"/>
      <c r="AP4" s="550"/>
      <c r="AQ4" s="550"/>
      <c r="AR4" s="545"/>
      <c r="AS4" s="545"/>
      <c r="AT4" s="550">
        <f>BJ18</f>
        <v>1640</v>
      </c>
      <c r="AU4" s="586">
        <f>AT4*AQ13</f>
        <v>246.9259723964868</v>
      </c>
      <c r="AV4" s="587">
        <f>AU4/AT4</f>
        <v>0.15056461731493098</v>
      </c>
    </row>
    <row r="5" spans="2:63" ht="15.75" thickBot="1" x14ac:dyDescent="0.3">
      <c r="B5" s="739"/>
      <c r="C5" s="739"/>
      <c r="D5" s="732"/>
      <c r="H5" s="26" t="s">
        <v>545</v>
      </c>
      <c r="I5" s="532">
        <f>SUM(K9:M12)+I9</f>
        <v>674109.17505943705</v>
      </c>
      <c r="O5" s="545"/>
      <c r="P5" s="545" t="s">
        <v>524</v>
      </c>
      <c r="Q5" s="550">
        <v>30</v>
      </c>
      <c r="R5" s="545"/>
      <c r="S5" s="545"/>
      <c r="T5" s="545"/>
      <c r="U5" s="545"/>
      <c r="V5" s="545"/>
      <c r="W5" s="545"/>
      <c r="X5" s="545"/>
      <c r="Y5" s="545"/>
      <c r="Z5" s="545"/>
      <c r="AA5" s="545"/>
      <c r="AB5" s="545"/>
      <c r="AC5" s="545"/>
      <c r="AD5" s="545"/>
      <c r="AG5" s="584"/>
      <c r="AH5" s="550"/>
      <c r="AI5" s="550"/>
      <c r="AJ5" s="550"/>
      <c r="AK5" s="550"/>
      <c r="AL5" s="550"/>
      <c r="AM5" s="550"/>
      <c r="AN5" s="550"/>
      <c r="AO5" s="550"/>
      <c r="AP5" s="550"/>
      <c r="AQ5" s="550"/>
      <c r="AR5" s="545"/>
      <c r="AS5" s="550"/>
      <c r="AT5" s="550"/>
      <c r="AU5" s="550"/>
      <c r="AV5" s="585"/>
    </row>
    <row r="6" spans="2:63" x14ac:dyDescent="0.25">
      <c r="B6" s="361">
        <f>B7-1</f>
        <v>2028</v>
      </c>
      <c r="C6" s="362">
        <f>I4</f>
        <v>426393.57007630984</v>
      </c>
      <c r="D6" s="363">
        <f>C6*(1+Assumptions!$D$13)^-($B6-Assumptions!$D$4)</f>
        <v>355024.77045495069</v>
      </c>
      <c r="O6" s="545"/>
      <c r="P6" s="545" t="s">
        <v>429</v>
      </c>
      <c r="Q6" s="551">
        <f>SUM(AI11,AM11,AQ11,AU11)</f>
        <v>19360.763513648708</v>
      </c>
      <c r="R6" s="545"/>
      <c r="S6" s="545"/>
      <c r="T6" s="545"/>
      <c r="U6" s="545"/>
      <c r="V6" s="545"/>
      <c r="W6" s="545"/>
      <c r="X6" s="545"/>
      <c r="Y6" s="545"/>
      <c r="Z6" s="545"/>
      <c r="AA6" s="545"/>
      <c r="AB6" s="545"/>
      <c r="AC6" s="545"/>
      <c r="AD6" s="545"/>
      <c r="AG6" s="584"/>
      <c r="AH6" s="550"/>
      <c r="AI6" s="588">
        <f>AJ6/AK6</f>
        <v>0.13414634146341464</v>
      </c>
      <c r="AJ6" s="589">
        <v>55</v>
      </c>
      <c r="AK6" s="550">
        <f>AO29</f>
        <v>410</v>
      </c>
      <c r="AL6" s="550"/>
      <c r="AM6" s="550"/>
      <c r="AN6" s="550"/>
      <c r="AO6" s="550">
        <f>BC29</f>
        <v>430</v>
      </c>
      <c r="AP6" s="589">
        <v>70</v>
      </c>
      <c r="AQ6" s="588">
        <f>AP6/AO6</f>
        <v>0.16279069767441862</v>
      </c>
      <c r="AR6" s="545"/>
      <c r="AS6" s="550"/>
      <c r="AT6" s="550"/>
      <c r="AU6" s="550"/>
      <c r="AV6" s="585"/>
    </row>
    <row r="7" spans="2:63" ht="15.75" thickBot="1" x14ac:dyDescent="0.3">
      <c r="B7" s="367">
        <f>B8-1</f>
        <v>2029</v>
      </c>
      <c r="C7" s="368">
        <f>I5</f>
        <v>674109.17505943705</v>
      </c>
      <c r="D7" s="369">
        <f>C7*(1+Assumptions!$D$13)^-($B7-Assumptions!$D$4)</f>
        <v>544401.83603244415</v>
      </c>
      <c r="H7" s="26"/>
      <c r="I7" s="26" t="s">
        <v>544</v>
      </c>
      <c r="J7" s="772" t="s">
        <v>545</v>
      </c>
      <c r="K7" s="772"/>
      <c r="L7" s="772"/>
      <c r="M7" s="772"/>
      <c r="O7" s="545"/>
      <c r="P7" s="545" t="s">
        <v>96</v>
      </c>
      <c r="Q7" s="551">
        <f>SUM(AI12,AM12,AQ12,AU12)</f>
        <v>2713.8716068659887</v>
      </c>
      <c r="R7" s="545"/>
      <c r="S7" s="545"/>
      <c r="T7" s="545"/>
      <c r="U7" s="545"/>
      <c r="V7" s="545"/>
      <c r="W7" s="545"/>
      <c r="X7" s="545"/>
      <c r="Y7" s="545"/>
      <c r="Z7" s="545"/>
      <c r="AA7" s="545"/>
      <c r="AB7" s="545"/>
      <c r="AC7" s="545"/>
      <c r="AD7" s="545"/>
      <c r="AG7" s="584"/>
      <c r="AH7" s="550"/>
      <c r="AI7" s="550"/>
      <c r="AJ7" s="550"/>
      <c r="AK7" s="550"/>
      <c r="AL7" s="550"/>
      <c r="AM7" s="550"/>
      <c r="AN7" s="550"/>
      <c r="AO7" s="550"/>
      <c r="AP7" s="550"/>
      <c r="AQ7" s="550"/>
      <c r="AR7" s="545"/>
      <c r="AS7" s="550"/>
      <c r="AT7" s="550"/>
      <c r="AU7" s="550"/>
      <c r="AV7" s="585"/>
    </row>
    <row r="8" spans="2:63" x14ac:dyDescent="0.25">
      <c r="B8" s="361">
        <f>Assumptions!D8</f>
        <v>2030</v>
      </c>
      <c r="C8" s="371">
        <v>0</v>
      </c>
      <c r="D8" s="363">
        <v>0</v>
      </c>
      <c r="H8" s="26" t="s">
        <v>546</v>
      </c>
      <c r="I8" s="26" t="s">
        <v>415</v>
      </c>
      <c r="J8" s="26" t="s">
        <v>415</v>
      </c>
      <c r="K8" s="26" t="s">
        <v>451</v>
      </c>
      <c r="L8" s="26" t="s">
        <v>421</v>
      </c>
      <c r="M8" s="26" t="s">
        <v>452</v>
      </c>
      <c r="O8" s="545"/>
      <c r="P8" s="545" t="s">
        <v>430</v>
      </c>
      <c r="Q8" s="552">
        <f>Q7/Q6</f>
        <v>0.14017379040618919</v>
      </c>
      <c r="R8" s="545"/>
      <c r="S8" s="545"/>
      <c r="T8" s="545"/>
      <c r="U8" s="545"/>
      <c r="V8" s="545"/>
      <c r="W8" s="545"/>
      <c r="X8" s="545"/>
      <c r="Y8" s="545"/>
      <c r="Z8" s="545"/>
      <c r="AA8" s="545"/>
      <c r="AB8" s="545"/>
      <c r="AC8" s="545"/>
      <c r="AD8" s="545"/>
      <c r="AG8" s="584"/>
      <c r="AH8" s="550"/>
      <c r="AI8" s="550"/>
      <c r="AJ8" s="550"/>
      <c r="AK8" s="550"/>
      <c r="AL8" s="550"/>
      <c r="AM8" s="550"/>
      <c r="AN8" s="550"/>
      <c r="AO8" s="550"/>
      <c r="AP8" s="550"/>
      <c r="AQ8" s="550"/>
      <c r="AR8" s="545"/>
      <c r="AS8" s="550"/>
      <c r="AT8" s="550"/>
      <c r="AU8" s="550"/>
      <c r="AV8" s="585"/>
    </row>
    <row r="9" spans="2:63" x14ac:dyDescent="0.25">
      <c r="B9" s="30"/>
      <c r="C9" s="386"/>
      <c r="D9" s="386">
        <f>SUM(D6:D7)</f>
        <v>899426.60648739478</v>
      </c>
      <c r="H9" s="26" t="s">
        <v>487</v>
      </c>
      <c r="I9" s="532">
        <f>Q23</f>
        <v>426393.57007630984</v>
      </c>
      <c r="J9" s="532">
        <f>I9</f>
        <v>426393.57007630984</v>
      </c>
      <c r="K9" s="532"/>
      <c r="L9" s="532"/>
      <c r="M9" s="532"/>
      <c r="O9" s="545"/>
      <c r="P9" s="545" t="s">
        <v>431</v>
      </c>
      <c r="Q9" s="553">
        <f>Assumptions!D17</f>
        <v>19.600000000000001</v>
      </c>
      <c r="R9" s="545"/>
      <c r="S9" s="545"/>
      <c r="T9" s="545"/>
      <c r="U9" s="545"/>
      <c r="V9" s="545"/>
      <c r="W9" s="545"/>
      <c r="X9" s="545"/>
      <c r="Y9" s="545"/>
      <c r="Z9" s="545"/>
      <c r="AA9" s="545"/>
      <c r="AB9" s="545"/>
      <c r="AC9" s="545"/>
      <c r="AD9" s="545"/>
      <c r="AG9" s="584"/>
      <c r="AH9" s="550"/>
      <c r="AI9" s="550"/>
      <c r="AJ9" s="550"/>
      <c r="AK9" s="550"/>
      <c r="AL9" s="550"/>
      <c r="AM9" s="550"/>
      <c r="AN9" s="550"/>
      <c r="AO9" s="550"/>
      <c r="AP9" s="550"/>
      <c r="AQ9" s="550"/>
      <c r="AR9" s="545"/>
      <c r="AS9" s="550"/>
      <c r="AT9" s="550"/>
      <c r="AU9" s="550"/>
      <c r="AV9" s="585"/>
    </row>
    <row r="10" spans="2:63" x14ac:dyDescent="0.25">
      <c r="H10" s="26" t="s">
        <v>455</v>
      </c>
      <c r="I10" s="532"/>
      <c r="J10" s="532"/>
      <c r="K10" s="532">
        <f>Q50</f>
        <v>32211.992369141775</v>
      </c>
      <c r="L10" s="532"/>
      <c r="M10" s="532">
        <f>Q50</f>
        <v>32211.992369141775</v>
      </c>
      <c r="O10" s="545"/>
      <c r="P10" s="545" t="s">
        <v>434</v>
      </c>
      <c r="Q10" s="550">
        <v>1.67</v>
      </c>
      <c r="R10" s="545"/>
      <c r="S10" s="545"/>
      <c r="T10" s="545"/>
      <c r="U10" s="545"/>
      <c r="V10" s="545"/>
      <c r="W10" s="545"/>
      <c r="X10" s="545"/>
      <c r="Y10" s="545"/>
      <c r="Z10" s="545"/>
      <c r="AA10" s="545"/>
      <c r="AB10" s="545"/>
      <c r="AC10" s="545"/>
      <c r="AD10" s="545"/>
      <c r="AG10" s="584"/>
      <c r="AH10" s="550"/>
      <c r="AI10" s="550"/>
      <c r="AJ10" s="550"/>
      <c r="AK10" s="550"/>
      <c r="AL10" s="550"/>
      <c r="AM10" s="550"/>
      <c r="AN10" s="550"/>
      <c r="AO10" s="550"/>
      <c r="AP10" s="550"/>
      <c r="AQ10" s="550"/>
      <c r="AR10" s="545"/>
      <c r="AS10" s="550"/>
      <c r="AT10" s="550"/>
      <c r="AU10" s="545"/>
      <c r="AV10" s="585"/>
    </row>
    <row r="11" spans="2:63" x14ac:dyDescent="0.25">
      <c r="H11" s="26" t="s">
        <v>453</v>
      </c>
      <c r="I11" s="532"/>
      <c r="J11" s="532"/>
      <c r="K11" s="532"/>
      <c r="L11" s="532">
        <f>Q90</f>
        <v>102808.22994684328</v>
      </c>
      <c r="M11" s="532"/>
      <c r="O11" s="545"/>
      <c r="P11" s="545" t="s">
        <v>432</v>
      </c>
      <c r="Q11" s="553">
        <f>Assumptions!D18</f>
        <v>33.5</v>
      </c>
      <c r="R11" s="545"/>
      <c r="S11" s="545"/>
      <c r="T11" s="545"/>
      <c r="U11" s="545"/>
      <c r="V11" s="545"/>
      <c r="W11" s="545"/>
      <c r="X11" s="545"/>
      <c r="Y11" s="545"/>
      <c r="Z11" s="545"/>
      <c r="AA11" s="545"/>
      <c r="AB11" s="545"/>
      <c r="AC11" s="545"/>
      <c r="AD11" s="545"/>
      <c r="AG11" s="584" t="s">
        <v>469</v>
      </c>
      <c r="AH11" s="557"/>
      <c r="AI11" s="550">
        <f>AG34</f>
        <v>3210</v>
      </c>
      <c r="AJ11" s="557"/>
      <c r="AK11" s="557"/>
      <c r="AL11" s="557"/>
      <c r="AM11" s="645">
        <f>SUM(AV32,AV36)</f>
        <v>3757.5422961501918</v>
      </c>
      <c r="AN11" s="557"/>
      <c r="AO11" s="557"/>
      <c r="AP11" s="557"/>
      <c r="AQ11" s="645">
        <f>SUM(BG36,BG32)</f>
        <v>4103.221217498517</v>
      </c>
      <c r="AR11" s="558"/>
      <c r="AS11" s="557"/>
      <c r="AT11" s="557"/>
      <c r="AU11" s="550">
        <f>BR34</f>
        <v>8290</v>
      </c>
      <c r="AV11" s="590"/>
    </row>
    <row r="12" spans="2:63" x14ac:dyDescent="0.25">
      <c r="H12" s="26" t="s">
        <v>454</v>
      </c>
      <c r="I12" s="532"/>
      <c r="J12" s="532"/>
      <c r="K12" s="532"/>
      <c r="L12" s="532">
        <f>Q128</f>
        <v>80483.390298000377</v>
      </c>
      <c r="M12" s="532"/>
      <c r="O12" s="545"/>
      <c r="P12" s="545" t="s">
        <v>433</v>
      </c>
      <c r="Q12" s="561">
        <f>(1-Q8)*Q9*Q10+Q11*Q8</f>
        <v>32.839653471031951</v>
      </c>
      <c r="R12" s="545"/>
      <c r="S12" s="545"/>
      <c r="T12" s="545"/>
      <c r="U12" s="545"/>
      <c r="V12" s="545"/>
      <c r="W12" s="545"/>
      <c r="X12" s="545"/>
      <c r="Y12" s="545"/>
      <c r="Z12" s="545"/>
      <c r="AA12" s="545"/>
      <c r="AB12" s="545"/>
      <c r="AC12" s="545"/>
      <c r="AD12" s="545"/>
      <c r="AG12" s="591" t="s">
        <v>470</v>
      </c>
      <c r="AH12" s="550"/>
      <c r="AI12" s="586">
        <f>AI11*AI13</f>
        <v>355.25691699604744</v>
      </c>
      <c r="AJ12" s="550"/>
      <c r="AK12" s="550"/>
      <c r="AL12" s="550"/>
      <c r="AM12" s="586">
        <f>AM11*AM13</f>
        <v>492.63407995799423</v>
      </c>
      <c r="AN12" s="550"/>
      <c r="AO12" s="550"/>
      <c r="AP12" s="550"/>
      <c r="AQ12" s="586">
        <f>AQ11*AQ13</f>
        <v>617.79993237116935</v>
      </c>
      <c r="AR12" s="545"/>
      <c r="AS12" s="550"/>
      <c r="AT12" s="550"/>
      <c r="AU12" s="586">
        <f>AU11*AQ13</f>
        <v>1248.1806775407779</v>
      </c>
      <c r="AV12" s="585"/>
    </row>
    <row r="13" spans="2:63" x14ac:dyDescent="0.25">
      <c r="O13" s="545"/>
      <c r="P13" s="545" t="s">
        <v>436</v>
      </c>
      <c r="Q13" s="559">
        <f>Q3/Q4</f>
        <v>1.7749999999999998E-2</v>
      </c>
      <c r="R13" s="545"/>
      <c r="S13" s="545"/>
      <c r="T13" s="545"/>
      <c r="U13" s="545"/>
      <c r="V13" s="545"/>
      <c r="W13" s="545"/>
      <c r="X13" s="545"/>
      <c r="Y13" s="545"/>
      <c r="Z13" s="545"/>
      <c r="AA13" s="545"/>
      <c r="AB13" s="545"/>
      <c r="AC13" s="545"/>
      <c r="AD13" s="545"/>
      <c r="AG13" s="592" t="s">
        <v>525</v>
      </c>
      <c r="AH13" s="550"/>
      <c r="AI13" s="588">
        <f>(AI6*AK6+AK16*AI16)/SUM(AK6,AK16)</f>
        <v>0.11067193675889328</v>
      </c>
      <c r="AJ13" s="550"/>
      <c r="AK13" s="550"/>
      <c r="AL13" s="550"/>
      <c r="AM13" s="588">
        <f>(AO16*AQ16+AO6*AQ6+AI6*AK6+AK16*AI16)/SUM(AK6,AK16,AO16,AO6)</f>
        <v>0.13110539845758354</v>
      </c>
      <c r="AN13" s="550"/>
      <c r="AO13" s="550"/>
      <c r="AP13" s="550"/>
      <c r="AQ13" s="588">
        <f>(AO16*AQ16+AO6*AQ6)/SUM(AO16,AO6)</f>
        <v>0.15056461731493098</v>
      </c>
      <c r="AR13" s="545"/>
      <c r="AS13" s="550"/>
      <c r="AT13" s="550"/>
      <c r="AU13" s="588">
        <f>AU12/AU11</f>
        <v>0.15056461731493098</v>
      </c>
      <c r="AV13" s="585"/>
    </row>
    <row r="14" spans="2:63" x14ac:dyDescent="0.25">
      <c r="O14" s="545"/>
      <c r="P14" s="545" t="s">
        <v>437</v>
      </c>
      <c r="Q14" s="559">
        <f>Q3/Q5</f>
        <v>2.3666666666666666E-2</v>
      </c>
      <c r="R14" s="545"/>
      <c r="S14" s="545"/>
      <c r="T14" s="545"/>
      <c r="U14" s="545"/>
      <c r="V14" s="545"/>
      <c r="W14" s="545"/>
      <c r="X14" s="545"/>
      <c r="Y14" s="545"/>
      <c r="Z14" s="545"/>
      <c r="AA14" s="545"/>
      <c r="AB14" s="545"/>
      <c r="AC14" s="545"/>
      <c r="AD14" s="545"/>
      <c r="AG14" s="584"/>
      <c r="AH14" s="550"/>
      <c r="AI14" s="550"/>
      <c r="AJ14" s="550"/>
      <c r="AK14" s="550"/>
      <c r="AL14" s="550"/>
      <c r="AM14" s="550"/>
      <c r="AN14" s="550"/>
      <c r="AO14" s="550"/>
      <c r="AP14" s="550"/>
      <c r="AQ14" s="550"/>
      <c r="AR14" s="545"/>
      <c r="AS14" s="550"/>
      <c r="AT14" s="550"/>
      <c r="AU14" s="550"/>
      <c r="AV14" s="585"/>
    </row>
    <row r="15" spans="2:63" x14ac:dyDescent="0.25">
      <c r="B15" t="s">
        <v>554</v>
      </c>
      <c r="O15" s="545"/>
      <c r="P15" s="545" t="s">
        <v>438</v>
      </c>
      <c r="Q15" s="560">
        <f>Q13*Q6*Q12</f>
        <v>11285.463573830099</v>
      </c>
      <c r="R15" s="545"/>
      <c r="S15" s="545"/>
      <c r="T15" s="545"/>
      <c r="U15" s="545"/>
      <c r="V15" s="545"/>
      <c r="W15" s="545"/>
      <c r="X15" s="545"/>
      <c r="Y15" s="545"/>
      <c r="Z15" s="545"/>
      <c r="AA15" s="545"/>
      <c r="AB15" s="545"/>
      <c r="AC15" s="545"/>
      <c r="AD15" s="545"/>
      <c r="AG15" s="584"/>
      <c r="AH15" s="550"/>
      <c r="AI15" s="550"/>
      <c r="AJ15" s="550"/>
      <c r="AK15" s="550"/>
      <c r="AL15" s="550"/>
      <c r="AM15" s="550"/>
      <c r="AN15" s="550"/>
      <c r="AO15" s="550"/>
      <c r="AP15" s="550"/>
      <c r="AQ15" s="550"/>
      <c r="AR15" s="545"/>
      <c r="AS15" s="550"/>
      <c r="AT15" s="550"/>
      <c r="AU15" s="550"/>
      <c r="AV15" s="585"/>
    </row>
    <row r="16" spans="2:63" ht="15" customHeight="1" x14ac:dyDescent="0.25">
      <c r="B16" s="686" t="s">
        <v>550</v>
      </c>
      <c r="C16" s="686"/>
      <c r="D16" s="686"/>
      <c r="E16" s="686"/>
      <c r="F16" s="686"/>
      <c r="G16" s="686"/>
      <c r="O16" s="545"/>
      <c r="P16" s="545" t="s">
        <v>439</v>
      </c>
      <c r="Q16" s="560">
        <f>Q14*Q6*Q12</f>
        <v>15047.2847651068</v>
      </c>
      <c r="R16" s="545"/>
      <c r="S16" s="545"/>
      <c r="T16" s="545"/>
      <c r="U16" s="545"/>
      <c r="V16" s="545"/>
      <c r="W16" s="545"/>
      <c r="X16" s="545"/>
      <c r="Y16" s="545"/>
      <c r="Z16" s="545"/>
      <c r="AA16" s="545"/>
      <c r="AB16" s="545"/>
      <c r="AC16" s="545"/>
      <c r="AD16" s="545"/>
      <c r="AG16" s="584"/>
      <c r="AH16" s="550"/>
      <c r="AI16" s="588">
        <f>AJ16/AK16</f>
        <v>0.10782865583456426</v>
      </c>
      <c r="AJ16" s="589">
        <v>365</v>
      </c>
      <c r="AK16" s="550">
        <f>AO39</f>
        <v>3385</v>
      </c>
      <c r="AL16" s="550"/>
      <c r="AM16" s="550"/>
      <c r="AN16" s="550"/>
      <c r="AO16" s="550">
        <f>BC39</f>
        <v>3555</v>
      </c>
      <c r="AP16" s="589">
        <v>530</v>
      </c>
      <c r="AQ16" s="588">
        <f>AP16/AO16</f>
        <v>0.14908579465541491</v>
      </c>
      <c r="AR16" s="545"/>
      <c r="AS16" s="550"/>
      <c r="AT16" s="550">
        <f>BJ51</f>
        <v>890</v>
      </c>
      <c r="AU16" s="586">
        <f>AQ13*AT16</f>
        <v>134.00250941028858</v>
      </c>
      <c r="AV16" s="587">
        <f>AU16/AT16</f>
        <v>0.15056461731493098</v>
      </c>
      <c r="BJ16" s="773" t="s">
        <v>351</v>
      </c>
      <c r="BK16" s="774"/>
    </row>
    <row r="17" spans="2:71" x14ac:dyDescent="0.25">
      <c r="B17" s="686"/>
      <c r="C17" s="686"/>
      <c r="D17" s="686"/>
      <c r="E17" s="686"/>
      <c r="F17" s="686"/>
      <c r="G17" s="686"/>
      <c r="O17" s="545"/>
      <c r="P17" s="545" t="s">
        <v>435</v>
      </c>
      <c r="Q17" s="560">
        <f>Q16-Q15</f>
        <v>3761.8211912767019</v>
      </c>
      <c r="R17" s="545"/>
      <c r="S17" s="545"/>
      <c r="T17" s="545"/>
      <c r="U17" s="545"/>
      <c r="V17" s="545"/>
      <c r="W17" s="545"/>
      <c r="X17" s="545"/>
      <c r="Y17" s="545"/>
      <c r="Z17" s="545"/>
      <c r="AA17" s="545"/>
      <c r="AB17" s="545"/>
      <c r="AC17" s="545"/>
      <c r="AD17" s="545"/>
      <c r="AG17" s="584"/>
      <c r="AH17" s="550"/>
      <c r="AI17" s="550"/>
      <c r="AJ17" s="550"/>
      <c r="AK17" s="550"/>
      <c r="AL17" s="550"/>
      <c r="AM17" s="550"/>
      <c r="AN17" s="550"/>
      <c r="AO17" s="550"/>
      <c r="AP17" s="550"/>
      <c r="AQ17" s="550"/>
      <c r="AR17" s="545"/>
      <c r="AS17" s="550"/>
      <c r="AT17" s="550"/>
      <c r="AU17" s="545"/>
      <c r="AV17" s="593"/>
      <c r="BI17" s="202">
        <v>0.45957249964057101</v>
      </c>
      <c r="BJ17" s="639" t="s">
        <v>17</v>
      </c>
      <c r="BK17" s="621" t="s">
        <v>531</v>
      </c>
    </row>
    <row r="18" spans="2:71" x14ac:dyDescent="0.25">
      <c r="B18" s="686"/>
      <c r="C18" s="686"/>
      <c r="D18" s="686"/>
      <c r="E18" s="686"/>
      <c r="F18" s="686"/>
      <c r="G18" s="686"/>
      <c r="O18" s="545"/>
      <c r="P18" s="545" t="s">
        <v>440</v>
      </c>
      <c r="Q18" s="560">
        <f>Q15*'Delay Calcs'!$B$19</f>
        <v>3023518.0423592865</v>
      </c>
      <c r="R18" s="545"/>
      <c r="S18" s="545"/>
      <c r="T18" s="545"/>
      <c r="U18" s="545"/>
      <c r="V18" s="545"/>
      <c r="W18" s="545"/>
      <c r="X18" s="545"/>
      <c r="Y18" s="545"/>
      <c r="Z18" s="545"/>
      <c r="AA18" s="545"/>
      <c r="AB18" s="545"/>
      <c r="AC18" s="545"/>
      <c r="AD18" s="545"/>
      <c r="AG18" s="584"/>
      <c r="AH18" s="550"/>
      <c r="AI18" s="550"/>
      <c r="AJ18" s="550"/>
      <c r="AK18" s="550"/>
      <c r="AL18" s="550"/>
      <c r="AM18" s="550"/>
      <c r="AN18" s="550"/>
      <c r="AO18" s="550"/>
      <c r="AP18" s="550"/>
      <c r="AQ18" s="550"/>
      <c r="AR18" s="545"/>
      <c r="AS18" s="550"/>
      <c r="AT18" s="550"/>
      <c r="AU18" s="545"/>
      <c r="AV18" s="593"/>
      <c r="BJ18" s="611">
        <v>1640</v>
      </c>
      <c r="BK18" s="624">
        <f>SUM(BG26,BM23)</f>
        <v>1639.8491663375698</v>
      </c>
    </row>
    <row r="19" spans="2:71" ht="15.75" thickBot="1" x14ac:dyDescent="0.3">
      <c r="B19" s="686"/>
      <c r="C19" s="686"/>
      <c r="D19" s="686"/>
      <c r="E19" s="686"/>
      <c r="F19" s="686"/>
      <c r="G19" s="686"/>
      <c r="O19" s="545"/>
      <c r="P19" s="545" t="s">
        <v>441</v>
      </c>
      <c r="Q19" s="560">
        <f>Q16*'Delay Calcs'!$B$19</f>
        <v>4031357.3898123824</v>
      </c>
      <c r="R19" s="545"/>
      <c r="S19" s="545"/>
      <c r="T19" s="545"/>
      <c r="U19" s="545"/>
      <c r="V19" s="545"/>
      <c r="W19" s="545"/>
      <c r="X19" s="545"/>
      <c r="Y19" s="545"/>
      <c r="Z19" s="545"/>
      <c r="AA19" s="545"/>
      <c r="AB19" s="545"/>
      <c r="AC19" s="545"/>
      <c r="AD19" s="545"/>
      <c r="AG19" s="594"/>
      <c r="AH19" s="595"/>
      <c r="AI19" s="595"/>
      <c r="AJ19" s="595"/>
      <c r="AK19" s="595"/>
      <c r="AL19" s="595"/>
      <c r="AM19" s="595"/>
      <c r="AN19" s="595"/>
      <c r="AO19" s="595"/>
      <c r="AP19" s="595"/>
      <c r="AQ19" s="595"/>
      <c r="AR19" s="595"/>
      <c r="AS19" s="595"/>
      <c r="AT19" s="595"/>
      <c r="AU19" s="595"/>
      <c r="AV19" s="596"/>
    </row>
    <row r="20" spans="2:71" x14ac:dyDescent="0.25">
      <c r="B20" s="686"/>
      <c r="C20" s="686"/>
      <c r="D20" s="686"/>
      <c r="E20" s="686"/>
      <c r="F20" s="686"/>
      <c r="G20" s="686"/>
      <c r="O20" s="545"/>
      <c r="P20" s="545" t="s">
        <v>442</v>
      </c>
      <c r="Q20" s="560">
        <f>Q19-Q18</f>
        <v>1007839.347453096</v>
      </c>
      <c r="R20" s="545"/>
      <c r="S20" s="545"/>
      <c r="T20" s="545"/>
      <c r="U20" s="545"/>
      <c r="V20" s="545"/>
      <c r="W20" s="545"/>
      <c r="X20" s="545"/>
      <c r="Y20" s="545"/>
      <c r="Z20" s="545"/>
      <c r="AA20" s="545"/>
      <c r="AB20" s="545"/>
      <c r="AC20" s="545"/>
      <c r="AD20" s="545"/>
      <c r="BJ20" s="558"/>
    </row>
    <row r="21" spans="2:71" x14ac:dyDescent="0.25">
      <c r="B21" s="686"/>
      <c r="C21" s="686"/>
      <c r="D21" s="686"/>
      <c r="E21" s="686"/>
      <c r="F21" s="686"/>
      <c r="G21" s="686"/>
      <c r="O21" s="545"/>
      <c r="P21" s="545" t="s">
        <v>443</v>
      </c>
      <c r="Q21" s="550">
        <v>22</v>
      </c>
      <c r="R21" s="545"/>
      <c r="S21" s="545"/>
      <c r="T21" s="545"/>
      <c r="U21" s="545"/>
      <c r="V21" s="545"/>
      <c r="W21" s="545"/>
      <c r="X21" s="545"/>
      <c r="Y21" s="545"/>
      <c r="Z21" s="545"/>
      <c r="AA21" s="545"/>
      <c r="AB21" s="545"/>
      <c r="AC21" s="545"/>
      <c r="AD21" s="545"/>
      <c r="AS21" s="558"/>
      <c r="AY21" s="558"/>
      <c r="BF21" s="769" t="s">
        <v>541</v>
      </c>
      <c r="BG21" s="770"/>
      <c r="BH21" s="771"/>
      <c r="BJ21" s="558"/>
      <c r="BL21" s="769" t="s">
        <v>542</v>
      </c>
      <c r="BM21" s="770"/>
      <c r="BN21" s="771"/>
    </row>
    <row r="22" spans="2:71" x14ac:dyDescent="0.25">
      <c r="B22" s="686"/>
      <c r="C22" s="686"/>
      <c r="D22" s="686"/>
      <c r="E22" s="686"/>
      <c r="F22" s="686"/>
      <c r="G22" s="686"/>
      <c r="O22" s="545"/>
      <c r="P22" s="545" t="s">
        <v>444</v>
      </c>
      <c r="Q22" s="556">
        <f>Q21/52</f>
        <v>0.42307692307692307</v>
      </c>
      <c r="R22" s="545"/>
      <c r="S22" s="545"/>
      <c r="T22" s="545"/>
      <c r="U22" s="545"/>
      <c r="V22" s="545"/>
      <c r="W22" s="545"/>
      <c r="X22" s="545"/>
      <c r="Y22" s="545"/>
      <c r="Z22" s="545"/>
      <c r="AA22" s="545"/>
      <c r="AB22" s="545"/>
      <c r="AC22" s="545"/>
      <c r="AD22" s="545"/>
      <c r="AS22" s="558"/>
      <c r="AY22" s="558"/>
      <c r="BF22" s="635"/>
      <c r="BG22" s="622" t="s">
        <v>17</v>
      </c>
      <c r="BH22" s="623" t="s">
        <v>426</v>
      </c>
      <c r="BJ22" s="558"/>
      <c r="BL22" s="635"/>
      <c r="BM22" s="622" t="s">
        <v>17</v>
      </c>
      <c r="BN22" s="623" t="s">
        <v>531</v>
      </c>
    </row>
    <row r="23" spans="2:71" x14ac:dyDescent="0.25">
      <c r="B23" s="686"/>
      <c r="C23" s="686"/>
      <c r="D23" s="686"/>
      <c r="E23" s="686"/>
      <c r="F23" s="686"/>
      <c r="G23" s="686"/>
      <c r="O23" s="545"/>
      <c r="P23" s="545" t="s">
        <v>445</v>
      </c>
      <c r="Q23" s="560">
        <f>Q20*Q22</f>
        <v>426393.57007630984</v>
      </c>
      <c r="R23" s="545"/>
      <c r="S23" s="545"/>
      <c r="T23" s="545"/>
      <c r="U23" s="545"/>
      <c r="V23" s="545"/>
      <c r="W23" s="545"/>
      <c r="X23" s="545"/>
      <c r="Y23" s="545"/>
      <c r="Z23" s="545"/>
      <c r="AA23" s="545"/>
      <c r="AB23" s="545"/>
      <c r="AC23" s="545"/>
      <c r="AD23" s="545"/>
      <c r="AS23" s="558"/>
      <c r="AY23" s="558"/>
      <c r="BF23" s="608" t="s">
        <v>410</v>
      </c>
      <c r="BG23" s="616">
        <f>BH23/SUM(BH23:BH25)*BG26</f>
        <v>180.88773585852874</v>
      </c>
      <c r="BH23" s="613">
        <f>10+20</f>
        <v>30</v>
      </c>
      <c r="BJ23" s="558"/>
      <c r="BL23" s="636" t="s">
        <v>5</v>
      </c>
      <c r="BM23" s="637">
        <f>SUM(BG37,BM37,BM46)</f>
        <v>886.15026692703339</v>
      </c>
      <c r="BN23" s="632">
        <f>BJ18/2</f>
        <v>820</v>
      </c>
    </row>
    <row r="24" spans="2:71" x14ac:dyDescent="0.25">
      <c r="B24" s="686"/>
      <c r="C24" s="686"/>
      <c r="D24" s="686"/>
      <c r="E24" s="686"/>
      <c r="F24" s="686"/>
      <c r="G24" s="686"/>
      <c r="O24" s="545"/>
      <c r="P24" s="545"/>
      <c r="Q24" s="545"/>
      <c r="R24" s="545"/>
      <c r="S24" s="545"/>
      <c r="T24" s="545"/>
      <c r="U24" s="545"/>
      <c r="V24" s="545"/>
      <c r="W24" s="545"/>
      <c r="X24" s="545"/>
      <c r="Y24" s="545"/>
      <c r="Z24" s="545"/>
      <c r="AA24" s="545"/>
      <c r="AB24" s="545"/>
      <c r="AC24" s="545"/>
      <c r="AD24" s="545"/>
      <c r="AN24" s="769" t="s">
        <v>535</v>
      </c>
      <c r="AO24" s="770"/>
      <c r="AP24" s="771"/>
      <c r="AS24" s="765" t="s">
        <v>549</v>
      </c>
      <c r="AT24" s="765"/>
      <c r="AU24" s="765"/>
      <c r="AV24" s="765"/>
      <c r="AW24" s="765"/>
      <c r="AX24" s="765"/>
      <c r="AY24" s="765"/>
      <c r="BF24" s="610" t="s">
        <v>409</v>
      </c>
      <c r="BG24" s="551">
        <f>BH24/SUM(BH23:BH25)*BG26</f>
        <v>150.73977988210729</v>
      </c>
      <c r="BH24" s="614">
        <f>15+10</f>
        <v>25</v>
      </c>
      <c r="BJ24" s="558"/>
    </row>
    <row r="25" spans="2:71" x14ac:dyDescent="0.25">
      <c r="B25" s="686"/>
      <c r="C25" s="686"/>
      <c r="D25" s="686"/>
      <c r="E25" s="686"/>
      <c r="F25" s="686"/>
      <c r="G25" s="686"/>
      <c r="O25" s="545"/>
      <c r="P25" s="545"/>
      <c r="Q25" s="545"/>
      <c r="R25" s="545"/>
      <c r="S25" s="545"/>
      <c r="T25" s="545"/>
      <c r="U25" s="545"/>
      <c r="V25" s="545"/>
      <c r="W25" s="545"/>
      <c r="X25" s="545"/>
      <c r="Y25" s="545"/>
      <c r="Z25" s="545"/>
      <c r="AA25" s="545"/>
      <c r="AB25" s="545"/>
      <c r="AC25" s="545"/>
      <c r="AD25" s="545"/>
      <c r="AN25" s="162"/>
      <c r="AO25" t="s">
        <v>17</v>
      </c>
      <c r="AP25" s="641" t="s">
        <v>426</v>
      </c>
      <c r="AS25" s="558"/>
      <c r="AY25" s="558"/>
      <c r="BF25" s="611" t="s">
        <v>408</v>
      </c>
      <c r="BG25" s="637">
        <f>BH25/SUM(BH23:BH25)*BG26</f>
        <v>422.07138366990046</v>
      </c>
      <c r="BH25" s="612">
        <f>20+50</f>
        <v>70</v>
      </c>
      <c r="BJ25" s="558"/>
    </row>
    <row r="26" spans="2:71" x14ac:dyDescent="0.25">
      <c r="B26" s="686"/>
      <c r="C26" s="686"/>
      <c r="D26" s="686"/>
      <c r="E26" s="686"/>
      <c r="F26" s="686"/>
      <c r="G26" s="686"/>
      <c r="O26" s="545"/>
      <c r="P26" s="545"/>
      <c r="Q26" s="545"/>
      <c r="R26" s="545"/>
      <c r="S26" s="545"/>
      <c r="T26" s="545"/>
      <c r="U26" s="545"/>
      <c r="V26" s="545"/>
      <c r="W26" s="545"/>
      <c r="X26" s="545"/>
      <c r="Y26" s="545"/>
      <c r="Z26" s="545"/>
      <c r="AA26" s="545"/>
      <c r="AB26" s="545"/>
      <c r="AC26" s="545"/>
      <c r="AD26" s="545"/>
      <c r="AN26" s="608" t="s">
        <v>410</v>
      </c>
      <c r="AO26" s="616">
        <f>AP26/SUM(AP26:AP28)*AO29</f>
        <v>260.90909090909088</v>
      </c>
      <c r="AP26" s="613">
        <f>25+10</f>
        <v>35</v>
      </c>
      <c r="AS26" s="558"/>
      <c r="AY26" s="558"/>
      <c r="BF26" s="611" t="s">
        <v>538</v>
      </c>
      <c r="BG26" s="645">
        <f>BJ18*BI17</f>
        <v>753.69889941053646</v>
      </c>
      <c r="BH26" s="612">
        <f>SUM(BH23:BH25)</f>
        <v>125</v>
      </c>
      <c r="BJ26" s="558"/>
    </row>
    <row r="27" spans="2:71" x14ac:dyDescent="0.25">
      <c r="B27" s="686"/>
      <c r="C27" s="686"/>
      <c r="D27" s="686"/>
      <c r="E27" s="686"/>
      <c r="F27" s="686"/>
      <c r="G27" s="686"/>
      <c r="O27" s="545"/>
      <c r="P27" s="545"/>
      <c r="Q27" s="545"/>
      <c r="R27" s="545"/>
      <c r="S27" s="545"/>
      <c r="T27" s="545"/>
      <c r="U27" s="545"/>
      <c r="V27" s="545"/>
      <c r="W27" s="545"/>
      <c r="X27" s="545"/>
      <c r="Y27" s="545"/>
      <c r="Z27" s="545"/>
      <c r="AA27" s="545"/>
      <c r="AB27" s="545"/>
      <c r="AC27" s="545"/>
      <c r="AD27" s="545"/>
      <c r="AN27" s="610" t="s">
        <v>409</v>
      </c>
      <c r="AO27" s="551">
        <f>AP27/SUM(AP26:AP28)*AO29</f>
        <v>0</v>
      </c>
      <c r="AP27" s="614">
        <v>0</v>
      </c>
      <c r="AS27" s="558"/>
      <c r="AY27" s="558"/>
      <c r="BB27" s="769" t="s">
        <v>537</v>
      </c>
      <c r="BC27" s="770"/>
      <c r="BD27" s="771"/>
      <c r="BJ27" s="558"/>
    </row>
    <row r="28" spans="2:71" x14ac:dyDescent="0.25">
      <c r="B28" s="672" t="s">
        <v>551</v>
      </c>
      <c r="C28" s="672"/>
      <c r="D28" s="672"/>
      <c r="E28" s="672"/>
      <c r="F28" s="672"/>
      <c r="G28" s="672"/>
      <c r="O28" s="545"/>
      <c r="P28" s="545"/>
      <c r="Q28" s="545"/>
      <c r="R28" s="545"/>
      <c r="S28" s="545"/>
      <c r="T28" s="545"/>
      <c r="U28" s="545"/>
      <c r="V28" s="545"/>
      <c r="W28" s="545"/>
      <c r="X28" s="545"/>
      <c r="Y28" s="545"/>
      <c r="Z28" s="545"/>
      <c r="AA28" s="545"/>
      <c r="AB28" s="545"/>
      <c r="AC28" s="545"/>
      <c r="AD28" s="545"/>
      <c r="AN28" s="610" t="s">
        <v>408</v>
      </c>
      <c r="AO28" s="551">
        <f>AP28/SUM(AP26:AP28)*AO29</f>
        <v>149.09090909090909</v>
      </c>
      <c r="AP28" s="614">
        <f>5+15</f>
        <v>20</v>
      </c>
      <c r="AS28" s="558"/>
      <c r="AU28" s="769" t="s">
        <v>533</v>
      </c>
      <c r="AV28" s="770"/>
      <c r="AW28" s="771"/>
      <c r="AY28" s="558"/>
      <c r="BB28" s="635"/>
      <c r="BC28" s="630" t="s">
        <v>17</v>
      </c>
      <c r="BD28" s="623" t="s">
        <v>531</v>
      </c>
      <c r="BF28" s="769" t="s">
        <v>539</v>
      </c>
      <c r="BG28" s="770"/>
      <c r="BH28" s="771"/>
      <c r="BJ28" s="558"/>
    </row>
    <row r="29" spans="2:71" x14ac:dyDescent="0.25">
      <c r="B29" s="672"/>
      <c r="C29" s="672"/>
      <c r="D29" s="672"/>
      <c r="E29" s="672"/>
      <c r="F29" s="672"/>
      <c r="G29" s="672"/>
      <c r="O29" s="545"/>
      <c r="P29" s="545"/>
      <c r="Q29" s="545"/>
      <c r="R29" s="545"/>
      <c r="S29" s="545"/>
      <c r="T29" s="545"/>
      <c r="U29" s="545"/>
      <c r="V29" s="545"/>
      <c r="W29" s="545"/>
      <c r="X29" s="545"/>
      <c r="Y29" s="545"/>
      <c r="Z29" s="545"/>
      <c r="AA29" s="545"/>
      <c r="AB29" s="545"/>
      <c r="AC29" s="545"/>
      <c r="AD29" s="545"/>
      <c r="AN29" s="617" t="s">
        <v>5</v>
      </c>
      <c r="AO29" s="638">
        <v>410</v>
      </c>
      <c r="AP29" s="619">
        <f>SUM(AP26:AP28)</f>
        <v>55</v>
      </c>
      <c r="AR29" s="558"/>
      <c r="AS29" s="558"/>
      <c r="AU29" s="635"/>
      <c r="AV29" s="622" t="s">
        <v>532</v>
      </c>
      <c r="AW29" s="623" t="s">
        <v>426</v>
      </c>
      <c r="AY29" s="558"/>
      <c r="AZ29" s="558"/>
      <c r="BB29" s="636" t="s">
        <v>5</v>
      </c>
      <c r="BC29" s="615">
        <v>430</v>
      </c>
      <c r="BD29" s="644">
        <f>SUM(AV37,BG30,BC42)</f>
        <v>429.95950786498747</v>
      </c>
      <c r="BF29" s="628"/>
      <c r="BG29" s="630" t="s">
        <v>17</v>
      </c>
      <c r="BH29" s="629" t="s">
        <v>426</v>
      </c>
      <c r="BJ29" s="558"/>
    </row>
    <row r="30" spans="2:71" x14ac:dyDescent="0.25">
      <c r="B30" s="672"/>
      <c r="C30" s="672"/>
      <c r="D30" s="672"/>
      <c r="E30" s="672"/>
      <c r="F30" s="672"/>
      <c r="G30" s="672"/>
      <c r="O30" s="545"/>
      <c r="P30" s="545"/>
      <c r="Q30" s="545"/>
      <c r="R30" s="545"/>
      <c r="S30" s="545"/>
      <c r="T30" s="545"/>
      <c r="U30" s="545"/>
      <c r="V30" s="545"/>
      <c r="W30" s="545"/>
      <c r="X30" s="545"/>
      <c r="Y30" s="545"/>
      <c r="Z30" s="545"/>
      <c r="AA30" s="545"/>
      <c r="AB30" s="545"/>
      <c r="AC30" s="545"/>
      <c r="AD30" s="545"/>
      <c r="AJ30" s="769" t="s">
        <v>533</v>
      </c>
      <c r="AK30" s="770"/>
      <c r="AL30" s="771"/>
      <c r="AQ30" s="558"/>
      <c r="AS30" s="558"/>
      <c r="AU30" s="610" t="s">
        <v>409</v>
      </c>
      <c r="AV30" s="551">
        <f>AW30/SUM(AW30:AW31)*AV32</f>
        <v>937.74158008151221</v>
      </c>
      <c r="AW30" s="614">
        <f>40+130</f>
        <v>170</v>
      </c>
      <c r="AY30" s="558"/>
      <c r="BA30" s="558"/>
      <c r="BC30" s="61"/>
      <c r="BF30" s="608" t="s">
        <v>408</v>
      </c>
      <c r="BG30" s="616">
        <f>BH30/SUM(BH30:BH31)*BG32</f>
        <v>229.79268847220015</v>
      </c>
      <c r="BH30" s="613">
        <f>20+45</f>
        <v>65</v>
      </c>
      <c r="BJ30" s="558"/>
      <c r="BL30" s="769" t="s">
        <v>533</v>
      </c>
      <c r="BM30" s="770"/>
      <c r="BN30" s="771"/>
    </row>
    <row r="31" spans="2:71" x14ac:dyDescent="0.25">
      <c r="B31" s="672"/>
      <c r="C31" s="672"/>
      <c r="D31" s="672"/>
      <c r="E31" s="672"/>
      <c r="F31" s="672"/>
      <c r="G31" s="672"/>
      <c r="O31" s="545"/>
      <c r="P31" s="545"/>
      <c r="Q31" s="545"/>
      <c r="R31" s="545"/>
      <c r="S31" s="545"/>
      <c r="T31" s="545"/>
      <c r="U31" s="545"/>
      <c r="V31" s="545"/>
      <c r="W31" s="545"/>
      <c r="X31" s="545"/>
      <c r="Y31" s="545"/>
      <c r="Z31" s="545"/>
      <c r="AA31" s="545"/>
      <c r="AB31" s="545"/>
      <c r="AC31" s="545"/>
      <c r="AD31" s="545"/>
      <c r="AJ31" s="635"/>
      <c r="AK31" s="622" t="s">
        <v>17</v>
      </c>
      <c r="AL31" s="623" t="s">
        <v>426</v>
      </c>
      <c r="AP31" s="558"/>
      <c r="AS31" s="558"/>
      <c r="AU31" s="610" t="s">
        <v>410</v>
      </c>
      <c r="AV31" s="551">
        <f>AW31/SUM(AW30:AW31)*AV32</f>
        <v>2289.192680787221</v>
      </c>
      <c r="AW31" s="614">
        <f>195+220</f>
        <v>415</v>
      </c>
      <c r="AY31" s="558"/>
      <c r="BB31" s="558"/>
      <c r="BF31" s="610" t="s">
        <v>409</v>
      </c>
      <c r="BG31" s="551">
        <f>BH31/SUM(BH30:BH31)*BG32</f>
        <v>1767.6360651707705</v>
      </c>
      <c r="BH31" s="614">
        <f>225+275</f>
        <v>500</v>
      </c>
      <c r="BJ31" s="558"/>
      <c r="BL31" s="635"/>
      <c r="BM31" s="630" t="s">
        <v>17</v>
      </c>
      <c r="BN31" s="623" t="s">
        <v>426</v>
      </c>
    </row>
    <row r="32" spans="2:71" x14ac:dyDescent="0.25">
      <c r="B32" s="672"/>
      <c r="C32" s="672"/>
      <c r="D32" s="672"/>
      <c r="E32" s="672"/>
      <c r="F32" s="672"/>
      <c r="G32" s="672"/>
      <c r="AG32" s="769" t="s">
        <v>543</v>
      </c>
      <c r="AH32" s="771"/>
      <c r="AJ32" s="633" t="s">
        <v>5</v>
      </c>
      <c r="AK32" s="640">
        <f>AV30+AO28</f>
        <v>1086.8324891724212</v>
      </c>
      <c r="AL32" s="618">
        <f>AW30+AP28</f>
        <v>190</v>
      </c>
      <c r="AO32" s="558"/>
      <c r="AS32" s="558"/>
      <c r="AU32" s="617" t="s">
        <v>5</v>
      </c>
      <c r="AV32" s="645">
        <v>3226.934260868733</v>
      </c>
      <c r="AW32" s="619">
        <f>SUM(AW30:AW31)</f>
        <v>585</v>
      </c>
      <c r="AY32" s="558"/>
      <c r="BC32" s="558"/>
      <c r="BF32" s="617" t="s">
        <v>538</v>
      </c>
      <c r="BG32" s="645">
        <v>1997.4287536429706</v>
      </c>
      <c r="BH32" s="619">
        <f>SUM(BH30:BH31)</f>
        <v>565</v>
      </c>
      <c r="BJ32" s="558"/>
      <c r="BL32" s="633" t="s">
        <v>5</v>
      </c>
      <c r="BM32" s="640">
        <f>BG38+BM47+BH23</f>
        <v>1974.6192004022678</v>
      </c>
      <c r="BN32" s="618">
        <f>BH38+BN47+BI23</f>
        <v>460</v>
      </c>
      <c r="BR32" s="769" t="s">
        <v>543</v>
      </c>
      <c r="BS32" s="771"/>
    </row>
    <row r="33" spans="2:71" ht="21" x14ac:dyDescent="0.35">
      <c r="B33" s="672"/>
      <c r="C33" s="672"/>
      <c r="D33" s="672"/>
      <c r="E33" s="672"/>
      <c r="F33" s="672"/>
      <c r="G33" s="672"/>
      <c r="O33" s="545"/>
      <c r="P33" s="548" t="s">
        <v>467</v>
      </c>
      <c r="Q33" s="545"/>
      <c r="R33" s="545"/>
      <c r="S33" s="545"/>
      <c r="T33" s="545"/>
      <c r="U33" s="545"/>
      <c r="V33" s="545"/>
      <c r="W33" s="545"/>
      <c r="X33" s="545"/>
      <c r="Y33" s="545"/>
      <c r="Z33" s="545"/>
      <c r="AA33" s="545"/>
      <c r="AB33" s="545"/>
      <c r="AC33" s="545"/>
      <c r="AD33" s="545"/>
      <c r="AF33" s="202">
        <v>0.66143488962299601</v>
      </c>
      <c r="AG33" s="626" t="s">
        <v>17</v>
      </c>
      <c r="AH33" s="641" t="s">
        <v>531</v>
      </c>
      <c r="AN33" s="558"/>
      <c r="BD33" s="558"/>
      <c r="BJ33" s="558"/>
      <c r="BQ33" s="202">
        <v>0.76178673898544602</v>
      </c>
      <c r="BR33" s="162" t="s">
        <v>17</v>
      </c>
      <c r="BS33" s="641" t="s">
        <v>531</v>
      </c>
    </row>
    <row r="34" spans="2:71" x14ac:dyDescent="0.25">
      <c r="B34" s="672"/>
      <c r="C34" s="672"/>
      <c r="D34" s="672"/>
      <c r="E34" s="672"/>
      <c r="F34" s="672"/>
      <c r="G34" s="672"/>
      <c r="O34" s="545"/>
      <c r="P34" s="545"/>
      <c r="Q34" s="545"/>
      <c r="R34" s="545"/>
      <c r="S34" s="545"/>
      <c r="T34" s="545"/>
      <c r="U34" s="545"/>
      <c r="V34" s="545"/>
      <c r="W34" s="545"/>
      <c r="X34" s="545"/>
      <c r="Y34" s="545"/>
      <c r="Z34" s="545"/>
      <c r="AA34" s="545"/>
      <c r="AB34" s="545"/>
      <c r="AC34" s="545"/>
      <c r="AD34" s="545"/>
      <c r="AG34" s="617">
        <v>3210</v>
      </c>
      <c r="AH34" s="618">
        <f>SUM(AK32,AK36)</f>
        <v>3210.0384848622389</v>
      </c>
      <c r="AJ34" s="558"/>
      <c r="AK34" s="558"/>
      <c r="AL34" s="557"/>
      <c r="AM34" s="558"/>
      <c r="AN34" s="558"/>
      <c r="AO34" s="558"/>
      <c r="AP34" s="558"/>
      <c r="AQ34" s="558"/>
      <c r="AR34" s="558"/>
      <c r="AS34" s="558"/>
      <c r="AT34" s="558"/>
      <c r="AU34" s="558"/>
      <c r="AV34" s="558"/>
      <c r="AW34" s="558"/>
      <c r="AX34" s="558"/>
      <c r="AY34" s="558"/>
      <c r="AZ34" s="558"/>
      <c r="BA34" s="558"/>
      <c r="BB34" s="558"/>
      <c r="BC34" s="558"/>
      <c r="BD34" s="558"/>
      <c r="BE34" s="558"/>
      <c r="BF34" s="558"/>
      <c r="BG34" s="558"/>
      <c r="BH34" s="558"/>
      <c r="BI34" s="558"/>
      <c r="BJ34" s="558"/>
      <c r="BK34" s="558"/>
      <c r="BL34" s="558"/>
      <c r="BM34" s="558"/>
      <c r="BN34" s="558"/>
      <c r="BO34" s="558"/>
      <c r="BP34" s="558"/>
      <c r="BR34" s="617">
        <v>8290</v>
      </c>
      <c r="BS34" s="618">
        <f>SUM(BM36,BM32)</f>
        <v>8289.8312665916164</v>
      </c>
    </row>
    <row r="35" spans="2:71" x14ac:dyDescent="0.25">
      <c r="B35" s="672"/>
      <c r="C35" s="672"/>
      <c r="D35" s="672"/>
      <c r="E35" s="672"/>
      <c r="F35" s="672"/>
      <c r="G35" s="672"/>
      <c r="O35" s="545"/>
      <c r="P35" s="545" t="s">
        <v>460</v>
      </c>
      <c r="Q35" s="549">
        <f>AA36*AC36+AA37*AC37</f>
        <v>47.133757961783445</v>
      </c>
      <c r="R35" s="545"/>
      <c r="S35" s="545"/>
      <c r="T35" s="545"/>
      <c r="U35" s="545"/>
      <c r="V35" s="545"/>
      <c r="W35" s="545"/>
      <c r="X35" s="545"/>
      <c r="Y35" s="545"/>
      <c r="Z35" s="545"/>
      <c r="AA35" s="545" t="s">
        <v>456</v>
      </c>
      <c r="AB35" s="545" t="s">
        <v>427</v>
      </c>
      <c r="AC35" s="545" t="s">
        <v>462</v>
      </c>
      <c r="AD35" s="545"/>
      <c r="AN35" s="558"/>
      <c r="BD35" s="557"/>
      <c r="BJ35" s="558"/>
    </row>
    <row r="36" spans="2:71" ht="15" customHeight="1" x14ac:dyDescent="0.25">
      <c r="B36" s="672" t="s">
        <v>552</v>
      </c>
      <c r="C36" s="672"/>
      <c r="D36" s="672"/>
      <c r="E36" s="672"/>
      <c r="F36" s="672"/>
      <c r="G36" s="672"/>
      <c r="O36" s="545"/>
      <c r="P36" s="545" t="s">
        <v>461</v>
      </c>
      <c r="Q36" s="549">
        <f>SUM(AB36:AB37)/Q35*60</f>
        <v>1.9985675675675674</v>
      </c>
      <c r="R36" s="545"/>
      <c r="S36" s="545"/>
      <c r="T36" s="545"/>
      <c r="U36" s="545"/>
      <c r="V36" s="545"/>
      <c r="W36" s="545"/>
      <c r="X36" s="545"/>
      <c r="Y36" s="545"/>
      <c r="Z36" s="545"/>
      <c r="AA36" s="545">
        <v>40</v>
      </c>
      <c r="AB36" s="545">
        <v>0.45</v>
      </c>
      <c r="AC36" s="547">
        <f>AB36/SUM($AB$36:$AB$37)</f>
        <v>0.28662420382165604</v>
      </c>
      <c r="AD36" s="545"/>
      <c r="AJ36" s="617" t="s">
        <v>5</v>
      </c>
      <c r="AK36" s="638">
        <f>AG34*AF33</f>
        <v>2123.2059956898174</v>
      </c>
      <c r="AL36" s="619">
        <f>SUM(AL37:AL38)</f>
        <v>310</v>
      </c>
      <c r="AO36" s="558"/>
      <c r="AS36" s="558"/>
      <c r="AU36" s="617" t="s">
        <v>5</v>
      </c>
      <c r="AV36" s="645">
        <v>530.6080352814588</v>
      </c>
      <c r="AW36" s="619">
        <f>SUM(AW37:AW38)</f>
        <v>185</v>
      </c>
      <c r="AY36" s="558"/>
      <c r="BC36" s="557"/>
      <c r="BF36" s="617" t="s">
        <v>5</v>
      </c>
      <c r="BG36" s="645">
        <v>2105.7924638555464</v>
      </c>
      <c r="BH36" s="619">
        <f>SUM(BH37:BH39)</f>
        <v>550</v>
      </c>
      <c r="BJ36" s="558"/>
      <c r="BL36" s="617" t="s">
        <v>538</v>
      </c>
      <c r="BM36" s="645">
        <f>BR34*BQ33</f>
        <v>6315.2120661893478</v>
      </c>
      <c r="BN36" s="619">
        <f>SUM(BN37:BN39)</f>
        <v>525</v>
      </c>
    </row>
    <row r="37" spans="2:71" x14ac:dyDescent="0.25">
      <c r="B37" s="672"/>
      <c r="C37" s="672"/>
      <c r="D37" s="672"/>
      <c r="E37" s="672"/>
      <c r="F37" s="672"/>
      <c r="G37" s="672"/>
      <c r="O37" s="545"/>
      <c r="P37" s="545" t="s">
        <v>458</v>
      </c>
      <c r="Q37" s="549">
        <f>AA40*AC40+AA41*AC41+AA42*AC42</f>
        <v>61.395348837209298</v>
      </c>
      <c r="R37" s="545"/>
      <c r="S37" s="545"/>
      <c r="T37" s="545"/>
      <c r="U37" s="545"/>
      <c r="V37" s="545"/>
      <c r="W37" s="545"/>
      <c r="X37" s="545"/>
      <c r="Y37" s="545"/>
      <c r="Z37" s="545"/>
      <c r="AA37" s="545">
        <v>50</v>
      </c>
      <c r="AB37" s="545">
        <f>1.57-AB36</f>
        <v>1.1200000000000001</v>
      </c>
      <c r="AC37" s="547">
        <f>AB37/SUM($AB$36:$AB$37)</f>
        <v>0.71337579617834401</v>
      </c>
      <c r="AD37" s="545"/>
      <c r="AJ37" s="608" t="s">
        <v>408</v>
      </c>
      <c r="AK37" s="616">
        <f>AL37/SUM(AL37:AL38)*AK36</f>
        <v>1095.8482558399057</v>
      </c>
      <c r="AL37" s="613">
        <f>120+40</f>
        <v>160</v>
      </c>
      <c r="AP37" s="558"/>
      <c r="AS37" s="558"/>
      <c r="AU37" s="610" t="s">
        <v>410</v>
      </c>
      <c r="AV37" s="551">
        <f>AW37/SUM(AW37:AW38)*AV36</f>
        <v>129.06681939278729</v>
      </c>
      <c r="AW37" s="614">
        <f>30+15</f>
        <v>45</v>
      </c>
      <c r="AY37" s="558"/>
      <c r="BB37" s="557"/>
      <c r="BF37" s="610" t="s">
        <v>410</v>
      </c>
      <c r="BG37" s="551">
        <f>BH37/SUM(BH37:BH39)*BG36</f>
        <v>344.58422135818034</v>
      </c>
      <c r="BH37" s="614">
        <f>25+65</f>
        <v>90</v>
      </c>
      <c r="BJ37" s="558"/>
      <c r="BL37" s="608" t="s">
        <v>408</v>
      </c>
      <c r="BM37" s="616">
        <f>BN37/SUM(BN37:BN39)*BM36</f>
        <v>300.72438410425463</v>
      </c>
      <c r="BN37" s="613">
        <f>10+15</f>
        <v>25</v>
      </c>
    </row>
    <row r="38" spans="2:71" x14ac:dyDescent="0.25">
      <c r="B38" s="672"/>
      <c r="C38" s="672"/>
      <c r="D38" s="672"/>
      <c r="E38" s="672"/>
      <c r="F38" s="672"/>
      <c r="G38" s="672"/>
      <c r="O38" s="545"/>
      <c r="P38" s="545" t="s">
        <v>459</v>
      </c>
      <c r="Q38" s="549">
        <f>SUM(AB40:AB42)/Q37*60</f>
        <v>4.2022727272727272</v>
      </c>
      <c r="R38" s="545"/>
      <c r="S38" s="545"/>
      <c r="T38" s="545"/>
      <c r="U38" s="545"/>
      <c r="V38" s="545"/>
      <c r="W38" s="545"/>
      <c r="X38" s="545"/>
      <c r="Y38" s="545"/>
      <c r="Z38" s="545"/>
      <c r="AA38" s="545"/>
      <c r="AB38" s="545"/>
      <c r="AC38" s="545"/>
      <c r="AD38" s="545"/>
      <c r="AJ38" s="610" t="s">
        <v>409</v>
      </c>
      <c r="AK38" s="551">
        <f>AL38/SUM(AL37:AL38)*AK36</f>
        <v>1027.3577398499117</v>
      </c>
      <c r="AL38" s="614">
        <f>60+90</f>
        <v>150</v>
      </c>
      <c r="AQ38" s="558"/>
      <c r="AS38" s="558"/>
      <c r="AU38" s="610" t="s">
        <v>409</v>
      </c>
      <c r="AV38" s="551">
        <f>AW38/SUM(AW37:AW38)*AV36</f>
        <v>401.54121588867156</v>
      </c>
      <c r="AW38" s="614">
        <f>85+55</f>
        <v>140</v>
      </c>
      <c r="AY38" s="558"/>
      <c r="BA38" s="558"/>
      <c r="BF38" s="610" t="s">
        <v>409</v>
      </c>
      <c r="BG38" s="551">
        <f>BH38/SUM(BH37:BH39)*BG36</f>
        <v>1703.7775389376693</v>
      </c>
      <c r="BH38" s="614">
        <f>220+225</f>
        <v>445</v>
      </c>
      <c r="BJ38" s="558"/>
      <c r="BL38" s="610" t="s">
        <v>409</v>
      </c>
      <c r="BM38" s="551">
        <f>BN38/SUM(BN37:BN39)*BM36</f>
        <v>5894.197928443391</v>
      </c>
      <c r="BN38" s="614">
        <f>225+265</f>
        <v>490</v>
      </c>
    </row>
    <row r="39" spans="2:71" x14ac:dyDescent="0.25">
      <c r="B39" s="672"/>
      <c r="C39" s="672"/>
      <c r="D39" s="672"/>
      <c r="E39" s="672"/>
      <c r="F39" s="672"/>
      <c r="G39" s="672"/>
      <c r="O39" s="545"/>
      <c r="P39" s="545" t="s">
        <v>17</v>
      </c>
      <c r="Q39" s="550">
        <v>890</v>
      </c>
      <c r="R39" s="545"/>
      <c r="S39" s="545"/>
      <c r="T39" s="545"/>
      <c r="U39" s="545"/>
      <c r="V39" s="545"/>
      <c r="W39" s="545"/>
      <c r="X39" s="545"/>
      <c r="Y39" s="545"/>
      <c r="Z39" s="545"/>
      <c r="AA39" s="545" t="s">
        <v>457</v>
      </c>
      <c r="AB39" s="545" t="s">
        <v>427</v>
      </c>
      <c r="AC39" s="545" t="s">
        <v>462</v>
      </c>
      <c r="AD39" s="545"/>
      <c r="AJ39" s="639"/>
      <c r="AK39" s="620" t="s">
        <v>17</v>
      </c>
      <c r="AL39" s="621" t="s">
        <v>426</v>
      </c>
      <c r="AN39" s="617" t="s">
        <v>5</v>
      </c>
      <c r="AO39" s="638">
        <v>3385</v>
      </c>
      <c r="AP39" s="618">
        <f>AK37+AO27+AV31</f>
        <v>3385.0409366271269</v>
      </c>
      <c r="AR39" s="558"/>
      <c r="AS39" s="558"/>
      <c r="AU39" s="639"/>
      <c r="AV39" s="620" t="s">
        <v>532</v>
      </c>
      <c r="AW39" s="621" t="s">
        <v>426</v>
      </c>
      <c r="AY39" s="558"/>
      <c r="AZ39" s="558"/>
      <c r="BB39" s="617" t="s">
        <v>5</v>
      </c>
      <c r="BC39" s="638">
        <v>3555</v>
      </c>
      <c r="BD39" s="619">
        <f>SUM(BD40:BD42)</f>
        <v>500</v>
      </c>
      <c r="BF39" s="611" t="s">
        <v>408</v>
      </c>
      <c r="BG39" s="637">
        <f>BH39/SUM(BH37:BH39)*BG36</f>
        <v>57.430703559696717</v>
      </c>
      <c r="BH39" s="612">
        <f>10+5</f>
        <v>15</v>
      </c>
      <c r="BJ39" s="558"/>
      <c r="BL39" s="610" t="s">
        <v>410</v>
      </c>
      <c r="BM39" s="551">
        <f>BN39/SUM(BN37:BN39)*BM36</f>
        <v>120.28975364170188</v>
      </c>
      <c r="BN39" s="614">
        <f>5+5</f>
        <v>10</v>
      </c>
    </row>
    <row r="40" spans="2:71" x14ac:dyDescent="0.25">
      <c r="B40" s="672"/>
      <c r="C40" s="672"/>
      <c r="D40" s="672"/>
      <c r="E40" s="672"/>
      <c r="F40" s="672"/>
      <c r="G40" s="672"/>
      <c r="O40" s="545"/>
      <c r="P40" s="545" t="s">
        <v>484</v>
      </c>
      <c r="Q40" s="549">
        <f>Q38-Q36</f>
        <v>2.2037051597051596</v>
      </c>
      <c r="R40" s="545"/>
      <c r="S40" s="545"/>
      <c r="T40" s="545"/>
      <c r="U40" s="545"/>
      <c r="V40" s="545"/>
      <c r="W40" s="545"/>
      <c r="X40" s="545"/>
      <c r="Y40" s="545"/>
      <c r="Z40" s="545"/>
      <c r="AA40" s="545">
        <v>75</v>
      </c>
      <c r="AB40" s="545">
        <v>2.06</v>
      </c>
      <c r="AC40" s="547">
        <f>AB40/SUM($AB$40:$AB$42)</f>
        <v>0.47906976744186047</v>
      </c>
      <c r="AD40" s="545"/>
      <c r="AJ40" s="766" t="s">
        <v>530</v>
      </c>
      <c r="AK40" s="767"/>
      <c r="AL40" s="768"/>
      <c r="AN40" s="162"/>
      <c r="AO40" s="10" t="s">
        <v>17</v>
      </c>
      <c r="AP40" s="627" t="s">
        <v>531</v>
      </c>
      <c r="AS40" s="558"/>
      <c r="AU40" s="766" t="s">
        <v>530</v>
      </c>
      <c r="AV40" s="767"/>
      <c r="AW40" s="768"/>
      <c r="AY40" s="558"/>
      <c r="BB40" s="608" t="s">
        <v>408</v>
      </c>
      <c r="BC40" s="616">
        <f>BD40/SUM(BD40:BD42)*BC39</f>
        <v>2879.55</v>
      </c>
      <c r="BD40" s="613">
        <f>210+195</f>
        <v>405</v>
      </c>
      <c r="BF40" s="162"/>
      <c r="BG40" t="s">
        <v>17</v>
      </c>
      <c r="BH40" s="641" t="s">
        <v>426</v>
      </c>
      <c r="BJ40" s="558"/>
      <c r="BL40" s="625"/>
      <c r="BM40" s="631" t="s">
        <v>17</v>
      </c>
      <c r="BN40" s="642" t="s">
        <v>426</v>
      </c>
    </row>
    <row r="41" spans="2:71" x14ac:dyDescent="0.25">
      <c r="B41" s="672"/>
      <c r="C41" s="672"/>
      <c r="D41" s="672"/>
      <c r="E41" s="672"/>
      <c r="F41" s="672"/>
      <c r="G41" s="672"/>
      <c r="O41" s="545"/>
      <c r="P41" s="545" t="s">
        <v>485</v>
      </c>
      <c r="Q41" s="549">
        <f>Q39*Q40/60</f>
        <v>32.688293202293202</v>
      </c>
      <c r="R41" s="545"/>
      <c r="S41" s="545"/>
      <c r="T41" s="545"/>
      <c r="U41" s="545"/>
      <c r="V41" s="545"/>
      <c r="W41" s="545"/>
      <c r="X41" s="545"/>
      <c r="Y41" s="545"/>
      <c r="Z41" s="545"/>
      <c r="AA41" s="545">
        <v>40</v>
      </c>
      <c r="AB41" s="545">
        <v>0.25</v>
      </c>
      <c r="AC41" s="547">
        <f>AB41/SUM($AB$40:$AB$42)</f>
        <v>5.8139534883720929E-2</v>
      </c>
      <c r="AD41" s="545"/>
      <c r="AN41" s="766" t="s">
        <v>534</v>
      </c>
      <c r="AO41" s="767"/>
      <c r="AP41" s="768"/>
      <c r="AS41" s="558"/>
      <c r="AY41" s="558"/>
      <c r="BB41" s="610" t="s">
        <v>410</v>
      </c>
      <c r="BC41" s="551">
        <f>BD41/SUM(BD40:BD42)*BC39</f>
        <v>604.35</v>
      </c>
      <c r="BD41" s="614">
        <f>10+75</f>
        <v>85</v>
      </c>
      <c r="BF41" s="766" t="s">
        <v>540</v>
      </c>
      <c r="BG41" s="767"/>
      <c r="BH41" s="768"/>
      <c r="BJ41" s="558"/>
      <c r="BL41" s="766" t="s">
        <v>540</v>
      </c>
      <c r="BM41" s="767"/>
      <c r="BN41" s="768"/>
    </row>
    <row r="42" spans="2:71" x14ac:dyDescent="0.25">
      <c r="B42" s="672"/>
      <c r="C42" s="672"/>
      <c r="D42" s="672"/>
      <c r="E42" s="672"/>
      <c r="F42" s="672"/>
      <c r="G42" s="672"/>
      <c r="O42" s="545"/>
      <c r="P42" s="545" t="s">
        <v>486</v>
      </c>
      <c r="Q42" s="550">
        <v>30</v>
      </c>
      <c r="R42" s="545"/>
      <c r="S42" s="545"/>
      <c r="T42" s="545"/>
      <c r="U42" s="545"/>
      <c r="V42" s="545"/>
      <c r="W42" s="545"/>
      <c r="X42" s="545"/>
      <c r="Y42" s="545"/>
      <c r="Z42" s="545"/>
      <c r="AA42" s="545">
        <v>50</v>
      </c>
      <c r="AB42" s="545">
        <v>1.99</v>
      </c>
      <c r="AC42" s="547">
        <f>AB42/SUM($AB$40:$AB$42)</f>
        <v>0.46279069767441861</v>
      </c>
      <c r="AD42" s="545"/>
      <c r="AS42" s="558"/>
      <c r="AY42" s="558"/>
      <c r="BB42" s="610" t="s">
        <v>409</v>
      </c>
      <c r="BC42" s="551">
        <f>BD42/SUM(BD40:BD42)*BC39</f>
        <v>71.100000000000009</v>
      </c>
      <c r="BD42" s="614">
        <f>5+5</f>
        <v>10</v>
      </c>
      <c r="BJ42" s="558"/>
    </row>
    <row r="43" spans="2:71" x14ac:dyDescent="0.25">
      <c r="B43" s="672"/>
      <c r="C43" s="672"/>
      <c r="D43" s="672"/>
      <c r="E43" s="672"/>
      <c r="F43" s="672"/>
      <c r="G43" s="672"/>
      <c r="O43" s="545"/>
      <c r="P43" s="545" t="s">
        <v>447</v>
      </c>
      <c r="Q43" s="551">
        <f>Q41*Q42</f>
        <v>980.64879606879606</v>
      </c>
      <c r="R43" s="545"/>
      <c r="S43" s="545"/>
      <c r="T43" s="545"/>
      <c r="U43" s="545"/>
      <c r="V43" s="545"/>
      <c r="W43" s="545"/>
      <c r="X43" s="545"/>
      <c r="Y43" s="545"/>
      <c r="Z43" s="545"/>
      <c r="AA43" s="545"/>
      <c r="AB43" s="545"/>
      <c r="AC43" s="545"/>
      <c r="AD43" s="545"/>
      <c r="AS43" s="558"/>
      <c r="AY43" s="558"/>
      <c r="BB43" s="639"/>
      <c r="BC43" s="620" t="s">
        <v>17</v>
      </c>
      <c r="BD43" s="621" t="s">
        <v>426</v>
      </c>
      <c r="BF43" s="769" t="s">
        <v>541</v>
      </c>
      <c r="BG43" s="770"/>
      <c r="BH43" s="771"/>
      <c r="BJ43" s="558"/>
      <c r="BL43" s="769" t="s">
        <v>542</v>
      </c>
      <c r="BM43" s="770"/>
      <c r="BN43" s="771"/>
    </row>
    <row r="44" spans="2:71" x14ac:dyDescent="0.25">
      <c r="B44" s="672"/>
      <c r="C44" s="672"/>
      <c r="D44" s="672"/>
      <c r="E44" s="672"/>
      <c r="F44" s="672"/>
      <c r="G44" s="672"/>
      <c r="O44" s="545"/>
      <c r="P44" s="545" t="s">
        <v>95</v>
      </c>
      <c r="Q44" s="552">
        <f>(AT16-AU16)/AT16</f>
        <v>0.84943538268506902</v>
      </c>
      <c r="R44" s="545"/>
      <c r="S44" s="545"/>
      <c r="T44" s="545"/>
      <c r="U44" s="545"/>
      <c r="V44" s="545"/>
      <c r="W44" s="545"/>
      <c r="X44" s="545"/>
      <c r="Y44" s="545"/>
      <c r="Z44" s="545"/>
      <c r="AA44" s="545"/>
      <c r="AB44" s="545"/>
      <c r="AC44" s="545"/>
      <c r="AD44" s="545"/>
      <c r="AS44" s="765" t="s">
        <v>549</v>
      </c>
      <c r="AT44" s="765"/>
      <c r="AU44" s="765"/>
      <c r="AV44" s="765"/>
      <c r="AW44" s="765"/>
      <c r="AX44" s="765"/>
      <c r="AY44" s="765"/>
      <c r="BB44" s="766" t="s">
        <v>536</v>
      </c>
      <c r="BC44" s="767"/>
      <c r="BD44" s="768"/>
      <c r="BF44" s="635"/>
      <c r="BG44" s="622" t="s">
        <v>17</v>
      </c>
      <c r="BH44" s="623" t="s">
        <v>531</v>
      </c>
      <c r="BJ44" s="558"/>
      <c r="BL44" s="635"/>
      <c r="BM44" s="622" t="s">
        <v>17</v>
      </c>
      <c r="BN44" s="623" t="s">
        <v>426</v>
      </c>
    </row>
    <row r="45" spans="2:71" x14ac:dyDescent="0.25">
      <c r="B45" s="672"/>
      <c r="C45" s="672"/>
      <c r="D45" s="672"/>
      <c r="E45" s="672"/>
      <c r="F45" s="672"/>
      <c r="G45" s="672"/>
      <c r="O45" s="545"/>
      <c r="P45" s="545" t="s">
        <v>74</v>
      </c>
      <c r="Q45" s="552">
        <f>1-Q44</f>
        <v>0.15056461731493098</v>
      </c>
      <c r="R45" s="545"/>
      <c r="S45" s="545"/>
      <c r="T45" s="545"/>
      <c r="U45" s="545"/>
      <c r="V45" s="545"/>
      <c r="W45" s="545"/>
      <c r="X45" s="545"/>
      <c r="Y45" s="545"/>
      <c r="Z45" s="545"/>
      <c r="AA45" s="545"/>
      <c r="AB45" s="545"/>
      <c r="AC45" s="545"/>
      <c r="AD45" s="545"/>
      <c r="AS45" s="558"/>
      <c r="AY45" s="558"/>
      <c r="BF45" s="633" t="s">
        <v>5</v>
      </c>
      <c r="BG45" s="640">
        <f>SUM(BG39,BM39,BG24)</f>
        <v>328.46023708350589</v>
      </c>
      <c r="BH45" s="634">
        <f>BJ51/2</f>
        <v>445</v>
      </c>
      <c r="BJ45" s="558"/>
      <c r="BL45" s="608" t="s">
        <v>410</v>
      </c>
      <c r="BM45" s="616">
        <f>BN45/SUM(BN45:BN47)*BM48</f>
        <v>80.280553821532791</v>
      </c>
      <c r="BN45" s="613">
        <f>0+5</f>
        <v>5</v>
      </c>
    </row>
    <row r="46" spans="2:71" x14ac:dyDescent="0.25">
      <c r="B46" s="672"/>
      <c r="C46" s="672"/>
      <c r="D46" s="672"/>
      <c r="E46" s="672"/>
      <c r="F46" s="672"/>
      <c r="G46" s="672"/>
      <c r="O46" s="545"/>
      <c r="P46" s="545" t="s">
        <v>431</v>
      </c>
      <c r="Q46" s="553">
        <f>Assumptions!D17</f>
        <v>19.600000000000001</v>
      </c>
      <c r="R46" s="545"/>
      <c r="S46" s="545"/>
      <c r="T46" s="545"/>
      <c r="U46" s="545"/>
      <c r="V46" s="545"/>
      <c r="W46" s="545"/>
      <c r="X46" s="545"/>
      <c r="Y46" s="545"/>
      <c r="Z46" s="545"/>
      <c r="AA46" s="545"/>
      <c r="AB46" s="545"/>
      <c r="AC46" s="545"/>
      <c r="AD46" s="545"/>
      <c r="AS46" s="558"/>
      <c r="AY46" s="558"/>
      <c r="BJ46" s="558"/>
      <c r="BL46" s="610" t="s">
        <v>409</v>
      </c>
      <c r="BM46" s="551">
        <f>BN46/SUM(BN45:BN47)*BM48</f>
        <v>240.84166146459839</v>
      </c>
      <c r="BN46" s="614">
        <f>10+5</f>
        <v>15</v>
      </c>
    </row>
    <row r="47" spans="2:71" x14ac:dyDescent="0.25">
      <c r="B47" s="672" t="s">
        <v>553</v>
      </c>
      <c r="C47" s="672"/>
      <c r="D47" s="672"/>
      <c r="E47" s="672"/>
      <c r="F47" s="672"/>
      <c r="G47" s="672"/>
      <c r="O47" s="545"/>
      <c r="P47" s="545" t="s">
        <v>432</v>
      </c>
      <c r="Q47" s="553">
        <f>Assumptions!D18</f>
        <v>33.5</v>
      </c>
      <c r="R47" s="545"/>
      <c r="S47" s="545"/>
      <c r="T47" s="545"/>
      <c r="U47" s="545"/>
      <c r="V47" s="545"/>
      <c r="W47" s="545"/>
      <c r="X47" s="545"/>
      <c r="Y47" s="545"/>
      <c r="Z47" s="545"/>
      <c r="AA47" s="545"/>
      <c r="AB47" s="545"/>
      <c r="AC47" s="545"/>
      <c r="AD47" s="545"/>
      <c r="AS47" s="558"/>
      <c r="AY47" s="558"/>
      <c r="BJ47" s="558"/>
      <c r="BL47" s="611" t="s">
        <v>408</v>
      </c>
      <c r="BM47" s="637">
        <f>BN47/SUM(BN45:BN47)*BM48</f>
        <v>240.84166146459839</v>
      </c>
      <c r="BN47" s="612">
        <f>5+10</f>
        <v>15</v>
      </c>
    </row>
    <row r="48" spans="2:71" x14ac:dyDescent="0.25">
      <c r="B48" s="672"/>
      <c r="C48" s="672"/>
      <c r="D48" s="672"/>
      <c r="E48" s="672"/>
      <c r="F48" s="672"/>
      <c r="G48" s="672"/>
      <c r="O48" s="545"/>
      <c r="P48" s="545" t="s">
        <v>434</v>
      </c>
      <c r="Q48" s="550">
        <v>1.67</v>
      </c>
      <c r="R48" s="545"/>
      <c r="S48" s="545"/>
      <c r="T48" s="545"/>
      <c r="U48" s="545"/>
      <c r="V48" s="545"/>
      <c r="W48" s="545"/>
      <c r="X48" s="545"/>
      <c r="Y48" s="545"/>
      <c r="Z48" s="545"/>
      <c r="AA48" s="545"/>
      <c r="AB48" s="545"/>
      <c r="AC48" s="545"/>
      <c r="AD48" s="545"/>
      <c r="BJ48" s="558"/>
      <c r="BL48" s="611" t="s">
        <v>5</v>
      </c>
      <c r="BM48" s="645">
        <f>BJ51*BI52</f>
        <v>561.96387675072958</v>
      </c>
      <c r="BN48" s="632">
        <f>SUM(BN45:BN47)</f>
        <v>35</v>
      </c>
      <c r="BR48" s="643"/>
    </row>
    <row r="49" spans="2:70" x14ac:dyDescent="0.25">
      <c r="B49" s="672"/>
      <c r="C49" s="672"/>
      <c r="D49" s="672"/>
      <c r="E49" s="672"/>
      <c r="F49" s="672"/>
      <c r="G49" s="672"/>
      <c r="O49" s="545"/>
      <c r="P49" s="545" t="s">
        <v>449</v>
      </c>
      <c r="Q49" s="553">
        <f>Q44*Q46*Q48+Q45*Q47</f>
        <v>32.847633626097867</v>
      </c>
      <c r="R49" s="545"/>
      <c r="S49" s="545"/>
      <c r="T49" s="545"/>
      <c r="U49" s="545"/>
      <c r="V49" s="545"/>
      <c r="W49" s="545"/>
      <c r="X49" s="545"/>
      <c r="Y49" s="545"/>
      <c r="Z49" s="545"/>
      <c r="AA49" s="545"/>
      <c r="AB49" s="545"/>
      <c r="AC49" s="545"/>
      <c r="AD49" s="545"/>
      <c r="BJ49" s="558"/>
      <c r="BR49" s="643"/>
    </row>
    <row r="50" spans="2:70" ht="15.75" thickBot="1" x14ac:dyDescent="0.3">
      <c r="B50" s="672"/>
      <c r="C50" s="672"/>
      <c r="D50" s="672"/>
      <c r="E50" s="672"/>
      <c r="F50" s="672"/>
      <c r="G50" s="672"/>
      <c r="O50" s="545"/>
      <c r="P50" s="545" t="s">
        <v>450</v>
      </c>
      <c r="Q50" s="554">
        <f>Q43*Q49</f>
        <v>32211.992369141775</v>
      </c>
      <c r="R50" s="545"/>
      <c r="S50" s="545"/>
      <c r="T50" s="545"/>
      <c r="U50" s="545"/>
      <c r="V50" s="545"/>
      <c r="W50" s="545"/>
      <c r="X50" s="545"/>
      <c r="Y50" s="545"/>
      <c r="Z50" s="545"/>
      <c r="AA50" s="545"/>
      <c r="AB50" s="545"/>
      <c r="AC50" s="545"/>
      <c r="AD50" s="545"/>
      <c r="BR50" s="643"/>
    </row>
    <row r="51" spans="2:70" ht="18.75" x14ac:dyDescent="0.3">
      <c r="B51" s="672"/>
      <c r="C51" s="672"/>
      <c r="D51" s="672"/>
      <c r="E51" s="672"/>
      <c r="F51" s="672"/>
      <c r="G51" s="672"/>
      <c r="O51" s="545"/>
      <c r="P51" s="545"/>
      <c r="Q51" s="545"/>
      <c r="R51" s="545"/>
      <c r="S51" s="545"/>
      <c r="T51" s="545"/>
      <c r="U51" s="545"/>
      <c r="V51" s="545"/>
      <c r="W51" s="545"/>
      <c r="X51" s="545"/>
      <c r="Y51" s="545"/>
      <c r="Z51" s="545"/>
      <c r="AA51" s="545"/>
      <c r="AB51" s="545"/>
      <c r="AC51" s="545"/>
      <c r="AD51" s="545"/>
      <c r="AL51" s="606" t="s">
        <v>527</v>
      </c>
      <c r="AM51" s="598"/>
      <c r="AN51" s="598"/>
      <c r="AO51" s="598"/>
      <c r="AP51" s="598"/>
      <c r="AQ51" s="598"/>
      <c r="AR51" s="598"/>
      <c r="AS51" s="598"/>
      <c r="AT51" s="598"/>
      <c r="AU51" s="598"/>
      <c r="AV51" s="598"/>
      <c r="AW51" s="598"/>
      <c r="AX51" s="598"/>
      <c r="AY51" s="598"/>
      <c r="AZ51" s="598"/>
      <c r="BA51" s="598"/>
      <c r="BB51" s="598"/>
      <c r="BC51" s="598"/>
      <c r="BD51" s="599"/>
      <c r="BJ51" s="608">
        <v>890</v>
      </c>
      <c r="BK51" s="609">
        <f>SUM(BM48,BG45)</f>
        <v>890.42411383423541</v>
      </c>
      <c r="BQ51" s="643"/>
      <c r="BR51" s="643"/>
    </row>
    <row r="52" spans="2:70" ht="15.75" thickBot="1" x14ac:dyDescent="0.3">
      <c r="O52" s="545"/>
      <c r="P52" s="545"/>
      <c r="Q52" s="545"/>
      <c r="R52" s="545"/>
      <c r="S52" s="545"/>
      <c r="T52" s="545"/>
      <c r="U52" s="545"/>
      <c r="V52" s="545"/>
      <c r="W52" s="545"/>
      <c r="X52" s="545"/>
      <c r="Y52" s="545"/>
      <c r="Z52" s="545"/>
      <c r="AA52" s="545"/>
      <c r="AB52" s="545"/>
      <c r="AC52" s="545"/>
      <c r="AD52" s="545"/>
      <c r="AL52" s="600"/>
      <c r="AM52" s="601"/>
      <c r="AN52" s="601"/>
      <c r="AO52" s="601"/>
      <c r="AP52" s="601"/>
      <c r="AQ52" s="601"/>
      <c r="AR52" s="601"/>
      <c r="AS52" s="601"/>
      <c r="AT52" s="601"/>
      <c r="AU52" s="601"/>
      <c r="AV52" s="601"/>
      <c r="AW52" s="601"/>
      <c r="AX52" s="601"/>
      <c r="AY52" s="601"/>
      <c r="AZ52" s="601"/>
      <c r="BA52" s="601"/>
      <c r="BB52" s="601"/>
      <c r="BC52" s="601"/>
      <c r="BD52" s="602"/>
      <c r="BI52" s="202">
        <v>0.63142008623677481</v>
      </c>
      <c r="BJ52" s="639" t="s">
        <v>17</v>
      </c>
      <c r="BK52" s="621" t="s">
        <v>531</v>
      </c>
      <c r="BQ52" s="643"/>
    </row>
    <row r="53" spans="2:70" x14ac:dyDescent="0.25">
      <c r="O53" s="545"/>
      <c r="P53" s="545"/>
      <c r="Q53" s="545"/>
      <c r="R53" s="545"/>
      <c r="S53" s="545"/>
      <c r="T53" s="545"/>
      <c r="U53" s="545"/>
      <c r="V53" s="545"/>
      <c r="W53" s="545"/>
      <c r="X53" s="545"/>
      <c r="Y53" s="545"/>
      <c r="Z53" s="545"/>
      <c r="AA53" s="545"/>
      <c r="AB53" s="545"/>
      <c r="AC53" s="545"/>
      <c r="AD53" s="545"/>
      <c r="AL53" s="607" t="s">
        <v>528</v>
      </c>
      <c r="AM53" s="598"/>
      <c r="AN53" s="598"/>
      <c r="AO53" s="598"/>
      <c r="AP53" s="598"/>
      <c r="AQ53" s="598"/>
      <c r="AR53" s="598"/>
      <c r="AS53" s="598"/>
      <c r="AT53" s="599"/>
      <c r="AU53" s="601"/>
      <c r="AV53" s="607" t="s">
        <v>529</v>
      </c>
      <c r="AW53" s="598"/>
      <c r="AX53" s="598"/>
      <c r="AY53" s="598"/>
      <c r="AZ53" s="598"/>
      <c r="BA53" s="598"/>
      <c r="BB53" s="598"/>
      <c r="BC53" s="598"/>
      <c r="BD53" s="599"/>
      <c r="BJ53" s="766" t="s">
        <v>351</v>
      </c>
      <c r="BK53" s="768"/>
    </row>
    <row r="54" spans="2:70" x14ac:dyDescent="0.25">
      <c r="O54" s="545"/>
      <c r="P54" s="545"/>
      <c r="Q54" s="545"/>
      <c r="R54" s="545"/>
      <c r="S54" s="545"/>
      <c r="T54" s="545"/>
      <c r="U54" s="545"/>
      <c r="V54" s="545"/>
      <c r="W54" s="545"/>
      <c r="X54" s="545"/>
      <c r="Y54" s="545"/>
      <c r="Z54" s="545"/>
      <c r="AA54" s="545"/>
      <c r="AB54" s="545"/>
      <c r="AC54" s="545"/>
      <c r="AD54" s="545"/>
      <c r="AL54" s="600"/>
      <c r="AM54" s="601"/>
      <c r="AN54" s="601"/>
      <c r="AO54" s="601"/>
      <c r="AP54" s="601"/>
      <c r="AQ54" s="601"/>
      <c r="AR54" s="601"/>
      <c r="AS54" s="601"/>
      <c r="AT54" s="602"/>
      <c r="AU54" s="601"/>
      <c r="AV54" s="600"/>
      <c r="AW54" s="601"/>
      <c r="AX54" s="601"/>
      <c r="AY54" s="601"/>
      <c r="AZ54" s="601"/>
      <c r="BA54" s="601"/>
      <c r="BB54" s="601"/>
      <c r="BC54" s="601"/>
      <c r="BD54" s="602"/>
    </row>
    <row r="55" spans="2:70" x14ac:dyDescent="0.25">
      <c r="O55" s="545"/>
      <c r="P55" s="545"/>
      <c r="Q55" s="545"/>
      <c r="R55" s="545"/>
      <c r="S55" s="545"/>
      <c r="T55" s="545"/>
      <c r="U55" s="545"/>
      <c r="V55" s="545"/>
      <c r="W55" s="545"/>
      <c r="X55" s="545"/>
      <c r="Y55" s="545"/>
      <c r="Z55" s="545"/>
      <c r="AA55" s="545"/>
      <c r="AB55" s="545"/>
      <c r="AC55" s="545"/>
      <c r="AD55" s="545"/>
      <c r="AL55" s="600"/>
      <c r="AM55" s="601"/>
      <c r="AN55" s="601"/>
      <c r="AO55" s="601"/>
      <c r="AP55" s="601"/>
      <c r="AQ55" s="601"/>
      <c r="AR55" s="601"/>
      <c r="AS55" s="601"/>
      <c r="AT55" s="602"/>
      <c r="AU55" s="601"/>
      <c r="AV55" s="600"/>
      <c r="AW55" s="601"/>
      <c r="AX55" s="601"/>
      <c r="AY55" s="601"/>
      <c r="AZ55" s="601"/>
      <c r="BA55" s="601"/>
      <c r="BB55" s="601"/>
      <c r="BC55" s="601"/>
      <c r="BD55" s="602"/>
    </row>
    <row r="56" spans="2:70" x14ac:dyDescent="0.25">
      <c r="O56" s="545"/>
      <c r="P56" s="545"/>
      <c r="Q56" s="545"/>
      <c r="R56" s="545"/>
      <c r="S56" s="545"/>
      <c r="T56" s="545"/>
      <c r="U56" s="545"/>
      <c r="V56" s="545"/>
      <c r="W56" s="545"/>
      <c r="X56" s="545"/>
      <c r="Y56" s="545"/>
      <c r="Z56" s="545"/>
      <c r="AA56" s="545"/>
      <c r="AB56" s="545"/>
      <c r="AC56" s="545"/>
      <c r="AD56" s="545"/>
      <c r="AL56" s="600"/>
      <c r="AM56" s="601"/>
      <c r="AN56" s="601"/>
      <c r="AO56" s="601"/>
      <c r="AP56" s="601"/>
      <c r="AQ56" s="601"/>
      <c r="AR56" s="601"/>
      <c r="AS56" s="601"/>
      <c r="AT56" s="602"/>
      <c r="AU56" s="601"/>
      <c r="AV56" s="600"/>
      <c r="AW56" s="601"/>
      <c r="AX56" s="601"/>
      <c r="AY56" s="601"/>
      <c r="AZ56" s="601"/>
      <c r="BA56" s="601"/>
      <c r="BB56" s="601"/>
      <c r="BC56" s="601"/>
      <c r="BD56" s="602"/>
    </row>
    <row r="57" spans="2:70" x14ac:dyDescent="0.25">
      <c r="O57" s="545"/>
      <c r="P57" s="545"/>
      <c r="Q57" s="545"/>
      <c r="R57" s="545"/>
      <c r="S57" s="545"/>
      <c r="T57" s="545"/>
      <c r="U57" s="545"/>
      <c r="V57" s="545"/>
      <c r="W57" s="545"/>
      <c r="X57" s="545"/>
      <c r="Y57" s="545"/>
      <c r="Z57" s="545"/>
      <c r="AA57" s="545"/>
      <c r="AB57" s="545"/>
      <c r="AC57" s="545"/>
      <c r="AD57" s="545"/>
      <c r="AL57" s="600"/>
      <c r="AM57" s="601"/>
      <c r="AN57" s="601"/>
      <c r="AO57" s="601"/>
      <c r="AP57" s="601"/>
      <c r="AQ57" s="601"/>
      <c r="AR57" s="601"/>
      <c r="AS57" s="601"/>
      <c r="AT57" s="602"/>
      <c r="AU57" s="601"/>
      <c r="AV57" s="600"/>
      <c r="AW57" s="601"/>
      <c r="AX57" s="601"/>
      <c r="AY57" s="601"/>
      <c r="AZ57" s="601"/>
      <c r="BA57" s="601"/>
      <c r="BB57" s="601"/>
      <c r="BC57" s="601"/>
      <c r="BD57" s="602"/>
      <c r="BR57" s="61"/>
    </row>
    <row r="58" spans="2:70" x14ac:dyDescent="0.25">
      <c r="O58" s="545"/>
      <c r="P58" s="545"/>
      <c r="Q58" s="545"/>
      <c r="R58" s="545"/>
      <c r="S58" s="545"/>
      <c r="T58" s="545"/>
      <c r="U58" s="545"/>
      <c r="V58" s="545"/>
      <c r="W58" s="545"/>
      <c r="X58" s="545"/>
      <c r="Y58" s="545"/>
      <c r="Z58" s="545"/>
      <c r="AA58" s="545"/>
      <c r="AB58" s="545"/>
      <c r="AC58" s="545"/>
      <c r="AD58" s="545"/>
      <c r="AL58" s="600"/>
      <c r="AM58" s="601"/>
      <c r="AN58" s="601"/>
      <c r="AO58" s="601"/>
      <c r="AP58" s="601"/>
      <c r="AQ58" s="601"/>
      <c r="AR58" s="601"/>
      <c r="AS58" s="601"/>
      <c r="AT58" s="602"/>
      <c r="AU58" s="601"/>
      <c r="AV58" s="600"/>
      <c r="AW58" s="601"/>
      <c r="AX58" s="601"/>
      <c r="AY58" s="601"/>
      <c r="AZ58" s="601"/>
      <c r="BA58" s="601"/>
      <c r="BB58" s="601"/>
      <c r="BC58" s="601"/>
      <c r="BD58" s="602"/>
      <c r="BR58" s="61"/>
    </row>
    <row r="59" spans="2:70" x14ac:dyDescent="0.25">
      <c r="O59" s="545"/>
      <c r="P59" s="545"/>
      <c r="Q59" s="545"/>
      <c r="R59" s="545"/>
      <c r="S59" s="545"/>
      <c r="T59" s="545"/>
      <c r="U59" s="545"/>
      <c r="V59" s="545"/>
      <c r="W59" s="545"/>
      <c r="X59" s="545"/>
      <c r="Y59" s="545"/>
      <c r="Z59" s="545"/>
      <c r="AA59" s="545"/>
      <c r="AB59" s="545"/>
      <c r="AC59" s="545"/>
      <c r="AD59" s="545"/>
      <c r="AL59" s="600"/>
      <c r="AM59" s="601"/>
      <c r="AN59" s="601"/>
      <c r="AO59" s="601"/>
      <c r="AP59" s="601"/>
      <c r="AQ59" s="601"/>
      <c r="AR59" s="601"/>
      <c r="AS59" s="601"/>
      <c r="AT59" s="602"/>
      <c r="AU59" s="601"/>
      <c r="AV59" s="600"/>
      <c r="AW59" s="601"/>
      <c r="AX59" s="601"/>
      <c r="AY59" s="601"/>
      <c r="AZ59" s="601"/>
      <c r="BA59" s="601"/>
      <c r="BB59" s="601"/>
      <c r="BC59" s="601"/>
      <c r="BD59" s="602"/>
      <c r="BR59" s="61"/>
    </row>
    <row r="60" spans="2:70" x14ac:dyDescent="0.25">
      <c r="O60" s="545"/>
      <c r="P60" s="545"/>
      <c r="Q60" s="545"/>
      <c r="R60" s="545"/>
      <c r="S60" s="545"/>
      <c r="T60" s="545"/>
      <c r="U60" s="545"/>
      <c r="V60" s="545"/>
      <c r="W60" s="545"/>
      <c r="X60" s="545"/>
      <c r="Y60" s="545"/>
      <c r="Z60" s="545"/>
      <c r="AA60" s="545"/>
      <c r="AB60" s="545"/>
      <c r="AC60" s="545"/>
      <c r="AD60" s="545"/>
      <c r="AL60" s="600"/>
      <c r="AM60" s="601"/>
      <c r="AN60" s="601"/>
      <c r="AO60" s="601"/>
      <c r="AP60" s="601"/>
      <c r="AQ60" s="601"/>
      <c r="AR60" s="601"/>
      <c r="AS60" s="601"/>
      <c r="AT60" s="602"/>
      <c r="AU60" s="601"/>
      <c r="AV60" s="600"/>
      <c r="AW60" s="601"/>
      <c r="AX60" s="601"/>
      <c r="AY60" s="601"/>
      <c r="AZ60" s="601"/>
      <c r="BA60" s="601"/>
      <c r="BB60" s="601"/>
      <c r="BC60" s="601"/>
      <c r="BD60" s="602"/>
      <c r="BR60" s="61"/>
    </row>
    <row r="61" spans="2:70" x14ac:dyDescent="0.25">
      <c r="O61" s="545"/>
      <c r="P61" s="545"/>
      <c r="Q61" s="545"/>
      <c r="R61" s="545"/>
      <c r="S61" s="545"/>
      <c r="T61" s="545"/>
      <c r="U61" s="545"/>
      <c r="V61" s="545"/>
      <c r="W61" s="545"/>
      <c r="X61" s="545"/>
      <c r="Y61" s="545"/>
      <c r="Z61" s="545"/>
      <c r="AA61" s="545"/>
      <c r="AB61" s="545"/>
      <c r="AC61" s="545"/>
      <c r="AD61" s="545"/>
      <c r="AL61" s="600"/>
      <c r="AM61" s="601"/>
      <c r="AN61" s="601"/>
      <c r="AO61" s="601"/>
      <c r="AP61" s="601"/>
      <c r="AQ61" s="601"/>
      <c r="AR61" s="601"/>
      <c r="AS61" s="601"/>
      <c r="AT61" s="602"/>
      <c r="AU61" s="601"/>
      <c r="AV61" s="600"/>
      <c r="AW61" s="601"/>
      <c r="AX61" s="601"/>
      <c r="AY61" s="601"/>
      <c r="AZ61" s="601"/>
      <c r="BA61" s="601"/>
      <c r="BB61" s="601"/>
      <c r="BC61" s="601"/>
      <c r="BD61" s="602"/>
      <c r="BR61" s="61"/>
    </row>
    <row r="62" spans="2:70" x14ac:dyDescent="0.25">
      <c r="O62" s="545"/>
      <c r="P62" s="545"/>
      <c r="Q62" s="545"/>
      <c r="R62" s="545"/>
      <c r="S62" s="545"/>
      <c r="T62" s="545"/>
      <c r="U62" s="545"/>
      <c r="V62" s="545"/>
      <c r="W62" s="545"/>
      <c r="X62" s="545"/>
      <c r="Y62" s="545"/>
      <c r="Z62" s="545"/>
      <c r="AA62" s="545"/>
      <c r="AB62" s="545"/>
      <c r="AC62" s="545"/>
      <c r="AD62" s="545"/>
      <c r="AL62" s="600"/>
      <c r="AM62" s="601"/>
      <c r="AN62" s="601"/>
      <c r="AO62" s="601"/>
      <c r="AP62" s="601"/>
      <c r="AQ62" s="601"/>
      <c r="AR62" s="601"/>
      <c r="AS62" s="601"/>
      <c r="AT62" s="602"/>
      <c r="AU62" s="601"/>
      <c r="AV62" s="600"/>
      <c r="AW62" s="601"/>
      <c r="AX62" s="601"/>
      <c r="AY62" s="601"/>
      <c r="AZ62" s="601"/>
      <c r="BA62" s="601"/>
      <c r="BB62" s="601"/>
      <c r="BC62" s="601"/>
      <c r="BD62" s="602"/>
      <c r="BR62" s="61"/>
    </row>
    <row r="63" spans="2:70" x14ac:dyDescent="0.25">
      <c r="O63" s="545"/>
      <c r="P63" s="545"/>
      <c r="Q63" s="545"/>
      <c r="R63" s="545"/>
      <c r="S63" s="545"/>
      <c r="T63" s="545"/>
      <c r="U63" s="545"/>
      <c r="V63" s="545"/>
      <c r="W63" s="545"/>
      <c r="X63" s="545"/>
      <c r="Y63" s="545"/>
      <c r="Z63" s="545"/>
      <c r="AA63" s="545"/>
      <c r="AB63" s="545"/>
      <c r="AC63" s="545"/>
      <c r="AD63" s="545"/>
      <c r="AL63" s="600"/>
      <c r="AM63" s="601"/>
      <c r="AN63" s="601"/>
      <c r="AO63" s="601"/>
      <c r="AP63" s="601"/>
      <c r="AQ63" s="601"/>
      <c r="AR63" s="601"/>
      <c r="AS63" s="601"/>
      <c r="AT63" s="602"/>
      <c r="AU63" s="601"/>
      <c r="AV63" s="600"/>
      <c r="AW63" s="601"/>
      <c r="AX63" s="601"/>
      <c r="AY63" s="601"/>
      <c r="AZ63" s="601"/>
      <c r="BA63" s="601"/>
      <c r="BB63" s="601"/>
      <c r="BC63" s="601"/>
      <c r="BD63" s="602"/>
      <c r="BR63" s="61"/>
    </row>
    <row r="64" spans="2:70" x14ac:dyDescent="0.25">
      <c r="O64" s="545"/>
      <c r="P64" s="545"/>
      <c r="Q64" s="545"/>
      <c r="R64" s="545"/>
      <c r="S64" s="545"/>
      <c r="T64" s="545"/>
      <c r="U64" s="545"/>
      <c r="V64" s="545"/>
      <c r="W64" s="545"/>
      <c r="X64" s="545"/>
      <c r="Y64" s="545"/>
      <c r="Z64" s="545"/>
      <c r="AA64" s="545"/>
      <c r="AB64" s="545"/>
      <c r="AC64" s="545"/>
      <c r="AD64" s="545"/>
      <c r="AL64" s="600"/>
      <c r="AM64" s="601"/>
      <c r="AN64" s="601"/>
      <c r="AO64" s="601"/>
      <c r="AP64" s="601"/>
      <c r="AQ64" s="601"/>
      <c r="AR64" s="601"/>
      <c r="AS64" s="601"/>
      <c r="AT64" s="602"/>
      <c r="AU64" s="601"/>
      <c r="AV64" s="600"/>
      <c r="AW64" s="601"/>
      <c r="AX64" s="601"/>
      <c r="AY64" s="601"/>
      <c r="AZ64" s="601"/>
      <c r="BA64" s="601"/>
      <c r="BB64" s="601"/>
      <c r="BC64" s="601"/>
      <c r="BD64" s="602"/>
      <c r="BR64" s="61"/>
    </row>
    <row r="65" spans="15:70" x14ac:dyDescent="0.25">
      <c r="O65" s="545"/>
      <c r="P65" s="545"/>
      <c r="Q65" s="545"/>
      <c r="R65" s="545"/>
      <c r="S65" s="545"/>
      <c r="T65" s="545"/>
      <c r="U65" s="545"/>
      <c r="V65" s="545"/>
      <c r="W65" s="545"/>
      <c r="X65" s="545"/>
      <c r="Y65" s="545"/>
      <c r="Z65" s="545"/>
      <c r="AA65" s="545"/>
      <c r="AB65" s="545"/>
      <c r="AC65" s="545"/>
      <c r="AD65" s="545"/>
      <c r="AL65" s="600"/>
      <c r="AM65" s="601"/>
      <c r="AN65" s="601"/>
      <c r="AO65" s="601"/>
      <c r="AP65" s="601"/>
      <c r="AQ65" s="601"/>
      <c r="AR65" s="601"/>
      <c r="AS65" s="601"/>
      <c r="AT65" s="602"/>
      <c r="AU65" s="601"/>
      <c r="AV65" s="600"/>
      <c r="AW65" s="601"/>
      <c r="AX65" s="601"/>
      <c r="AY65" s="601"/>
      <c r="AZ65" s="601"/>
      <c r="BA65" s="601"/>
      <c r="BB65" s="601"/>
      <c r="BC65" s="601"/>
      <c r="BD65" s="602"/>
      <c r="BR65" s="61"/>
    </row>
    <row r="66" spans="15:70" x14ac:dyDescent="0.25">
      <c r="O66" s="545"/>
      <c r="P66" s="545"/>
      <c r="Q66" s="545"/>
      <c r="R66" s="545"/>
      <c r="S66" s="545"/>
      <c r="T66" s="545"/>
      <c r="U66" s="545"/>
      <c r="V66" s="545"/>
      <c r="W66" s="545"/>
      <c r="X66" s="545"/>
      <c r="Y66" s="545"/>
      <c r="Z66" s="545"/>
      <c r="AA66" s="545"/>
      <c r="AB66" s="545"/>
      <c r="AC66" s="545"/>
      <c r="AD66" s="545"/>
      <c r="AL66" s="600"/>
      <c r="AM66" s="601"/>
      <c r="AN66" s="601"/>
      <c r="AO66" s="601"/>
      <c r="AP66" s="601"/>
      <c r="AQ66" s="601"/>
      <c r="AR66" s="601"/>
      <c r="AS66" s="601"/>
      <c r="AT66" s="602"/>
      <c r="AU66" s="601"/>
      <c r="AV66" s="600"/>
      <c r="AW66" s="601"/>
      <c r="AX66" s="601"/>
      <c r="AY66" s="601"/>
      <c r="AZ66" s="601"/>
      <c r="BA66" s="601"/>
      <c r="BB66" s="601"/>
      <c r="BC66" s="601"/>
      <c r="BD66" s="602"/>
    </row>
    <row r="67" spans="15:70" x14ac:dyDescent="0.25">
      <c r="O67" s="545"/>
      <c r="P67" s="545"/>
      <c r="Q67" s="545"/>
      <c r="R67" s="545"/>
      <c r="S67" s="545"/>
      <c r="T67" s="545"/>
      <c r="U67" s="545"/>
      <c r="V67" s="545"/>
      <c r="W67" s="545"/>
      <c r="X67" s="545"/>
      <c r="Y67" s="545"/>
      <c r="Z67" s="545"/>
      <c r="AA67" s="545"/>
      <c r="AB67" s="545"/>
      <c r="AC67" s="545"/>
      <c r="AD67" s="545"/>
      <c r="AL67" s="600"/>
      <c r="AM67" s="601"/>
      <c r="AN67" s="601"/>
      <c r="AO67" s="601"/>
      <c r="AP67" s="601"/>
      <c r="AQ67" s="601"/>
      <c r="AR67" s="601"/>
      <c r="AS67" s="601"/>
      <c r="AT67" s="602"/>
      <c r="AU67" s="601"/>
      <c r="AV67" s="600"/>
      <c r="AW67" s="601"/>
      <c r="AX67" s="601"/>
      <c r="AY67" s="601"/>
      <c r="AZ67" s="601"/>
      <c r="BA67" s="601"/>
      <c r="BB67" s="601"/>
      <c r="BC67" s="601"/>
      <c r="BD67" s="602"/>
    </row>
    <row r="68" spans="15:70" ht="15.75" thickBot="1" x14ac:dyDescent="0.3">
      <c r="O68" s="545"/>
      <c r="P68" s="545"/>
      <c r="Q68" s="545"/>
      <c r="R68" s="545"/>
      <c r="S68" s="545"/>
      <c r="T68" s="545"/>
      <c r="U68" s="545"/>
      <c r="V68" s="545"/>
      <c r="W68" s="545"/>
      <c r="X68" s="545"/>
      <c r="Y68" s="545"/>
      <c r="Z68" s="545"/>
      <c r="AA68" s="545"/>
      <c r="AB68" s="545"/>
      <c r="AC68" s="545"/>
      <c r="AD68" s="545"/>
      <c r="AL68" s="603"/>
      <c r="AM68" s="604"/>
      <c r="AN68" s="604"/>
      <c r="AO68" s="604"/>
      <c r="AP68" s="604"/>
      <c r="AQ68" s="604"/>
      <c r="AR68" s="604"/>
      <c r="AS68" s="604"/>
      <c r="AT68" s="605"/>
      <c r="AU68" s="601"/>
      <c r="AV68" s="603"/>
      <c r="AW68" s="604"/>
      <c r="AX68" s="604"/>
      <c r="AY68" s="604"/>
      <c r="AZ68" s="604"/>
      <c r="BA68" s="604"/>
      <c r="BB68" s="604"/>
      <c r="BC68" s="604"/>
      <c r="BD68" s="605"/>
    </row>
    <row r="69" spans="15:70" x14ac:dyDescent="0.25">
      <c r="O69" s="545"/>
      <c r="P69" s="545"/>
      <c r="Q69" s="545"/>
      <c r="R69" s="545"/>
      <c r="S69" s="545"/>
      <c r="T69" s="545"/>
      <c r="U69" s="545"/>
      <c r="V69" s="545"/>
      <c r="W69" s="545"/>
      <c r="X69" s="545"/>
      <c r="Y69" s="545"/>
      <c r="Z69" s="545"/>
      <c r="AA69" s="545"/>
      <c r="AB69" s="545"/>
      <c r="AC69" s="545"/>
      <c r="AD69" s="545"/>
      <c r="AL69" s="600"/>
      <c r="AM69" s="601"/>
      <c r="AN69" s="601"/>
      <c r="AO69" s="601"/>
      <c r="AP69" s="601"/>
      <c r="AQ69" s="601"/>
      <c r="AR69" s="601"/>
      <c r="AS69" s="601"/>
      <c r="AT69" s="601"/>
      <c r="AU69" s="601"/>
      <c r="AV69" s="601"/>
      <c r="AW69" s="601"/>
      <c r="AX69" s="601"/>
      <c r="AY69" s="601"/>
      <c r="AZ69" s="601"/>
      <c r="BA69" s="601"/>
      <c r="BB69" s="601"/>
      <c r="BC69" s="601"/>
      <c r="BD69" s="602"/>
    </row>
    <row r="70" spans="15:70" ht="15.75" thickBot="1" x14ac:dyDescent="0.3">
      <c r="O70" s="545"/>
      <c r="P70" s="545"/>
      <c r="Q70" s="545"/>
      <c r="R70" s="545"/>
      <c r="S70" s="545"/>
      <c r="T70" s="545"/>
      <c r="U70" s="545"/>
      <c r="V70" s="545"/>
      <c r="W70" s="545"/>
      <c r="X70" s="545"/>
      <c r="Y70" s="545"/>
      <c r="Z70" s="545"/>
      <c r="AA70" s="545"/>
      <c r="AB70" s="545"/>
      <c r="AC70" s="545"/>
      <c r="AD70" s="545"/>
      <c r="AL70" s="603"/>
      <c r="AM70" s="604"/>
      <c r="AN70" s="604"/>
      <c r="AO70" s="604"/>
      <c r="AP70" s="604"/>
      <c r="AQ70" s="604"/>
      <c r="AR70" s="604"/>
      <c r="AS70" s="604"/>
      <c r="AT70" s="604"/>
      <c r="AU70" s="604"/>
      <c r="AV70" s="604"/>
      <c r="AW70" s="604"/>
      <c r="AX70" s="604"/>
      <c r="AY70" s="604"/>
      <c r="AZ70" s="604"/>
      <c r="BA70" s="604"/>
      <c r="BB70" s="604"/>
      <c r="BC70" s="604"/>
      <c r="BD70" s="605"/>
    </row>
    <row r="71" spans="15:70" x14ac:dyDescent="0.25">
      <c r="O71" s="545"/>
      <c r="P71" s="545"/>
      <c r="Q71" s="545"/>
      <c r="R71" s="545"/>
      <c r="S71" s="545"/>
      <c r="T71" s="545"/>
      <c r="U71" s="545"/>
      <c r="V71" s="545"/>
      <c r="W71" s="545"/>
      <c r="X71" s="545"/>
      <c r="Y71" s="545"/>
      <c r="Z71" s="545"/>
      <c r="AA71" s="545"/>
      <c r="AB71" s="545"/>
      <c r="AC71" s="545"/>
      <c r="AD71" s="545"/>
    </row>
    <row r="73" spans="15:70" ht="21" x14ac:dyDescent="0.35">
      <c r="O73" s="545"/>
      <c r="P73" s="548" t="s">
        <v>468</v>
      </c>
      <c r="Q73" s="545"/>
      <c r="R73" s="545"/>
      <c r="S73" s="545"/>
      <c r="T73" s="545"/>
      <c r="U73" s="545"/>
      <c r="V73" s="545"/>
      <c r="W73" s="545"/>
      <c r="X73" s="545"/>
      <c r="Y73" s="545"/>
      <c r="Z73" s="545"/>
      <c r="AA73" s="545"/>
      <c r="AB73" s="545"/>
      <c r="AC73" s="545"/>
      <c r="AD73" s="545"/>
    </row>
    <row r="74" spans="15:70" x14ac:dyDescent="0.25">
      <c r="O74" s="545"/>
      <c r="P74" s="545"/>
      <c r="Q74" s="545"/>
      <c r="R74" s="545"/>
      <c r="S74" s="545"/>
      <c r="T74" s="545"/>
      <c r="U74" s="545"/>
      <c r="V74" s="545"/>
      <c r="W74" s="545"/>
      <c r="X74" s="545"/>
      <c r="Y74" s="545"/>
      <c r="Z74" s="545"/>
      <c r="AA74" s="545"/>
      <c r="AB74" s="545"/>
      <c r="AC74" s="545"/>
      <c r="AD74" s="545"/>
    </row>
    <row r="75" spans="15:70" x14ac:dyDescent="0.25">
      <c r="O75" s="545"/>
      <c r="P75" s="545" t="s">
        <v>460</v>
      </c>
      <c r="Q75" s="549">
        <f>AA76*AC76+AA77*AC77</f>
        <v>70.845959595959613</v>
      </c>
      <c r="R75" s="545"/>
      <c r="S75" s="545"/>
      <c r="T75" s="545"/>
      <c r="U75" s="545"/>
      <c r="V75" s="545"/>
      <c r="W75" s="545"/>
      <c r="X75" s="545"/>
      <c r="Y75" s="545"/>
      <c r="Z75" s="545"/>
      <c r="AA75" s="545" t="s">
        <v>456</v>
      </c>
      <c r="AB75" s="545" t="s">
        <v>427</v>
      </c>
      <c r="AC75" s="545" t="s">
        <v>462</v>
      </c>
      <c r="AD75" s="545"/>
    </row>
    <row r="76" spans="15:70" x14ac:dyDescent="0.25">
      <c r="O76" s="545"/>
      <c r="P76" s="545" t="s">
        <v>461</v>
      </c>
      <c r="Q76" s="549">
        <f>SUM(AB76:AB77)/Q75*60</f>
        <v>3.3537551238638383</v>
      </c>
      <c r="R76" s="545"/>
      <c r="S76" s="545"/>
      <c r="T76" s="545"/>
      <c r="U76" s="545"/>
      <c r="V76" s="545"/>
      <c r="W76" s="545"/>
      <c r="X76" s="545"/>
      <c r="Y76" s="545"/>
      <c r="Z76" s="545"/>
      <c r="AA76" s="545">
        <v>40</v>
      </c>
      <c r="AB76" s="545">
        <v>0.47</v>
      </c>
      <c r="AC76" s="547">
        <f>AB76/SUM($AB$76:$AB$77)</f>
        <v>0.11868686868686869</v>
      </c>
      <c r="AD76" s="545"/>
    </row>
    <row r="77" spans="15:70" x14ac:dyDescent="0.25">
      <c r="O77" s="545"/>
      <c r="P77" s="545" t="s">
        <v>458</v>
      </c>
      <c r="Q77" s="555">
        <f>SUMPRODUCT(AA80:AA83,AC80:AC83)</f>
        <v>46.352549889135261</v>
      </c>
      <c r="R77" s="545"/>
      <c r="S77" s="545"/>
      <c r="T77" s="545"/>
      <c r="U77" s="545"/>
      <c r="V77" s="545"/>
      <c r="W77" s="545"/>
      <c r="X77" s="545"/>
      <c r="Y77" s="545"/>
      <c r="Z77" s="545"/>
      <c r="AA77" s="545">
        <v>75</v>
      </c>
      <c r="AB77" s="545">
        <v>3.49</v>
      </c>
      <c r="AC77" s="547">
        <f>AB77/SUM($AB$76:$AB$77)</f>
        <v>0.88131313131313138</v>
      </c>
      <c r="AD77" s="545"/>
    </row>
    <row r="78" spans="15:70" x14ac:dyDescent="0.25">
      <c r="O78" s="545"/>
      <c r="P78" s="545" t="s">
        <v>459</v>
      </c>
      <c r="Q78" s="549">
        <f>SUM(AB80:AB83)/Q77*60</f>
        <v>5.8378665391054758</v>
      </c>
      <c r="R78" s="545"/>
      <c r="S78" s="545"/>
      <c r="T78" s="545"/>
      <c r="U78" s="545"/>
      <c r="V78" s="545"/>
      <c r="W78" s="545"/>
      <c r="X78" s="545"/>
      <c r="Y78" s="545"/>
      <c r="Z78" s="545"/>
      <c r="AA78" s="545"/>
      <c r="AB78" s="545"/>
      <c r="AC78" s="545"/>
      <c r="AD78" s="545"/>
    </row>
    <row r="79" spans="15:70" x14ac:dyDescent="0.25">
      <c r="O79" s="545"/>
      <c r="P79" s="545" t="s">
        <v>17</v>
      </c>
      <c r="Q79" s="550">
        <f>AK6+AO6</f>
        <v>840</v>
      </c>
      <c r="R79" s="545"/>
      <c r="S79" s="545"/>
      <c r="T79" s="545"/>
      <c r="U79" s="545"/>
      <c r="V79" s="545"/>
      <c r="W79" s="545"/>
      <c r="X79" s="545"/>
      <c r="Y79" s="545"/>
      <c r="Z79" s="545"/>
      <c r="AA79" s="545" t="s">
        <v>463</v>
      </c>
      <c r="AB79" s="545" t="s">
        <v>427</v>
      </c>
      <c r="AC79" s="545" t="s">
        <v>462</v>
      </c>
      <c r="AD79" s="545"/>
    </row>
    <row r="80" spans="15:70" x14ac:dyDescent="0.25">
      <c r="O80" s="545"/>
      <c r="P80" s="545" t="s">
        <v>446</v>
      </c>
      <c r="Q80" s="549">
        <f>Q78-Q76</f>
        <v>2.4841114152416375</v>
      </c>
      <c r="R80" s="545"/>
      <c r="S80" s="545"/>
      <c r="T80" s="545"/>
      <c r="U80" s="545"/>
      <c r="V80" s="545"/>
      <c r="W80" s="545"/>
      <c r="X80" s="545"/>
      <c r="Y80" s="545"/>
      <c r="Z80" s="545"/>
      <c r="AA80" s="545">
        <v>50</v>
      </c>
      <c r="AB80" s="545">
        <v>0.16</v>
      </c>
      <c r="AC80" s="547">
        <f>AB80/SUM($AB$80:$AB$83)</f>
        <v>3.5476718403547672E-2</v>
      </c>
      <c r="AD80" s="545"/>
    </row>
    <row r="81" spans="15:30" x14ac:dyDescent="0.25">
      <c r="O81" s="545"/>
      <c r="P81" s="545" t="s">
        <v>448</v>
      </c>
      <c r="Q81" s="549">
        <f>Q79*Q80/60</f>
        <v>34.777559813382922</v>
      </c>
      <c r="R81" s="545"/>
      <c r="S81" s="545"/>
      <c r="T81" s="545"/>
      <c r="U81" s="545"/>
      <c r="V81" s="545"/>
      <c r="W81" s="545"/>
      <c r="X81" s="545"/>
      <c r="Y81" s="545"/>
      <c r="Z81" s="545"/>
      <c r="AA81" s="545">
        <v>35</v>
      </c>
      <c r="AB81" s="545">
        <v>0.67</v>
      </c>
      <c r="AC81" s="547">
        <f>AB81/SUM($AB$80:$AB$83)</f>
        <v>0.1485587583148559</v>
      </c>
      <c r="AD81" s="545"/>
    </row>
    <row r="82" spans="15:30" x14ac:dyDescent="0.25">
      <c r="O82" s="545"/>
      <c r="P82" s="545" t="s">
        <v>486</v>
      </c>
      <c r="Q82" s="550">
        <v>90</v>
      </c>
      <c r="R82" s="545"/>
      <c r="S82" s="545"/>
      <c r="T82" s="545"/>
      <c r="U82" s="545"/>
      <c r="V82" s="545"/>
      <c r="W82" s="545"/>
      <c r="X82" s="545"/>
      <c r="Y82" s="545"/>
      <c r="Z82" s="545"/>
      <c r="AA82" s="545">
        <v>50</v>
      </c>
      <c r="AB82" s="545">
        <v>3.04</v>
      </c>
      <c r="AC82" s="547">
        <f>AB82/SUM($AB$80:$AB$83)</f>
        <v>0.67405764966740578</v>
      </c>
      <c r="AD82" s="545"/>
    </row>
    <row r="83" spans="15:30" x14ac:dyDescent="0.25">
      <c r="O83" s="545"/>
      <c r="P83" s="545" t="s">
        <v>447</v>
      </c>
      <c r="Q83" s="551">
        <f>Q81*Q82</f>
        <v>3129.9803832044631</v>
      </c>
      <c r="R83" s="545"/>
      <c r="S83" s="545"/>
      <c r="T83" s="545"/>
      <c r="U83" s="545"/>
      <c r="V83" s="545"/>
      <c r="W83" s="545"/>
      <c r="X83" s="545"/>
      <c r="Y83" s="545"/>
      <c r="Z83" s="545"/>
      <c r="AA83" s="545">
        <v>40</v>
      </c>
      <c r="AB83" s="545">
        <v>0.64</v>
      </c>
      <c r="AC83" s="547">
        <f>AB83/SUM($AB$80:$AB$83)</f>
        <v>0.14190687361419069</v>
      </c>
      <c r="AD83" s="545"/>
    </row>
    <row r="84" spans="15:30" x14ac:dyDescent="0.25">
      <c r="O84" s="545"/>
      <c r="P84" s="545" t="s">
        <v>95</v>
      </c>
      <c r="Q84" s="552">
        <f>(SUM(AK6,AO6)-SUM(AP6,AJ6))/SUM(AK6,AO6)</f>
        <v>0.85119047619047616</v>
      </c>
      <c r="R84" s="545"/>
      <c r="S84" s="545"/>
      <c r="T84" s="545"/>
      <c r="U84" s="545"/>
      <c r="V84" s="545"/>
      <c r="W84" s="545"/>
      <c r="X84" s="545"/>
      <c r="Y84" s="545"/>
      <c r="Z84" s="545"/>
      <c r="AA84" s="545"/>
      <c r="AB84" s="545"/>
      <c r="AC84" s="545"/>
      <c r="AD84" s="545"/>
    </row>
    <row r="85" spans="15:30" x14ac:dyDescent="0.25">
      <c r="O85" s="545"/>
      <c r="P85" s="545" t="s">
        <v>74</v>
      </c>
      <c r="Q85" s="552">
        <f>1-Q84</f>
        <v>0.14880952380952384</v>
      </c>
      <c r="R85" s="545"/>
      <c r="S85" s="545"/>
      <c r="T85" s="545"/>
      <c r="U85" s="545"/>
      <c r="V85" s="545"/>
      <c r="W85" s="545"/>
      <c r="X85" s="545"/>
      <c r="Y85" s="545"/>
      <c r="Z85" s="545"/>
      <c r="AA85" s="545"/>
      <c r="AB85" s="545"/>
      <c r="AC85" s="545"/>
      <c r="AD85" s="545"/>
    </row>
    <row r="86" spans="15:30" x14ac:dyDescent="0.25">
      <c r="O86" s="545"/>
      <c r="P86" s="545" t="s">
        <v>431</v>
      </c>
      <c r="Q86" s="553">
        <f>Assumptions!D17</f>
        <v>19.600000000000001</v>
      </c>
      <c r="R86" s="545"/>
      <c r="S86" s="545"/>
      <c r="T86" s="545"/>
      <c r="U86" s="545"/>
      <c r="V86" s="545"/>
      <c r="W86" s="545"/>
      <c r="X86" s="545"/>
      <c r="Y86" s="545"/>
      <c r="Z86" s="545"/>
      <c r="AA86" s="545"/>
      <c r="AB86" s="545"/>
      <c r="AC86" s="545"/>
      <c r="AD86" s="545"/>
    </row>
    <row r="87" spans="15:30" x14ac:dyDescent="0.25">
      <c r="O87" s="545"/>
      <c r="P87" s="545" t="s">
        <v>432</v>
      </c>
      <c r="Q87" s="553">
        <f>Assumptions!D18</f>
        <v>33.5</v>
      </c>
      <c r="R87" s="545"/>
      <c r="S87" s="545"/>
      <c r="T87" s="545"/>
      <c r="U87" s="545"/>
      <c r="V87" s="545"/>
      <c r="W87" s="545"/>
      <c r="X87" s="545"/>
      <c r="Y87" s="545"/>
      <c r="Z87" s="545"/>
      <c r="AA87" s="545"/>
      <c r="AB87" s="545"/>
      <c r="AC87" s="545"/>
      <c r="AD87" s="545"/>
    </row>
    <row r="88" spans="15:30" x14ac:dyDescent="0.25">
      <c r="O88" s="545"/>
      <c r="P88" s="545" t="s">
        <v>434</v>
      </c>
      <c r="Q88" s="550">
        <v>1.67</v>
      </c>
      <c r="R88" s="545"/>
      <c r="S88" s="545"/>
      <c r="T88" s="545"/>
      <c r="U88" s="545"/>
      <c r="V88" s="545"/>
      <c r="W88" s="545"/>
      <c r="X88" s="545"/>
      <c r="Y88" s="545"/>
      <c r="Z88" s="545"/>
      <c r="AA88" s="545"/>
      <c r="AB88" s="545"/>
      <c r="AC88" s="545"/>
      <c r="AD88" s="545"/>
    </row>
    <row r="89" spans="15:30" x14ac:dyDescent="0.25">
      <c r="O89" s="545"/>
      <c r="P89" s="545" t="s">
        <v>449</v>
      </c>
      <c r="Q89" s="553">
        <f>Q84*Q86*Q88+Q85*Q87</f>
        <v>32.846285714285713</v>
      </c>
      <c r="R89" s="545"/>
      <c r="S89" s="545"/>
      <c r="T89" s="545"/>
      <c r="U89" s="545"/>
      <c r="V89" s="545"/>
      <c r="W89" s="545"/>
      <c r="X89" s="545"/>
      <c r="Y89" s="545"/>
      <c r="Z89" s="545"/>
      <c r="AA89" s="545"/>
      <c r="AB89" s="545"/>
      <c r="AC89" s="545"/>
      <c r="AD89" s="545"/>
    </row>
    <row r="90" spans="15:30" x14ac:dyDescent="0.25">
      <c r="O90" s="545"/>
      <c r="P90" s="545" t="s">
        <v>464</v>
      </c>
      <c r="Q90" s="554">
        <f>Q83*Q89</f>
        <v>102808.22994684328</v>
      </c>
      <c r="R90" s="545"/>
      <c r="S90" s="545"/>
      <c r="T90" s="545"/>
      <c r="U90" s="545"/>
      <c r="V90" s="545"/>
      <c r="W90" s="545"/>
      <c r="X90" s="545"/>
      <c r="Y90" s="545"/>
      <c r="Z90" s="545"/>
      <c r="AA90" s="545"/>
      <c r="AB90" s="545"/>
      <c r="AC90" s="545"/>
      <c r="AD90" s="545"/>
    </row>
    <row r="91" spans="15:30" x14ac:dyDescent="0.25">
      <c r="O91" s="545"/>
      <c r="P91" s="545"/>
      <c r="Q91" s="545"/>
      <c r="R91" s="545"/>
      <c r="S91" s="545"/>
      <c r="T91" s="545"/>
      <c r="U91" s="545"/>
      <c r="V91" s="545"/>
      <c r="W91" s="545"/>
      <c r="X91" s="545"/>
      <c r="Y91" s="545"/>
      <c r="Z91" s="545"/>
      <c r="AA91" s="545"/>
      <c r="AB91" s="545"/>
      <c r="AC91" s="545"/>
      <c r="AD91" s="545"/>
    </row>
    <row r="92" spans="15:30" x14ac:dyDescent="0.25">
      <c r="O92" s="545"/>
      <c r="P92" s="545"/>
      <c r="Q92" s="545"/>
      <c r="R92" s="545"/>
      <c r="S92" s="545"/>
      <c r="T92" s="545"/>
      <c r="U92" s="545"/>
      <c r="V92" s="545"/>
      <c r="W92" s="545"/>
      <c r="X92" s="545"/>
      <c r="Y92" s="545"/>
      <c r="Z92" s="545"/>
      <c r="AA92" s="545"/>
      <c r="AB92" s="545"/>
      <c r="AC92" s="545"/>
      <c r="AD92" s="545"/>
    </row>
    <row r="93" spans="15:30" x14ac:dyDescent="0.25">
      <c r="O93" s="545"/>
      <c r="P93" s="545"/>
      <c r="Q93" s="545"/>
      <c r="R93" s="545"/>
      <c r="S93" s="545"/>
      <c r="T93" s="545"/>
      <c r="U93" s="545"/>
      <c r="V93" s="545"/>
      <c r="W93" s="545"/>
      <c r="X93" s="545"/>
      <c r="Y93" s="545"/>
      <c r="Z93" s="545"/>
      <c r="AA93" s="545"/>
      <c r="AB93" s="545"/>
      <c r="AC93" s="545"/>
      <c r="AD93" s="545"/>
    </row>
    <row r="94" spans="15:30" x14ac:dyDescent="0.25">
      <c r="O94" s="545"/>
      <c r="P94" s="545"/>
      <c r="Q94" s="545"/>
      <c r="R94" s="545"/>
      <c r="S94" s="545"/>
      <c r="T94" s="545"/>
      <c r="U94" s="545"/>
      <c r="V94" s="545"/>
      <c r="W94" s="545"/>
      <c r="X94" s="545"/>
      <c r="Y94" s="545"/>
      <c r="Z94" s="545"/>
      <c r="AA94" s="545"/>
      <c r="AB94" s="545"/>
      <c r="AC94" s="545"/>
      <c r="AD94" s="545"/>
    </row>
    <row r="95" spans="15:30" x14ac:dyDescent="0.25">
      <c r="O95" s="545"/>
      <c r="P95" s="545"/>
      <c r="Q95" s="545"/>
      <c r="R95" s="545"/>
      <c r="S95" s="545"/>
      <c r="T95" s="545"/>
      <c r="U95" s="545"/>
      <c r="V95" s="545"/>
      <c r="W95" s="545"/>
      <c r="X95" s="545"/>
      <c r="Y95" s="545"/>
      <c r="Z95" s="545"/>
      <c r="AA95" s="545"/>
      <c r="AB95" s="545"/>
      <c r="AC95" s="545"/>
      <c r="AD95" s="545"/>
    </row>
    <row r="96" spans="15:30" x14ac:dyDescent="0.25">
      <c r="O96" s="545"/>
      <c r="P96" s="545"/>
      <c r="Q96" s="545"/>
      <c r="R96" s="545"/>
      <c r="S96" s="545"/>
      <c r="T96" s="545"/>
      <c r="U96" s="545"/>
      <c r="V96" s="545"/>
      <c r="W96" s="545"/>
      <c r="X96" s="545"/>
      <c r="Y96" s="545"/>
      <c r="Z96" s="545"/>
      <c r="AA96" s="545"/>
      <c r="AB96" s="545"/>
      <c r="AC96" s="545"/>
      <c r="AD96" s="545"/>
    </row>
    <row r="97" spans="15:30" x14ac:dyDescent="0.25">
      <c r="O97" s="545"/>
      <c r="P97" s="545"/>
      <c r="Q97" s="545"/>
      <c r="R97" s="545"/>
      <c r="S97" s="545"/>
      <c r="T97" s="545"/>
      <c r="U97" s="545"/>
      <c r="V97" s="545"/>
      <c r="W97" s="545"/>
      <c r="X97" s="545"/>
      <c r="Y97" s="545"/>
      <c r="Z97" s="545"/>
      <c r="AA97" s="545"/>
      <c r="AB97" s="545"/>
      <c r="AC97" s="545"/>
      <c r="AD97" s="545"/>
    </row>
    <row r="98" spans="15:30" x14ac:dyDescent="0.25">
      <c r="O98" s="545"/>
      <c r="P98" s="545"/>
      <c r="Q98" s="545"/>
      <c r="R98" s="545"/>
      <c r="S98" s="545"/>
      <c r="T98" s="545"/>
      <c r="U98" s="545"/>
      <c r="V98" s="545"/>
      <c r="W98" s="545"/>
      <c r="X98" s="545"/>
      <c r="Y98" s="545"/>
      <c r="Z98" s="545"/>
      <c r="AA98" s="545"/>
      <c r="AB98" s="545"/>
      <c r="AC98" s="545"/>
      <c r="AD98" s="545"/>
    </row>
    <row r="99" spans="15:30" x14ac:dyDescent="0.25">
      <c r="O99" s="545"/>
      <c r="P99" s="545"/>
      <c r="Q99" s="545"/>
      <c r="R99" s="545"/>
      <c r="S99" s="545"/>
      <c r="T99" s="545"/>
      <c r="U99" s="545"/>
      <c r="V99" s="545"/>
      <c r="W99" s="545"/>
      <c r="X99" s="545"/>
      <c r="Y99" s="545"/>
      <c r="Z99" s="545"/>
      <c r="AA99" s="545"/>
      <c r="AB99" s="545"/>
      <c r="AC99" s="545"/>
      <c r="AD99" s="545"/>
    </row>
    <row r="100" spans="15:30" x14ac:dyDescent="0.25">
      <c r="O100" s="545"/>
      <c r="P100" s="545"/>
      <c r="Q100" s="545"/>
      <c r="R100" s="545"/>
      <c r="S100" s="545"/>
      <c r="T100" s="545"/>
      <c r="U100" s="545"/>
      <c r="V100" s="545"/>
      <c r="W100" s="545"/>
      <c r="X100" s="545"/>
      <c r="Y100" s="545"/>
      <c r="Z100" s="545"/>
      <c r="AA100" s="545"/>
      <c r="AB100" s="545"/>
      <c r="AC100" s="545"/>
      <c r="AD100" s="545"/>
    </row>
    <row r="101" spans="15:30" x14ac:dyDescent="0.25">
      <c r="O101" s="545"/>
      <c r="P101" s="545"/>
      <c r="Q101" s="545"/>
      <c r="R101" s="545"/>
      <c r="S101" s="545"/>
      <c r="T101" s="545"/>
      <c r="U101" s="545"/>
      <c r="V101" s="545"/>
      <c r="W101" s="545"/>
      <c r="X101" s="545"/>
      <c r="Y101" s="545"/>
      <c r="Z101" s="545"/>
      <c r="AA101" s="545"/>
      <c r="AB101" s="545"/>
      <c r="AC101" s="545"/>
      <c r="AD101" s="545"/>
    </row>
    <row r="102" spans="15:30" x14ac:dyDescent="0.25">
      <c r="O102" s="545"/>
      <c r="P102" s="545"/>
      <c r="Q102" s="545"/>
      <c r="R102" s="545"/>
      <c r="S102" s="545"/>
      <c r="T102" s="545"/>
      <c r="U102" s="545"/>
      <c r="V102" s="545"/>
      <c r="W102" s="545"/>
      <c r="X102" s="545"/>
      <c r="Y102" s="545"/>
      <c r="Z102" s="545"/>
      <c r="AA102" s="545"/>
      <c r="AB102" s="545"/>
      <c r="AC102" s="545"/>
      <c r="AD102" s="545"/>
    </row>
    <row r="103" spans="15:30" x14ac:dyDescent="0.25">
      <c r="O103" s="545"/>
      <c r="P103" s="545"/>
      <c r="Q103" s="545"/>
      <c r="R103" s="545"/>
      <c r="S103" s="545"/>
      <c r="T103" s="545"/>
      <c r="U103" s="545"/>
      <c r="V103" s="545"/>
      <c r="W103" s="545"/>
      <c r="X103" s="545"/>
      <c r="Y103" s="545"/>
      <c r="Z103" s="545"/>
      <c r="AA103" s="545"/>
      <c r="AB103" s="545"/>
      <c r="AC103" s="545"/>
      <c r="AD103" s="545"/>
    </row>
    <row r="104" spans="15:30" x14ac:dyDescent="0.25">
      <c r="O104" s="545"/>
      <c r="P104" s="545"/>
      <c r="Q104" s="545"/>
      <c r="R104" s="545"/>
      <c r="S104" s="545"/>
      <c r="T104" s="545"/>
      <c r="U104" s="545"/>
      <c r="V104" s="545"/>
      <c r="W104" s="545"/>
      <c r="X104" s="545"/>
      <c r="Y104" s="545"/>
      <c r="Z104" s="545"/>
      <c r="AA104" s="545"/>
      <c r="AB104" s="545"/>
      <c r="AC104" s="545"/>
      <c r="AD104" s="545"/>
    </row>
    <row r="105" spans="15:30" x14ac:dyDescent="0.25">
      <c r="O105" s="545"/>
      <c r="P105" s="545"/>
      <c r="Q105" s="545"/>
      <c r="R105" s="545"/>
      <c r="S105" s="545"/>
      <c r="T105" s="545"/>
      <c r="U105" s="545"/>
      <c r="V105" s="545"/>
      <c r="W105" s="545"/>
      <c r="X105" s="545"/>
      <c r="Y105" s="545"/>
      <c r="Z105" s="545"/>
      <c r="AA105" s="545"/>
      <c r="AB105" s="545"/>
      <c r="AC105" s="545"/>
      <c r="AD105" s="545"/>
    </row>
    <row r="106" spans="15:30" x14ac:dyDescent="0.25">
      <c r="O106" s="545"/>
      <c r="P106" s="545"/>
      <c r="Q106" s="545"/>
      <c r="R106" s="545"/>
      <c r="S106" s="545"/>
      <c r="T106" s="545"/>
      <c r="U106" s="545"/>
      <c r="V106" s="545"/>
      <c r="W106" s="545"/>
      <c r="X106" s="545"/>
      <c r="Y106" s="545"/>
      <c r="Z106" s="545"/>
      <c r="AA106" s="545"/>
      <c r="AB106" s="545"/>
      <c r="AC106" s="545"/>
      <c r="AD106" s="545"/>
    </row>
    <row r="107" spans="15:30" x14ac:dyDescent="0.25">
      <c r="O107" s="545"/>
      <c r="P107" s="545"/>
      <c r="Q107" s="545"/>
      <c r="R107" s="545"/>
      <c r="S107" s="545"/>
      <c r="T107" s="545"/>
      <c r="U107" s="545"/>
      <c r="V107" s="545"/>
      <c r="W107" s="545"/>
      <c r="X107" s="545"/>
      <c r="Y107" s="545"/>
      <c r="Z107" s="545"/>
      <c r="AA107" s="545"/>
      <c r="AB107" s="545"/>
      <c r="AC107" s="545"/>
      <c r="AD107" s="545"/>
    </row>
    <row r="108" spans="15:30" x14ac:dyDescent="0.25">
      <c r="O108" s="545"/>
      <c r="P108" s="545"/>
      <c r="Q108" s="545"/>
      <c r="R108" s="545"/>
      <c r="S108" s="545"/>
      <c r="T108" s="545"/>
      <c r="U108" s="545"/>
      <c r="V108" s="545"/>
      <c r="W108" s="545"/>
      <c r="X108" s="545"/>
      <c r="Y108" s="545"/>
      <c r="Z108" s="545"/>
      <c r="AA108" s="545"/>
      <c r="AB108" s="545"/>
      <c r="AC108" s="545"/>
      <c r="AD108" s="545"/>
    </row>
    <row r="109" spans="15:30" x14ac:dyDescent="0.25">
      <c r="O109" s="545"/>
      <c r="P109" s="545"/>
      <c r="Q109" s="545"/>
      <c r="R109" s="545"/>
      <c r="S109" s="545"/>
      <c r="T109" s="545"/>
      <c r="U109" s="545"/>
      <c r="V109" s="545"/>
      <c r="W109" s="545"/>
      <c r="X109" s="545"/>
      <c r="Y109" s="545"/>
      <c r="Z109" s="545"/>
      <c r="AA109" s="545"/>
      <c r="AB109" s="545"/>
      <c r="AC109" s="545"/>
      <c r="AD109" s="545"/>
    </row>
    <row r="110" spans="15:30" x14ac:dyDescent="0.25">
      <c r="O110" s="545"/>
      <c r="P110" s="545"/>
      <c r="Q110" s="545"/>
      <c r="R110" s="545"/>
      <c r="S110" s="545"/>
      <c r="T110" s="545"/>
      <c r="U110" s="545"/>
      <c r="V110" s="545"/>
      <c r="W110" s="545"/>
      <c r="X110" s="545"/>
      <c r="Y110" s="545"/>
      <c r="Z110" s="545"/>
      <c r="AA110" s="545"/>
      <c r="AB110" s="545"/>
      <c r="AC110" s="545"/>
      <c r="AD110" s="545"/>
    </row>
    <row r="111" spans="15:30" x14ac:dyDescent="0.25">
      <c r="O111" s="545"/>
      <c r="P111" s="545"/>
      <c r="Q111" s="545"/>
      <c r="R111" s="545"/>
      <c r="S111" s="545"/>
      <c r="T111" s="545"/>
      <c r="U111" s="545"/>
      <c r="V111" s="545"/>
      <c r="W111" s="545"/>
      <c r="X111" s="545"/>
      <c r="Y111" s="545"/>
      <c r="Z111" s="545"/>
      <c r="AA111" s="545"/>
      <c r="AB111" s="545"/>
      <c r="AC111" s="545"/>
      <c r="AD111" s="545"/>
    </row>
    <row r="112" spans="15:30" x14ac:dyDescent="0.25">
      <c r="O112" s="545"/>
      <c r="P112" s="545"/>
      <c r="Q112" s="545"/>
      <c r="R112" s="545"/>
      <c r="S112" s="545"/>
      <c r="T112" s="545"/>
      <c r="U112" s="545"/>
      <c r="V112" s="545"/>
      <c r="W112" s="545"/>
      <c r="X112" s="545"/>
      <c r="Y112" s="545"/>
      <c r="Z112" s="545"/>
      <c r="AA112" s="545"/>
      <c r="AB112" s="545"/>
      <c r="AC112" s="545"/>
      <c r="AD112" s="545"/>
    </row>
    <row r="113" spans="15:30" x14ac:dyDescent="0.25">
      <c r="O113" s="545"/>
      <c r="P113" s="545" t="s">
        <v>460</v>
      </c>
      <c r="Q113" s="549">
        <f>AA114</f>
        <v>50</v>
      </c>
      <c r="R113" s="545"/>
      <c r="S113" s="545"/>
      <c r="T113" s="545"/>
      <c r="U113" s="545"/>
      <c r="V113" s="545"/>
      <c r="W113" s="545"/>
      <c r="X113" s="545"/>
      <c r="Y113" s="545"/>
      <c r="Z113" s="545"/>
      <c r="AA113" s="545" t="s">
        <v>456</v>
      </c>
      <c r="AB113" s="545" t="s">
        <v>427</v>
      </c>
      <c r="AC113" s="545" t="s">
        <v>462</v>
      </c>
      <c r="AD113" s="545"/>
    </row>
    <row r="114" spans="15:30" x14ac:dyDescent="0.25">
      <c r="O114" s="545"/>
      <c r="P114" s="545" t="s">
        <v>461</v>
      </c>
      <c r="Q114" s="549">
        <f>AB114/AA114*60</f>
        <v>0.40800000000000003</v>
      </c>
      <c r="R114" s="545"/>
      <c r="S114" s="545"/>
      <c r="T114" s="545"/>
      <c r="U114" s="545"/>
      <c r="V114" s="545"/>
      <c r="W114" s="545"/>
      <c r="X114" s="545"/>
      <c r="Y114" s="545"/>
      <c r="Z114" s="545"/>
      <c r="AA114" s="545">
        <v>50</v>
      </c>
      <c r="AB114" s="545">
        <v>0.34</v>
      </c>
      <c r="AC114" s="547">
        <f>AB114/SUM($AB$114)</f>
        <v>1</v>
      </c>
      <c r="AD114" s="545"/>
    </row>
    <row r="115" spans="15:30" x14ac:dyDescent="0.25">
      <c r="O115" s="545"/>
      <c r="P115" s="545" t="s">
        <v>458</v>
      </c>
      <c r="Q115" s="555">
        <f>SUMPRODUCT(AA118:AA119,AC118:AC119)</f>
        <v>38.033707865168537</v>
      </c>
      <c r="R115" s="545"/>
      <c r="S115" s="545"/>
      <c r="T115" s="545"/>
      <c r="U115" s="545"/>
      <c r="V115" s="545"/>
      <c r="W115" s="545"/>
      <c r="X115" s="545"/>
      <c r="Y115" s="545"/>
      <c r="Z115" s="545"/>
      <c r="AA115" s="545"/>
      <c r="AB115" s="545"/>
      <c r="AC115" s="547"/>
      <c r="AD115" s="545"/>
    </row>
    <row r="116" spans="15:30" x14ac:dyDescent="0.25">
      <c r="O116" s="545"/>
      <c r="P116" s="545" t="s">
        <v>459</v>
      </c>
      <c r="Q116" s="556">
        <f>SUM(AB118:AB119)/Q115*60</f>
        <v>1.4040177252584933</v>
      </c>
      <c r="R116" s="545"/>
      <c r="S116" s="545"/>
      <c r="T116" s="545"/>
      <c r="U116" s="545"/>
      <c r="V116" s="545"/>
      <c r="W116" s="545"/>
      <c r="X116" s="545"/>
      <c r="Y116" s="545"/>
      <c r="Z116" s="545"/>
      <c r="AA116" s="545"/>
      <c r="AB116" s="545"/>
      <c r="AC116" s="545"/>
      <c r="AD116" s="545"/>
    </row>
    <row r="117" spans="15:30" x14ac:dyDescent="0.25">
      <c r="O117" s="545"/>
      <c r="P117" s="545" t="s">
        <v>17</v>
      </c>
      <c r="Q117" s="550">
        <f>AT4</f>
        <v>1640</v>
      </c>
      <c r="R117" s="545"/>
      <c r="S117" s="545"/>
      <c r="T117" s="545"/>
      <c r="U117" s="545"/>
      <c r="V117" s="545"/>
      <c r="W117" s="545"/>
      <c r="X117" s="545"/>
      <c r="Y117" s="545"/>
      <c r="Z117" s="545"/>
      <c r="AA117" s="545" t="s">
        <v>463</v>
      </c>
      <c r="AB117" s="545" t="s">
        <v>427</v>
      </c>
      <c r="AC117" s="545" t="s">
        <v>462</v>
      </c>
      <c r="AD117" s="545"/>
    </row>
    <row r="118" spans="15:30" x14ac:dyDescent="0.25">
      <c r="O118" s="545"/>
      <c r="P118" s="545" t="s">
        <v>446</v>
      </c>
      <c r="Q118" s="549">
        <f>Q116-Q114</f>
        <v>0.9960177252584933</v>
      </c>
      <c r="R118" s="545"/>
      <c r="S118" s="545"/>
      <c r="T118" s="545"/>
      <c r="U118" s="545"/>
      <c r="V118" s="545"/>
      <c r="W118" s="545"/>
      <c r="X118" s="545"/>
      <c r="Y118" s="545"/>
      <c r="Z118" s="545"/>
      <c r="AA118" s="545">
        <v>50</v>
      </c>
      <c r="AB118" s="545">
        <v>0.18</v>
      </c>
      <c r="AC118" s="547">
        <f>AB118/SUM($AB$118:$AB$119)</f>
        <v>0.20224719101123598</v>
      </c>
      <c r="AD118" s="545"/>
    </row>
    <row r="119" spans="15:30" x14ac:dyDescent="0.25">
      <c r="O119" s="545"/>
      <c r="P119" s="545" t="s">
        <v>448</v>
      </c>
      <c r="Q119" s="549">
        <f>Q117*Q118/60</f>
        <v>27.224484490398819</v>
      </c>
      <c r="R119" s="545"/>
      <c r="S119" s="545"/>
      <c r="T119" s="545"/>
      <c r="U119" s="545"/>
      <c r="V119" s="545"/>
      <c r="W119" s="545"/>
      <c r="X119" s="545"/>
      <c r="Y119" s="545"/>
      <c r="Z119" s="545"/>
      <c r="AA119" s="545">
        <v>35</v>
      </c>
      <c r="AB119" s="545">
        <v>0.71</v>
      </c>
      <c r="AC119" s="547">
        <f>AB119/SUM($AB$118:$AB$119)</f>
        <v>0.79775280898876411</v>
      </c>
      <c r="AD119" s="545"/>
    </row>
    <row r="120" spans="15:30" x14ac:dyDescent="0.25">
      <c r="O120" s="545"/>
      <c r="P120" s="545" t="s">
        <v>486</v>
      </c>
      <c r="Q120" s="550">
        <v>90</v>
      </c>
      <c r="R120" s="545"/>
      <c r="S120" s="545"/>
      <c r="T120" s="545"/>
      <c r="U120" s="545"/>
      <c r="V120" s="545"/>
      <c r="W120" s="545"/>
      <c r="X120" s="545"/>
      <c r="Y120" s="545"/>
      <c r="Z120" s="545"/>
      <c r="AA120" s="545"/>
      <c r="AB120" s="545"/>
      <c r="AC120" s="545"/>
      <c r="AD120" s="545"/>
    </row>
    <row r="121" spans="15:30" x14ac:dyDescent="0.25">
      <c r="O121" s="545"/>
      <c r="P121" s="545" t="s">
        <v>447</v>
      </c>
      <c r="Q121" s="551">
        <f>Q119*Q120</f>
        <v>2450.2036041358938</v>
      </c>
      <c r="R121" s="545"/>
      <c r="S121" s="545"/>
      <c r="T121" s="545"/>
      <c r="U121" s="545"/>
      <c r="V121" s="545"/>
      <c r="W121" s="545"/>
      <c r="X121" s="545"/>
      <c r="Y121" s="545"/>
      <c r="Z121" s="545"/>
      <c r="AA121" s="545"/>
      <c r="AB121" s="545"/>
      <c r="AC121" s="545"/>
      <c r="AD121" s="545"/>
    </row>
    <row r="122" spans="15:30" x14ac:dyDescent="0.25">
      <c r="O122" s="545"/>
      <c r="P122" s="545" t="s">
        <v>95</v>
      </c>
      <c r="Q122" s="552">
        <f>1-AU4/AT4</f>
        <v>0.84943538268506902</v>
      </c>
      <c r="R122" s="545"/>
      <c r="S122" s="545"/>
      <c r="T122" s="545"/>
      <c r="U122" s="545"/>
      <c r="V122" s="545"/>
      <c r="W122" s="545"/>
      <c r="X122" s="545"/>
      <c r="Y122" s="545"/>
      <c r="Z122" s="545"/>
      <c r="AA122" s="545"/>
      <c r="AB122" s="545"/>
      <c r="AC122" s="545"/>
      <c r="AD122" s="545"/>
    </row>
    <row r="123" spans="15:30" x14ac:dyDescent="0.25">
      <c r="O123" s="545"/>
      <c r="P123" s="545" t="s">
        <v>74</v>
      </c>
      <c r="Q123" s="552">
        <f>1-Q122</f>
        <v>0.15056461731493098</v>
      </c>
      <c r="R123" s="545"/>
      <c r="S123" s="545"/>
      <c r="T123" s="545"/>
      <c r="U123" s="545"/>
      <c r="V123" s="545"/>
      <c r="W123" s="545"/>
      <c r="X123" s="545"/>
      <c r="Y123" s="545"/>
      <c r="Z123" s="545"/>
      <c r="AA123" s="545"/>
      <c r="AB123" s="545"/>
      <c r="AC123" s="545"/>
      <c r="AD123" s="545"/>
    </row>
    <row r="124" spans="15:30" x14ac:dyDescent="0.25">
      <c r="O124" s="545"/>
      <c r="P124" s="545" t="s">
        <v>431</v>
      </c>
      <c r="Q124" s="553">
        <f>Assumptions!D17</f>
        <v>19.600000000000001</v>
      </c>
      <c r="R124" s="545"/>
      <c r="S124" s="545"/>
      <c r="T124" s="545"/>
      <c r="U124" s="545"/>
      <c r="V124" s="545"/>
      <c r="W124" s="545"/>
      <c r="X124" s="545"/>
      <c r="Y124" s="545"/>
      <c r="Z124" s="545"/>
      <c r="AA124" s="545"/>
      <c r="AB124" s="545"/>
      <c r="AC124" s="545"/>
      <c r="AD124" s="545"/>
    </row>
    <row r="125" spans="15:30" x14ac:dyDescent="0.25">
      <c r="O125" s="545"/>
      <c r="P125" s="545" t="s">
        <v>432</v>
      </c>
      <c r="Q125" s="553">
        <f>Assumptions!D18</f>
        <v>33.5</v>
      </c>
      <c r="R125" s="545"/>
      <c r="S125" s="545"/>
      <c r="T125" s="545"/>
      <c r="U125" s="545"/>
      <c r="V125" s="545"/>
      <c r="W125" s="545"/>
      <c r="X125" s="545"/>
      <c r="Y125" s="545"/>
      <c r="Z125" s="545"/>
      <c r="AA125" s="545"/>
      <c r="AB125" s="545"/>
      <c r="AC125" s="545"/>
      <c r="AD125" s="545"/>
    </row>
    <row r="126" spans="15:30" x14ac:dyDescent="0.25">
      <c r="O126" s="545"/>
      <c r="P126" s="545" t="s">
        <v>434</v>
      </c>
      <c r="Q126" s="550">
        <v>1.67</v>
      </c>
      <c r="R126" s="545"/>
      <c r="S126" s="545"/>
      <c r="T126" s="545"/>
      <c r="U126" s="545"/>
      <c r="V126" s="545"/>
      <c r="W126" s="545"/>
      <c r="X126" s="545"/>
      <c r="Y126" s="545"/>
      <c r="Z126" s="545"/>
      <c r="AA126" s="545"/>
      <c r="AB126" s="545"/>
      <c r="AC126" s="545"/>
      <c r="AD126" s="545"/>
    </row>
    <row r="127" spans="15:30" x14ac:dyDescent="0.25">
      <c r="O127" s="545"/>
      <c r="P127" s="545" t="s">
        <v>449</v>
      </c>
      <c r="Q127" s="553">
        <f>Q122*Q124*Q126+Q123*Q125</f>
        <v>32.847633626097867</v>
      </c>
      <c r="R127" s="545"/>
      <c r="S127" s="545"/>
      <c r="T127" s="545"/>
      <c r="U127" s="545"/>
      <c r="V127" s="545"/>
      <c r="W127" s="545"/>
      <c r="X127" s="545"/>
      <c r="Y127" s="545"/>
      <c r="Z127" s="545"/>
      <c r="AA127" s="545"/>
      <c r="AB127" s="545"/>
      <c r="AC127" s="545"/>
      <c r="AD127" s="545"/>
    </row>
    <row r="128" spans="15:30" x14ac:dyDescent="0.25">
      <c r="O128" s="545"/>
      <c r="P128" s="545" t="s">
        <v>465</v>
      </c>
      <c r="Q128" s="554">
        <f>Q121*Q127</f>
        <v>80483.390298000377</v>
      </c>
      <c r="R128" s="545"/>
      <c r="S128" s="545"/>
      <c r="T128" s="545"/>
      <c r="U128" s="545"/>
      <c r="V128" s="545"/>
      <c r="W128" s="545"/>
      <c r="X128" s="545"/>
      <c r="Y128" s="545"/>
      <c r="Z128" s="545"/>
      <c r="AA128" s="545"/>
      <c r="AB128" s="545"/>
      <c r="AC128" s="545"/>
      <c r="AD128" s="545"/>
    </row>
    <row r="129" spans="15:30" x14ac:dyDescent="0.25">
      <c r="O129" s="545"/>
      <c r="P129" s="545"/>
      <c r="Q129" s="545"/>
      <c r="R129" s="545"/>
      <c r="S129" s="545"/>
      <c r="T129" s="545"/>
      <c r="U129" s="545"/>
      <c r="V129" s="545"/>
      <c r="W129" s="545"/>
      <c r="X129" s="545"/>
      <c r="Y129" s="545"/>
      <c r="Z129" s="545"/>
      <c r="AA129" s="545"/>
      <c r="AB129" s="545"/>
      <c r="AC129" s="545"/>
      <c r="AD129" s="545"/>
    </row>
    <row r="130" spans="15:30" x14ac:dyDescent="0.25">
      <c r="O130" s="545"/>
      <c r="P130" s="545"/>
      <c r="Q130" s="545"/>
      <c r="R130" s="545"/>
      <c r="S130" s="545"/>
      <c r="T130" s="545"/>
      <c r="U130" s="545"/>
      <c r="V130" s="545"/>
      <c r="W130" s="545"/>
      <c r="X130" s="545"/>
      <c r="Y130" s="545"/>
      <c r="Z130" s="545"/>
      <c r="AA130" s="545"/>
      <c r="AB130" s="545"/>
      <c r="AC130" s="545"/>
      <c r="AD130" s="545"/>
    </row>
    <row r="131" spans="15:30" x14ac:dyDescent="0.25">
      <c r="O131" s="545"/>
      <c r="P131" s="545"/>
      <c r="Q131" s="545"/>
      <c r="R131" s="545"/>
      <c r="S131" s="545"/>
      <c r="T131" s="545"/>
      <c r="U131" s="545"/>
      <c r="V131" s="545"/>
      <c r="W131" s="545"/>
      <c r="X131" s="545"/>
      <c r="Y131" s="545"/>
      <c r="Z131" s="545"/>
      <c r="AA131" s="545"/>
      <c r="AB131" s="545"/>
      <c r="AC131" s="545"/>
      <c r="AD131" s="545"/>
    </row>
    <row r="132" spans="15:30" x14ac:dyDescent="0.25">
      <c r="O132" s="545"/>
      <c r="P132" s="545"/>
      <c r="Q132" s="545"/>
      <c r="R132" s="545"/>
      <c r="S132" s="545"/>
      <c r="T132" s="545"/>
      <c r="U132" s="545"/>
      <c r="V132" s="545"/>
      <c r="W132" s="545"/>
      <c r="X132" s="545"/>
      <c r="Y132" s="545"/>
      <c r="Z132" s="545"/>
      <c r="AA132" s="545"/>
      <c r="AB132" s="545"/>
      <c r="AC132" s="545"/>
      <c r="AD132" s="545"/>
    </row>
    <row r="133" spans="15:30" x14ac:dyDescent="0.25">
      <c r="O133" s="545"/>
      <c r="P133" s="545"/>
      <c r="Q133" s="545"/>
      <c r="R133" s="545"/>
      <c r="S133" s="545"/>
      <c r="T133" s="545"/>
      <c r="U133" s="545"/>
      <c r="V133" s="545"/>
      <c r="W133" s="545"/>
      <c r="X133" s="545"/>
      <c r="Y133" s="545"/>
      <c r="Z133" s="545"/>
      <c r="AA133" s="545"/>
      <c r="AB133" s="545"/>
      <c r="AC133" s="545"/>
      <c r="AD133" s="545"/>
    </row>
    <row r="134" spans="15:30" x14ac:dyDescent="0.25">
      <c r="O134" s="545"/>
      <c r="P134" s="545"/>
      <c r="Q134" s="545"/>
      <c r="R134" s="545"/>
      <c r="S134" s="545"/>
      <c r="T134" s="545"/>
      <c r="U134" s="545"/>
      <c r="V134" s="545"/>
      <c r="W134" s="545"/>
      <c r="X134" s="545"/>
      <c r="Y134" s="545"/>
      <c r="Z134" s="545"/>
      <c r="AA134" s="545"/>
      <c r="AB134" s="545"/>
      <c r="AC134" s="545"/>
      <c r="AD134" s="545"/>
    </row>
    <row r="135" spans="15:30" x14ac:dyDescent="0.25">
      <c r="O135" s="545"/>
      <c r="P135" s="545"/>
      <c r="Q135" s="545"/>
      <c r="R135" s="545"/>
      <c r="S135" s="545"/>
      <c r="T135" s="545"/>
      <c r="U135" s="545"/>
      <c r="V135" s="545"/>
      <c r="W135" s="545"/>
      <c r="X135" s="545"/>
      <c r="Y135" s="545"/>
      <c r="Z135" s="545"/>
      <c r="AA135" s="545"/>
      <c r="AB135" s="545"/>
      <c r="AC135" s="545"/>
      <c r="AD135" s="545"/>
    </row>
    <row r="136" spans="15:30" x14ac:dyDescent="0.25">
      <c r="O136" s="545"/>
      <c r="P136" s="545"/>
      <c r="Q136" s="545"/>
      <c r="R136" s="545"/>
      <c r="S136" s="545"/>
      <c r="T136" s="545"/>
      <c r="U136" s="545"/>
      <c r="V136" s="545"/>
      <c r="W136" s="545"/>
      <c r="X136" s="545"/>
      <c r="Y136" s="545"/>
      <c r="Z136" s="545"/>
      <c r="AA136" s="545"/>
      <c r="AB136" s="545"/>
      <c r="AC136" s="545"/>
      <c r="AD136" s="545"/>
    </row>
    <row r="137" spans="15:30" x14ac:dyDescent="0.25">
      <c r="O137" s="545"/>
      <c r="P137" s="545"/>
      <c r="Q137" s="545"/>
      <c r="R137" s="545"/>
      <c r="S137" s="545"/>
      <c r="T137" s="545"/>
      <c r="U137" s="545"/>
      <c r="V137" s="545"/>
      <c r="W137" s="545"/>
      <c r="X137" s="545"/>
      <c r="Y137" s="545"/>
      <c r="Z137" s="545"/>
      <c r="AA137" s="545"/>
      <c r="AB137" s="545"/>
      <c r="AC137" s="545"/>
      <c r="AD137" s="545"/>
    </row>
    <row r="138" spans="15:30" x14ac:dyDescent="0.25">
      <c r="O138" s="545"/>
      <c r="P138" s="545"/>
      <c r="Q138" s="545"/>
      <c r="R138" s="545"/>
      <c r="S138" s="545"/>
      <c r="T138" s="545"/>
      <c r="U138" s="545"/>
      <c r="V138" s="545"/>
      <c r="W138" s="545"/>
      <c r="X138" s="545"/>
      <c r="Y138" s="545"/>
      <c r="Z138" s="545"/>
      <c r="AA138" s="545"/>
      <c r="AB138" s="545"/>
      <c r="AC138" s="545"/>
      <c r="AD138" s="545"/>
    </row>
    <row r="139" spans="15:30" x14ac:dyDescent="0.25">
      <c r="O139" s="545"/>
      <c r="P139" s="545"/>
      <c r="Q139" s="545"/>
      <c r="R139" s="545"/>
      <c r="S139" s="545"/>
      <c r="T139" s="545"/>
      <c r="U139" s="545"/>
      <c r="V139" s="545"/>
      <c r="W139" s="545"/>
      <c r="X139" s="545"/>
      <c r="Y139" s="545"/>
      <c r="Z139" s="545"/>
      <c r="AA139" s="545"/>
      <c r="AB139" s="545"/>
      <c r="AC139" s="545"/>
      <c r="AD139" s="545"/>
    </row>
    <row r="140" spans="15:30" x14ac:dyDescent="0.25">
      <c r="O140" s="545"/>
      <c r="P140" s="545"/>
      <c r="Q140" s="545"/>
      <c r="R140" s="545"/>
      <c r="S140" s="545"/>
      <c r="T140" s="545"/>
      <c r="U140" s="545"/>
      <c r="V140" s="545"/>
      <c r="W140" s="545"/>
      <c r="X140" s="545"/>
      <c r="Y140" s="545"/>
      <c r="Z140" s="545"/>
      <c r="AA140" s="545"/>
      <c r="AB140" s="545"/>
      <c r="AC140" s="545"/>
      <c r="AD140" s="545"/>
    </row>
    <row r="163" spans="23:23" x14ac:dyDescent="0.25">
      <c r="W163" s="544"/>
    </row>
    <row r="164" spans="23:23" x14ac:dyDescent="0.25">
      <c r="W164" s="544"/>
    </row>
  </sheetData>
  <mergeCells count="31">
    <mergeCell ref="BJ16:BK16"/>
    <mergeCell ref="BL21:BN21"/>
    <mergeCell ref="BF21:BH21"/>
    <mergeCell ref="BF28:BH28"/>
    <mergeCell ref="BB27:BD27"/>
    <mergeCell ref="BR32:BS32"/>
    <mergeCell ref="BB44:BD44"/>
    <mergeCell ref="AU40:AW40"/>
    <mergeCell ref="AU28:AW28"/>
    <mergeCell ref="BJ53:BK53"/>
    <mergeCell ref="BF41:BH41"/>
    <mergeCell ref="BL41:BN41"/>
    <mergeCell ref="BL30:BN30"/>
    <mergeCell ref="BF43:BH43"/>
    <mergeCell ref="BL43:BN43"/>
    <mergeCell ref="C3:D3"/>
    <mergeCell ref="B4:B5"/>
    <mergeCell ref="C4:C5"/>
    <mergeCell ref="D4:D5"/>
    <mergeCell ref="AN41:AP41"/>
    <mergeCell ref="AN24:AP24"/>
    <mergeCell ref="AG32:AH32"/>
    <mergeCell ref="AJ40:AL40"/>
    <mergeCell ref="AJ30:AL30"/>
    <mergeCell ref="J7:M7"/>
    <mergeCell ref="B47:G51"/>
    <mergeCell ref="AS24:AY24"/>
    <mergeCell ref="AS44:AY44"/>
    <mergeCell ref="B16:G27"/>
    <mergeCell ref="B28:G35"/>
    <mergeCell ref="B36:G46"/>
  </mergeCells>
  <phoneticPr fontId="58" type="noConversion"/>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0D4D5B-FA65-487D-85BE-280D557D2555}">
  <sheetPr>
    <tabColor theme="0" tint="-0.499984740745262"/>
  </sheetPr>
  <dimension ref="A1"/>
  <sheetViews>
    <sheetView showGridLines="0" zoomScale="190" zoomScaleNormal="190" workbookViewId="0">
      <selection activeCell="K40" sqref="K40"/>
    </sheetView>
  </sheetViews>
  <sheetFormatPr defaultRowHeight="15" x14ac:dyDescent="0.25"/>
  <sheetData/>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B042EE-D590-4AFB-9E28-FA93D9342389}">
  <sheetPr>
    <tabColor theme="0" tint="-0.499984740745262"/>
  </sheetPr>
  <dimension ref="A1:V59"/>
  <sheetViews>
    <sheetView showGridLines="0" zoomScale="70" zoomScaleNormal="70" workbookViewId="0">
      <selection activeCell="G12" sqref="G12"/>
    </sheetView>
  </sheetViews>
  <sheetFormatPr defaultRowHeight="15" x14ac:dyDescent="0.25"/>
  <cols>
    <col min="2" max="2" width="5.85546875" bestFit="1" customWidth="1"/>
    <col min="3" max="3" width="7.7109375" bestFit="1" customWidth="1"/>
    <col min="4" max="4" width="24.28515625" bestFit="1" customWidth="1"/>
    <col min="5" max="5" width="68.7109375" bestFit="1" customWidth="1"/>
    <col min="6" max="6" width="8.140625" customWidth="1"/>
    <col min="7" max="7" width="17.85546875" customWidth="1"/>
    <col min="8" max="8" width="18.42578125" customWidth="1"/>
    <col min="9" max="11" width="19.140625" bestFit="1" customWidth="1"/>
    <col min="12" max="12" width="17.85546875" bestFit="1" customWidth="1"/>
    <col min="13" max="13" width="62.7109375" bestFit="1" customWidth="1"/>
    <col min="14" max="14" width="9.28515625" bestFit="1" customWidth="1"/>
    <col min="15" max="15" width="17.85546875" bestFit="1" customWidth="1"/>
    <col min="18" max="18" width="18.42578125" bestFit="1" customWidth="1"/>
    <col min="19" max="19" width="10.5703125" bestFit="1" customWidth="1"/>
  </cols>
  <sheetData>
    <row r="1" spans="1:22" ht="15.75" thickBot="1" x14ac:dyDescent="0.3">
      <c r="A1" s="801"/>
      <c r="B1" s="801"/>
      <c r="C1" s="801"/>
      <c r="D1" s="801"/>
      <c r="E1" s="801"/>
      <c r="F1" s="801"/>
      <c r="G1" s="801"/>
      <c r="H1" s="801"/>
      <c r="I1" s="801"/>
      <c r="J1" s="801"/>
      <c r="K1" s="176"/>
      <c r="L1" s="176"/>
      <c r="M1" s="176"/>
      <c r="N1" s="176"/>
      <c r="O1" s="176"/>
      <c r="P1" s="176"/>
      <c r="Q1" s="176"/>
      <c r="R1" s="176"/>
      <c r="S1" s="176"/>
      <c r="T1" s="177"/>
      <c r="U1" s="177"/>
      <c r="V1" s="177"/>
    </row>
    <row r="2" spans="1:22" x14ac:dyDescent="0.25">
      <c r="A2" s="176"/>
      <c r="B2" s="802"/>
      <c r="C2" s="803"/>
      <c r="D2" s="803"/>
      <c r="E2" s="803"/>
      <c r="F2" s="803"/>
      <c r="G2" s="803"/>
      <c r="H2" s="803"/>
      <c r="I2" s="803"/>
      <c r="J2" s="179"/>
      <c r="K2" s="179"/>
      <c r="L2" s="179"/>
      <c r="M2" s="179"/>
      <c r="N2" s="179"/>
      <c r="O2" s="179"/>
      <c r="P2" s="179"/>
      <c r="Q2" s="179"/>
      <c r="R2" s="179"/>
      <c r="S2" s="179"/>
      <c r="T2" s="180"/>
      <c r="U2" s="180"/>
      <c r="V2" s="180"/>
    </row>
    <row r="3" spans="1:22" ht="30" customHeight="1" x14ac:dyDescent="0.25">
      <c r="A3" s="176"/>
      <c r="B3" s="791" t="s">
        <v>158</v>
      </c>
      <c r="C3" s="792"/>
      <c r="D3" s="792"/>
      <c r="E3" s="792"/>
      <c r="F3" s="181"/>
      <c r="G3" s="182"/>
      <c r="H3" s="182"/>
      <c r="I3" s="183"/>
      <c r="J3" s="182"/>
      <c r="K3" s="179"/>
      <c r="L3" s="179"/>
      <c r="M3" s="804" t="s">
        <v>159</v>
      </c>
      <c r="N3" s="804"/>
      <c r="O3" s="804"/>
      <c r="P3" s="804"/>
      <c r="Q3" s="804"/>
      <c r="R3" s="804"/>
      <c r="S3" s="804"/>
      <c r="T3" s="180"/>
      <c r="U3" s="180"/>
      <c r="V3" s="180"/>
    </row>
    <row r="4" spans="1:22" ht="15" customHeight="1" x14ac:dyDescent="0.25">
      <c r="A4" s="176"/>
      <c r="B4" s="791" t="s">
        <v>160</v>
      </c>
      <c r="C4" s="792"/>
      <c r="D4" s="792"/>
      <c r="E4" s="792"/>
      <c r="F4" s="184"/>
      <c r="G4" s="185"/>
      <c r="H4" s="185"/>
      <c r="I4" s="186"/>
      <c r="J4" s="178"/>
      <c r="K4" s="179"/>
      <c r="L4" s="179" t="s">
        <v>161</v>
      </c>
      <c r="M4" s="187" t="s">
        <v>158</v>
      </c>
      <c r="N4" s="187"/>
      <c r="O4" s="187"/>
      <c r="P4" s="187"/>
      <c r="Q4" s="179"/>
      <c r="R4" s="177"/>
      <c r="S4" s="177"/>
      <c r="T4" s="180"/>
      <c r="U4" s="180"/>
      <c r="V4" s="180"/>
    </row>
    <row r="5" spans="1:22" ht="15" customHeight="1" x14ac:dyDescent="0.25">
      <c r="A5" s="176"/>
      <c r="B5" s="791" t="s">
        <v>162</v>
      </c>
      <c r="C5" s="792"/>
      <c r="D5" s="792"/>
      <c r="E5" s="792"/>
      <c r="F5" s="184"/>
      <c r="G5" s="185"/>
      <c r="H5" s="179" t="s">
        <v>163</v>
      </c>
      <c r="I5" s="188"/>
      <c r="J5" s="179"/>
      <c r="K5" s="179"/>
      <c r="L5" s="179" t="s">
        <v>164</v>
      </c>
      <c r="M5" s="189" t="s">
        <v>160</v>
      </c>
      <c r="N5" s="189"/>
      <c r="O5" s="189"/>
      <c r="P5" s="189"/>
      <c r="Q5" s="179"/>
      <c r="R5" s="179" t="s">
        <v>163</v>
      </c>
      <c r="S5" s="190"/>
      <c r="T5" s="180"/>
      <c r="U5" s="180"/>
      <c r="V5" s="180"/>
    </row>
    <row r="6" spans="1:22" ht="15" customHeight="1" x14ac:dyDescent="0.25">
      <c r="A6" s="176"/>
      <c r="B6" s="791" t="s">
        <v>165</v>
      </c>
      <c r="C6" s="792"/>
      <c r="D6" s="792"/>
      <c r="E6" s="792"/>
      <c r="F6" s="184"/>
      <c r="G6" s="185"/>
      <c r="H6" s="179" t="s">
        <v>166</v>
      </c>
      <c r="I6" s="191">
        <v>45329</v>
      </c>
      <c r="J6" s="179"/>
      <c r="K6" s="179"/>
      <c r="L6" s="179" t="s">
        <v>167</v>
      </c>
      <c r="M6" s="189" t="s">
        <v>162</v>
      </c>
      <c r="N6" s="189"/>
      <c r="O6" s="189"/>
      <c r="P6" s="189"/>
      <c r="Q6" s="179"/>
      <c r="R6" s="179" t="s">
        <v>166</v>
      </c>
      <c r="S6" s="192">
        <v>45329</v>
      </c>
      <c r="T6" s="180"/>
      <c r="U6" s="180"/>
      <c r="V6" s="180"/>
    </row>
    <row r="7" spans="1:22" ht="15.75" thickBot="1" x14ac:dyDescent="0.3">
      <c r="A7" s="176"/>
      <c r="B7" s="793"/>
      <c r="C7" s="794"/>
      <c r="D7" s="794"/>
      <c r="E7" s="794"/>
      <c r="F7" s="184"/>
      <c r="G7" s="185"/>
      <c r="H7" s="185"/>
      <c r="I7" s="186"/>
      <c r="J7" s="179"/>
      <c r="K7" s="179"/>
      <c r="L7" s="179" t="s">
        <v>168</v>
      </c>
      <c r="M7" s="189" t="s">
        <v>165</v>
      </c>
      <c r="N7" s="189"/>
      <c r="O7" s="189"/>
      <c r="P7" s="189"/>
      <c r="Q7" s="179"/>
      <c r="R7" s="179"/>
      <c r="S7" s="179"/>
      <c r="T7" s="180"/>
      <c r="U7" s="180"/>
      <c r="V7" s="180"/>
    </row>
    <row r="8" spans="1:22" ht="15.75" x14ac:dyDescent="0.25">
      <c r="A8" s="176"/>
      <c r="B8" s="795" t="s">
        <v>169</v>
      </c>
      <c r="C8" s="798" t="s">
        <v>170</v>
      </c>
      <c r="D8" s="800" t="s">
        <v>171</v>
      </c>
      <c r="E8" s="775" t="s">
        <v>172</v>
      </c>
      <c r="F8" s="775" t="s">
        <v>173</v>
      </c>
      <c r="G8" s="788" t="s">
        <v>354</v>
      </c>
      <c r="H8" s="778" t="s">
        <v>174</v>
      </c>
      <c r="I8" s="779"/>
      <c r="J8" s="179"/>
      <c r="K8" s="180"/>
      <c r="L8" s="179"/>
      <c r="M8" s="179"/>
      <c r="N8" s="179"/>
      <c r="O8" s="179"/>
      <c r="P8" s="179"/>
      <c r="Q8" s="179"/>
      <c r="R8" s="179"/>
      <c r="S8" s="179"/>
      <c r="T8" s="180"/>
      <c r="U8" s="180"/>
      <c r="V8" s="180"/>
    </row>
    <row r="9" spans="1:22" x14ac:dyDescent="0.25">
      <c r="A9" s="176"/>
      <c r="B9" s="796"/>
      <c r="C9" s="799"/>
      <c r="D9" s="799"/>
      <c r="E9" s="776"/>
      <c r="F9" s="776"/>
      <c r="G9" s="789"/>
      <c r="H9" s="780" t="str">
        <f>M7</f>
        <v>IM-8-029(213)069, PCN 23596</v>
      </c>
      <c r="I9" s="781"/>
      <c r="J9" s="179"/>
      <c r="K9" s="180"/>
      <c r="L9" s="179"/>
      <c r="M9" s="179"/>
      <c r="N9" s="179"/>
      <c r="O9" s="179"/>
      <c r="P9" s="179"/>
      <c r="Q9" s="179"/>
      <c r="R9" s="179"/>
      <c r="S9" s="179"/>
      <c r="T9" s="180"/>
      <c r="U9" s="180"/>
      <c r="V9" s="180"/>
    </row>
    <row r="10" spans="1:22" x14ac:dyDescent="0.25">
      <c r="A10" s="176"/>
      <c r="B10" s="797"/>
      <c r="C10" s="799"/>
      <c r="D10" s="799"/>
      <c r="E10" s="777"/>
      <c r="F10" s="777"/>
      <c r="G10" s="790"/>
      <c r="H10" s="426"/>
      <c r="I10" s="427"/>
      <c r="J10" s="179"/>
      <c r="K10" s="180"/>
      <c r="L10" s="179"/>
      <c r="M10" s="179"/>
      <c r="N10" s="179"/>
      <c r="O10" s="179"/>
      <c r="P10" s="179"/>
      <c r="Q10" s="179"/>
      <c r="R10" s="179"/>
      <c r="S10" s="179"/>
      <c r="T10" s="180"/>
      <c r="U10" s="180"/>
      <c r="V10" s="180"/>
    </row>
    <row r="11" spans="1:22" x14ac:dyDescent="0.25">
      <c r="A11" s="176"/>
      <c r="B11" s="797"/>
      <c r="C11" s="799"/>
      <c r="D11" s="799"/>
      <c r="E11" s="777"/>
      <c r="F11" s="777"/>
      <c r="G11" s="790"/>
      <c r="H11" s="428" t="s">
        <v>175</v>
      </c>
      <c r="I11" s="429" t="s">
        <v>176</v>
      </c>
      <c r="J11" s="179"/>
      <c r="K11" s="180"/>
      <c r="L11" s="179"/>
      <c r="M11" s="179"/>
      <c r="N11" s="179"/>
      <c r="O11" s="179"/>
      <c r="P11" s="179"/>
      <c r="Q11" s="179"/>
      <c r="R11" s="179"/>
      <c r="S11" s="179"/>
      <c r="T11" s="180"/>
      <c r="U11" s="180"/>
      <c r="V11" s="180"/>
    </row>
    <row r="12" spans="1:22" x14ac:dyDescent="0.25">
      <c r="A12" s="193"/>
      <c r="B12" s="430">
        <v>1</v>
      </c>
      <c r="C12" s="431">
        <v>103</v>
      </c>
      <c r="D12" s="431">
        <v>100</v>
      </c>
      <c r="E12" s="432" t="s">
        <v>177</v>
      </c>
      <c r="F12" s="431" t="s">
        <v>178</v>
      </c>
      <c r="G12" s="433">
        <f>K56</f>
        <v>235811.1496</v>
      </c>
      <c r="H12" s="434">
        <v>1</v>
      </c>
      <c r="I12" s="435">
        <f>G12*H12</f>
        <v>235811.1496</v>
      </c>
      <c r="J12" s="133" t="s">
        <v>65</v>
      </c>
      <c r="K12" s="180"/>
      <c r="L12" s="133" t="s">
        <v>66</v>
      </c>
      <c r="M12" s="179"/>
      <c r="N12" s="179"/>
      <c r="O12" s="179"/>
      <c r="P12" s="179"/>
      <c r="Q12" s="179"/>
      <c r="R12" s="179"/>
      <c r="S12" s="179"/>
      <c r="T12" s="180"/>
      <c r="U12" s="180"/>
      <c r="V12" s="180"/>
    </row>
    <row r="13" spans="1:22" x14ac:dyDescent="0.25">
      <c r="A13" s="193"/>
      <c r="B13" s="430">
        <f t="shared" ref="B13:B50" si="0">B12+1</f>
        <v>2</v>
      </c>
      <c r="C13" s="431">
        <v>107</v>
      </c>
      <c r="D13" s="436">
        <v>140</v>
      </c>
      <c r="E13" s="437" t="s">
        <v>179</v>
      </c>
      <c r="F13" s="438" t="s">
        <v>178</v>
      </c>
      <c r="G13" s="433">
        <v>2650</v>
      </c>
      <c r="H13" s="434">
        <v>1</v>
      </c>
      <c r="I13" s="435">
        <f t="shared" ref="I13:I47" si="1">G13*H13</f>
        <v>2650</v>
      </c>
      <c r="J13" s="133" t="s">
        <v>65</v>
      </c>
      <c r="K13" s="180"/>
      <c r="L13" s="133" t="s">
        <v>67</v>
      </c>
      <c r="M13" s="194" t="s">
        <v>180</v>
      </c>
      <c r="N13" s="195">
        <v>0.08</v>
      </c>
      <c r="O13" s="179"/>
      <c r="P13" s="179"/>
      <c r="Q13" s="179"/>
      <c r="R13" s="179"/>
      <c r="S13" s="179"/>
      <c r="T13" s="180"/>
      <c r="U13" s="180"/>
      <c r="V13" s="180"/>
    </row>
    <row r="14" spans="1:22" x14ac:dyDescent="0.25">
      <c r="A14" s="176"/>
      <c r="B14" s="430">
        <f t="shared" si="0"/>
        <v>3</v>
      </c>
      <c r="C14" s="431">
        <v>203</v>
      </c>
      <c r="D14" s="436">
        <v>109</v>
      </c>
      <c r="E14" s="437" t="s">
        <v>181</v>
      </c>
      <c r="F14" s="438" t="s">
        <v>182</v>
      </c>
      <c r="G14" s="433">
        <v>15</v>
      </c>
      <c r="H14" s="434">
        <v>23028</v>
      </c>
      <c r="I14" s="435">
        <f t="shared" si="1"/>
        <v>345420</v>
      </c>
      <c r="J14" s="133" t="s">
        <v>65</v>
      </c>
      <c r="K14" s="177"/>
      <c r="L14" s="133" t="s">
        <v>68</v>
      </c>
      <c r="M14" s="194" t="s">
        <v>183</v>
      </c>
      <c r="N14" s="196">
        <v>7.4999999999999997E-3</v>
      </c>
      <c r="O14" s="179"/>
      <c r="P14" s="179"/>
      <c r="Q14" s="179"/>
      <c r="R14" s="179"/>
      <c r="S14" s="179"/>
      <c r="T14" s="180"/>
      <c r="U14" s="180"/>
      <c r="V14" s="180"/>
    </row>
    <row r="15" spans="1:22" x14ac:dyDescent="0.25">
      <c r="A15" s="193"/>
      <c r="B15" s="430">
        <f t="shared" si="0"/>
        <v>4</v>
      </c>
      <c r="C15" s="431">
        <v>202</v>
      </c>
      <c r="D15" s="436">
        <v>108</v>
      </c>
      <c r="E15" s="437" t="s">
        <v>184</v>
      </c>
      <c r="F15" s="438" t="s">
        <v>178</v>
      </c>
      <c r="G15" s="439">
        <v>200000</v>
      </c>
      <c r="H15" s="434">
        <v>1</v>
      </c>
      <c r="I15" s="435">
        <f t="shared" si="1"/>
        <v>200000</v>
      </c>
      <c r="J15" s="133" t="s">
        <v>65</v>
      </c>
      <c r="K15" s="177"/>
      <c r="L15" s="133" t="s">
        <v>69</v>
      </c>
      <c r="M15" s="179"/>
      <c r="N15" s="179"/>
      <c r="O15" s="179"/>
      <c r="P15" s="179"/>
      <c r="Q15" s="179"/>
      <c r="R15" s="179"/>
      <c r="S15" s="179"/>
      <c r="T15" s="180"/>
      <c r="U15" s="180"/>
      <c r="V15" s="180"/>
    </row>
    <row r="16" spans="1:22" x14ac:dyDescent="0.25">
      <c r="A16" s="193"/>
      <c r="B16" s="430">
        <f t="shared" si="0"/>
        <v>5</v>
      </c>
      <c r="C16" s="431">
        <v>202</v>
      </c>
      <c r="D16" s="436">
        <v>109</v>
      </c>
      <c r="E16" s="437" t="s">
        <v>185</v>
      </c>
      <c r="F16" s="438" t="s">
        <v>178</v>
      </c>
      <c r="G16" s="439">
        <v>175000</v>
      </c>
      <c r="H16" s="434">
        <v>1</v>
      </c>
      <c r="I16" s="435">
        <f t="shared" si="1"/>
        <v>175000</v>
      </c>
      <c r="J16" s="133" t="s">
        <v>65</v>
      </c>
      <c r="K16" s="177"/>
      <c r="L16" s="133" t="s">
        <v>70</v>
      </c>
      <c r="M16" s="179"/>
      <c r="N16" s="179"/>
      <c r="O16" s="179"/>
      <c r="P16" s="179"/>
      <c r="Q16" s="179"/>
      <c r="R16" s="179"/>
      <c r="S16" s="179"/>
      <c r="T16" s="180"/>
      <c r="U16" s="180"/>
      <c r="V16" s="180"/>
    </row>
    <row r="17" spans="1:22" x14ac:dyDescent="0.25">
      <c r="A17" s="193"/>
      <c r="B17" s="430">
        <f t="shared" si="0"/>
        <v>6</v>
      </c>
      <c r="C17" s="431">
        <v>203</v>
      </c>
      <c r="D17" s="436">
        <v>140</v>
      </c>
      <c r="E17" s="437" t="s">
        <v>186</v>
      </c>
      <c r="F17" s="438" t="s">
        <v>182</v>
      </c>
      <c r="G17" s="433">
        <v>10</v>
      </c>
      <c r="H17" s="440">
        <v>173150</v>
      </c>
      <c r="I17" s="435">
        <f t="shared" si="1"/>
        <v>1731500</v>
      </c>
      <c r="J17" s="133" t="s">
        <v>65</v>
      </c>
      <c r="K17" s="180"/>
      <c r="L17" s="133" t="s">
        <v>65</v>
      </c>
      <c r="M17" s="179"/>
      <c r="N17" s="179"/>
      <c r="O17" s="179"/>
      <c r="P17" s="179"/>
      <c r="Q17" s="179"/>
      <c r="R17" s="179"/>
      <c r="S17" s="179"/>
      <c r="T17" s="180"/>
      <c r="U17" s="180"/>
      <c r="V17" s="180"/>
    </row>
    <row r="18" spans="1:22" x14ac:dyDescent="0.25">
      <c r="A18" s="193"/>
      <c r="B18" s="430">
        <f t="shared" si="0"/>
        <v>7</v>
      </c>
      <c r="C18" s="431">
        <v>203</v>
      </c>
      <c r="D18" s="436">
        <v>180</v>
      </c>
      <c r="E18" s="437" t="s">
        <v>187</v>
      </c>
      <c r="F18" s="438" t="s">
        <v>188</v>
      </c>
      <c r="G18" s="433">
        <v>30</v>
      </c>
      <c r="H18" s="434">
        <v>4305</v>
      </c>
      <c r="I18" s="435">
        <f t="shared" si="1"/>
        <v>129150</v>
      </c>
      <c r="J18" s="133" t="s">
        <v>65</v>
      </c>
      <c r="K18" s="180"/>
      <c r="L18" s="179"/>
      <c r="M18" s="179"/>
      <c r="N18" s="179"/>
      <c r="O18" s="179"/>
      <c r="P18" s="179"/>
      <c r="Q18" s="179"/>
      <c r="R18" s="179"/>
      <c r="S18" s="179"/>
      <c r="T18" s="180"/>
      <c r="U18" s="180"/>
      <c r="V18" s="180"/>
    </row>
    <row r="19" spans="1:22" x14ac:dyDescent="0.25">
      <c r="A19" s="193"/>
      <c r="B19" s="430">
        <f t="shared" si="0"/>
        <v>8</v>
      </c>
      <c r="C19" s="441">
        <v>210</v>
      </c>
      <c r="D19" s="442">
        <v>150</v>
      </c>
      <c r="E19" s="443" t="s">
        <v>189</v>
      </c>
      <c r="F19" s="444" t="s">
        <v>190</v>
      </c>
      <c r="G19" s="445">
        <v>2</v>
      </c>
      <c r="H19" s="440">
        <v>15000</v>
      </c>
      <c r="I19" s="446">
        <f t="shared" si="1"/>
        <v>30000</v>
      </c>
      <c r="J19" s="133" t="s">
        <v>65</v>
      </c>
      <c r="K19" s="180"/>
      <c r="L19" s="179"/>
      <c r="M19" s="179"/>
      <c r="N19" s="179"/>
      <c r="O19" s="179"/>
      <c r="P19" s="179"/>
      <c r="Q19" s="179"/>
      <c r="R19" s="179"/>
      <c r="S19" s="179"/>
      <c r="T19" s="180"/>
      <c r="U19" s="180"/>
      <c r="V19" s="180"/>
    </row>
    <row r="20" spans="1:22" x14ac:dyDescent="0.25">
      <c r="A20" s="193"/>
      <c r="B20" s="430">
        <f t="shared" si="0"/>
        <v>9</v>
      </c>
      <c r="C20" s="441">
        <v>210</v>
      </c>
      <c r="D20" s="442">
        <v>210</v>
      </c>
      <c r="E20" s="443" t="s">
        <v>191</v>
      </c>
      <c r="F20" s="444" t="s">
        <v>182</v>
      </c>
      <c r="G20" s="445">
        <v>85</v>
      </c>
      <c r="H20" s="440">
        <v>4000</v>
      </c>
      <c r="I20" s="446">
        <f t="shared" si="1"/>
        <v>340000</v>
      </c>
      <c r="J20" s="133" t="s">
        <v>65</v>
      </c>
      <c r="K20" s="180"/>
      <c r="L20" s="179"/>
      <c r="M20" s="179"/>
      <c r="N20" s="179"/>
      <c r="O20" s="179"/>
      <c r="P20" s="179"/>
      <c r="Q20" s="179"/>
      <c r="R20" s="179"/>
      <c r="S20" s="179"/>
      <c r="T20" s="180"/>
      <c r="U20" s="180"/>
      <c r="V20" s="180"/>
    </row>
    <row r="21" spans="1:22" x14ac:dyDescent="0.25">
      <c r="A21" s="193"/>
      <c r="B21" s="430">
        <f t="shared" si="0"/>
        <v>10</v>
      </c>
      <c r="C21" s="441">
        <v>210</v>
      </c>
      <c r="D21" s="442">
        <v>405</v>
      </c>
      <c r="E21" s="443" t="s">
        <v>192</v>
      </c>
      <c r="F21" s="444" t="s">
        <v>190</v>
      </c>
      <c r="G21" s="445">
        <v>20000</v>
      </c>
      <c r="H21" s="440">
        <v>2</v>
      </c>
      <c r="I21" s="446">
        <f t="shared" si="1"/>
        <v>40000</v>
      </c>
      <c r="J21" s="133" t="s">
        <v>65</v>
      </c>
      <c r="K21" s="180"/>
      <c r="L21" s="179"/>
      <c r="M21" s="179"/>
      <c r="N21" s="179"/>
      <c r="O21" s="179"/>
      <c r="P21" s="179"/>
      <c r="Q21" s="179"/>
      <c r="R21" s="179"/>
      <c r="S21" s="179"/>
      <c r="T21" s="180"/>
      <c r="U21" s="180"/>
      <c r="V21" s="180"/>
    </row>
    <row r="22" spans="1:22" ht="15.75" x14ac:dyDescent="0.25">
      <c r="A22" s="176"/>
      <c r="B22" s="430">
        <f t="shared" si="0"/>
        <v>11</v>
      </c>
      <c r="C22" s="431">
        <v>251</v>
      </c>
      <c r="D22" s="436">
        <v>200</v>
      </c>
      <c r="E22" s="447" t="s">
        <v>193</v>
      </c>
      <c r="F22" s="438" t="s">
        <v>194</v>
      </c>
      <c r="G22" s="433">
        <v>500</v>
      </c>
      <c r="H22" s="448">
        <v>114.30000000000001</v>
      </c>
      <c r="I22" s="435">
        <f t="shared" si="1"/>
        <v>57150.000000000007</v>
      </c>
      <c r="J22" s="133" t="s">
        <v>68</v>
      </c>
      <c r="K22" s="180"/>
      <c r="L22" s="179"/>
      <c r="M22" s="179"/>
      <c r="N22" s="179"/>
      <c r="O22" s="179"/>
      <c r="P22" s="179"/>
      <c r="Q22" s="179"/>
      <c r="R22" s="179"/>
      <c r="S22" s="179"/>
      <c r="T22" s="180"/>
      <c r="U22" s="180"/>
      <c r="V22" s="180"/>
    </row>
    <row r="23" spans="1:22" x14ac:dyDescent="0.25">
      <c r="A23" s="193"/>
      <c r="B23" s="430">
        <f t="shared" si="0"/>
        <v>12</v>
      </c>
      <c r="C23" s="431">
        <v>302</v>
      </c>
      <c r="D23" s="436">
        <v>120</v>
      </c>
      <c r="E23" s="437" t="s">
        <v>195</v>
      </c>
      <c r="F23" s="438" t="s">
        <v>196</v>
      </c>
      <c r="G23" s="433">
        <v>33</v>
      </c>
      <c r="H23" s="434">
        <v>12041</v>
      </c>
      <c r="I23" s="435">
        <f t="shared" si="1"/>
        <v>397353</v>
      </c>
      <c r="J23" s="133" t="s">
        <v>69</v>
      </c>
      <c r="K23" s="180"/>
      <c r="L23" s="179"/>
      <c r="M23" s="179"/>
      <c r="N23" s="179"/>
      <c r="O23" s="179"/>
      <c r="P23" s="179"/>
      <c r="Q23" s="179"/>
      <c r="R23" s="179"/>
      <c r="S23" s="179"/>
      <c r="T23" s="180"/>
      <c r="U23" s="180"/>
      <c r="V23" s="180"/>
    </row>
    <row r="24" spans="1:22" ht="15.75" x14ac:dyDescent="0.25">
      <c r="A24" s="193"/>
      <c r="B24" s="430">
        <f t="shared" si="0"/>
        <v>13</v>
      </c>
      <c r="C24" s="441">
        <v>302</v>
      </c>
      <c r="D24" s="442">
        <v>101</v>
      </c>
      <c r="E24" s="449" t="s">
        <v>197</v>
      </c>
      <c r="F24" s="444" t="s">
        <v>182</v>
      </c>
      <c r="G24" s="445">
        <v>75</v>
      </c>
      <c r="H24" s="450">
        <v>125</v>
      </c>
      <c r="I24" s="446">
        <f t="shared" si="1"/>
        <v>9375</v>
      </c>
      <c r="J24" s="133" t="s">
        <v>69</v>
      </c>
      <c r="K24" s="180"/>
      <c r="L24" s="179"/>
      <c r="M24" s="179"/>
      <c r="N24" s="179"/>
      <c r="O24" s="179"/>
      <c r="P24" s="179"/>
      <c r="Q24" s="179"/>
      <c r="R24" s="179"/>
      <c r="S24" s="179"/>
      <c r="T24" s="180"/>
      <c r="U24" s="180"/>
      <c r="V24" s="180"/>
    </row>
    <row r="25" spans="1:22" x14ac:dyDescent="0.25">
      <c r="A25" s="176"/>
      <c r="B25" s="430">
        <f t="shared" si="0"/>
        <v>14</v>
      </c>
      <c r="C25" s="431">
        <v>401</v>
      </c>
      <c r="D25" s="436">
        <v>50</v>
      </c>
      <c r="E25" s="437" t="s">
        <v>198</v>
      </c>
      <c r="F25" s="438" t="s">
        <v>199</v>
      </c>
      <c r="G25" s="433">
        <v>5</v>
      </c>
      <c r="H25" s="434">
        <v>11411</v>
      </c>
      <c r="I25" s="435">
        <f t="shared" si="1"/>
        <v>57055</v>
      </c>
      <c r="J25" s="133" t="s">
        <v>69</v>
      </c>
      <c r="K25" s="180"/>
      <c r="L25" s="179"/>
      <c r="M25" s="179"/>
      <c r="N25" s="179"/>
      <c r="O25" s="179"/>
      <c r="P25" s="179"/>
      <c r="Q25" s="179"/>
      <c r="R25" s="179"/>
      <c r="S25" s="179"/>
      <c r="T25" s="180"/>
      <c r="U25" s="180"/>
      <c r="V25" s="180"/>
    </row>
    <row r="26" spans="1:22" x14ac:dyDescent="0.25">
      <c r="A26" s="176"/>
      <c r="B26" s="430">
        <f t="shared" si="0"/>
        <v>15</v>
      </c>
      <c r="C26" s="431">
        <v>401</v>
      </c>
      <c r="D26" s="436">
        <v>160</v>
      </c>
      <c r="E26" s="437" t="s">
        <v>200</v>
      </c>
      <c r="F26" s="438" t="s">
        <v>196</v>
      </c>
      <c r="G26" s="433">
        <v>30</v>
      </c>
      <c r="H26" s="434">
        <v>132</v>
      </c>
      <c r="I26" s="435">
        <f t="shared" si="1"/>
        <v>3960</v>
      </c>
      <c r="J26" s="133" t="s">
        <v>65</v>
      </c>
      <c r="K26" s="180"/>
      <c r="L26" s="179"/>
      <c r="M26" s="179"/>
      <c r="N26" s="179"/>
      <c r="O26" s="179"/>
      <c r="P26" s="179"/>
      <c r="Q26" s="179"/>
      <c r="R26" s="179"/>
      <c r="S26" s="179"/>
      <c r="T26" s="180"/>
      <c r="U26" s="180"/>
      <c r="V26" s="180"/>
    </row>
    <row r="27" spans="1:22" ht="15.75" x14ac:dyDescent="0.25">
      <c r="A27" s="176"/>
      <c r="B27" s="430">
        <f t="shared" si="0"/>
        <v>16</v>
      </c>
      <c r="C27" s="431">
        <v>430</v>
      </c>
      <c r="D27" s="436">
        <v>42</v>
      </c>
      <c r="E27" s="447" t="s">
        <v>201</v>
      </c>
      <c r="F27" s="438" t="s">
        <v>196</v>
      </c>
      <c r="G27" s="433">
        <v>75</v>
      </c>
      <c r="H27" s="434">
        <v>9753</v>
      </c>
      <c r="I27" s="435">
        <f t="shared" si="1"/>
        <v>731475</v>
      </c>
      <c r="J27" s="133" t="s">
        <v>70</v>
      </c>
      <c r="K27" s="180"/>
      <c r="L27" s="179"/>
      <c r="M27" s="179"/>
      <c r="N27" s="179"/>
      <c r="O27" s="179"/>
      <c r="P27" s="179"/>
      <c r="Q27" s="179"/>
      <c r="R27" s="179"/>
      <c r="S27" s="179"/>
      <c r="T27" s="180"/>
      <c r="U27" s="180"/>
      <c r="V27" s="180"/>
    </row>
    <row r="28" spans="1:22" ht="15.75" x14ac:dyDescent="0.25">
      <c r="A28" s="176"/>
      <c r="B28" s="430">
        <f t="shared" si="0"/>
        <v>17</v>
      </c>
      <c r="C28" s="431">
        <v>550</v>
      </c>
      <c r="D28" s="436">
        <v>305</v>
      </c>
      <c r="E28" s="447" t="s">
        <v>202</v>
      </c>
      <c r="F28" s="438" t="s">
        <v>203</v>
      </c>
      <c r="G28" s="433">
        <v>125</v>
      </c>
      <c r="H28" s="434">
        <v>3814</v>
      </c>
      <c r="I28" s="435">
        <f t="shared" si="1"/>
        <v>476750</v>
      </c>
      <c r="J28" s="133" t="s">
        <v>70</v>
      </c>
      <c r="K28" s="180"/>
      <c r="L28" s="179"/>
      <c r="M28" s="179"/>
      <c r="N28" s="179"/>
      <c r="O28" s="179"/>
      <c r="P28" s="179"/>
      <c r="Q28" s="179"/>
      <c r="R28" s="179"/>
      <c r="S28" s="179"/>
      <c r="T28" s="180"/>
      <c r="U28" s="180"/>
      <c r="V28" s="180"/>
    </row>
    <row r="29" spans="1:22" ht="15.75" x14ac:dyDescent="0.25">
      <c r="A29" s="176"/>
      <c r="B29" s="430">
        <f t="shared" si="0"/>
        <v>18</v>
      </c>
      <c r="C29" s="431">
        <v>550</v>
      </c>
      <c r="D29" s="436"/>
      <c r="E29" s="447" t="s">
        <v>204</v>
      </c>
      <c r="F29" s="438" t="s">
        <v>203</v>
      </c>
      <c r="G29" s="451">
        <v>90</v>
      </c>
      <c r="H29" s="434">
        <v>17556</v>
      </c>
      <c r="I29" s="435">
        <f>G29*H29</f>
        <v>1580040</v>
      </c>
      <c r="J29" s="133" t="s">
        <v>70</v>
      </c>
      <c r="K29" s="180"/>
      <c r="L29" s="179"/>
      <c r="M29" s="179"/>
      <c r="N29" s="179"/>
      <c r="O29" s="179"/>
      <c r="P29" s="179"/>
      <c r="Q29" s="179"/>
      <c r="R29" s="179"/>
      <c r="S29" s="179"/>
      <c r="T29" s="180"/>
      <c r="U29" s="180"/>
      <c r="V29" s="180"/>
    </row>
    <row r="30" spans="1:22" x14ac:dyDescent="0.25">
      <c r="A30" s="193"/>
      <c r="B30" s="430">
        <f t="shared" si="0"/>
        <v>19</v>
      </c>
      <c r="C30" s="431">
        <v>606</v>
      </c>
      <c r="D30" s="436">
        <v>1209</v>
      </c>
      <c r="E30" s="437" t="s">
        <v>205</v>
      </c>
      <c r="F30" s="438" t="s">
        <v>188</v>
      </c>
      <c r="G30" s="452">
        <v>2000</v>
      </c>
      <c r="H30" s="434">
        <v>180</v>
      </c>
      <c r="I30" s="446">
        <f t="shared" si="1"/>
        <v>360000</v>
      </c>
      <c r="J30" s="201" t="s">
        <v>70</v>
      </c>
      <c r="K30" s="180"/>
      <c r="L30" s="179"/>
      <c r="M30" s="179"/>
      <c r="N30" s="179"/>
      <c r="O30" s="179"/>
      <c r="P30" s="179"/>
      <c r="Q30" s="179"/>
      <c r="R30" s="179"/>
      <c r="S30" s="179"/>
      <c r="T30" s="180"/>
      <c r="U30" s="180"/>
      <c r="V30" s="180"/>
    </row>
    <row r="31" spans="1:22" x14ac:dyDescent="0.25">
      <c r="A31" s="193"/>
      <c r="B31" s="430">
        <f t="shared" si="0"/>
        <v>20</v>
      </c>
      <c r="C31" s="453">
        <v>606</v>
      </c>
      <c r="D31" s="454">
        <v>5209</v>
      </c>
      <c r="E31" s="437" t="s">
        <v>206</v>
      </c>
      <c r="F31" s="438" t="s">
        <v>190</v>
      </c>
      <c r="G31" s="452">
        <v>60000</v>
      </c>
      <c r="H31" s="434">
        <v>4</v>
      </c>
      <c r="I31" s="446">
        <f t="shared" si="1"/>
        <v>240000</v>
      </c>
      <c r="J31" s="133" t="s">
        <v>70</v>
      </c>
      <c r="K31" s="180"/>
      <c r="L31" s="179"/>
      <c r="M31" s="179"/>
      <c r="N31" s="179"/>
      <c r="O31" s="179"/>
      <c r="P31" s="179"/>
      <c r="Q31" s="179"/>
      <c r="R31" s="179"/>
      <c r="S31" s="179"/>
      <c r="T31" s="180"/>
      <c r="U31" s="180"/>
      <c r="V31" s="180"/>
    </row>
    <row r="32" spans="1:22" x14ac:dyDescent="0.25">
      <c r="A32" s="193"/>
      <c r="B32" s="430">
        <f t="shared" si="0"/>
        <v>21</v>
      </c>
      <c r="C32" s="431">
        <v>701</v>
      </c>
      <c r="D32" s="436">
        <v>1000</v>
      </c>
      <c r="E32" s="437" t="s">
        <v>207</v>
      </c>
      <c r="F32" s="438" t="s">
        <v>178</v>
      </c>
      <c r="G32" s="439">
        <v>600000</v>
      </c>
      <c r="H32" s="434">
        <v>1</v>
      </c>
      <c r="I32" s="435">
        <f t="shared" si="1"/>
        <v>600000</v>
      </c>
      <c r="J32" s="133" t="s">
        <v>65</v>
      </c>
      <c r="K32" s="180"/>
      <c r="L32" s="179"/>
      <c r="M32" s="179"/>
      <c r="N32" s="179"/>
      <c r="O32" s="179"/>
      <c r="P32" s="179"/>
      <c r="Q32" s="179"/>
      <c r="R32" s="179"/>
      <c r="S32" s="179"/>
      <c r="T32" s="180"/>
      <c r="U32" s="180"/>
      <c r="V32" s="180"/>
    </row>
    <row r="33" spans="1:22" x14ac:dyDescent="0.25">
      <c r="A33" s="193"/>
      <c r="B33" s="430">
        <f t="shared" si="0"/>
        <v>22</v>
      </c>
      <c r="C33" s="431">
        <v>702</v>
      </c>
      <c r="D33" s="436">
        <v>100</v>
      </c>
      <c r="E33" s="437" t="s">
        <v>208</v>
      </c>
      <c r="F33" s="438" t="s">
        <v>178</v>
      </c>
      <c r="G33" s="433">
        <f>K54</f>
        <v>2328999.0079999999</v>
      </c>
      <c r="H33" s="434">
        <v>1</v>
      </c>
      <c r="I33" s="435">
        <f t="shared" si="1"/>
        <v>2328999.0079999999</v>
      </c>
      <c r="J33" s="133" t="s">
        <v>65</v>
      </c>
      <c r="K33" s="177"/>
      <c r="L33" s="177"/>
      <c r="M33" s="177"/>
      <c r="N33" s="177"/>
      <c r="O33" s="177"/>
      <c r="P33" s="179"/>
      <c r="Q33" s="179"/>
      <c r="R33" s="179"/>
      <c r="S33" s="179"/>
      <c r="T33" s="180"/>
      <c r="U33" s="180"/>
      <c r="V33" s="180"/>
    </row>
    <row r="34" spans="1:22" x14ac:dyDescent="0.25">
      <c r="A34" s="193"/>
      <c r="B34" s="430">
        <f t="shared" si="0"/>
        <v>23</v>
      </c>
      <c r="C34" s="431">
        <v>706</v>
      </c>
      <c r="D34" s="436">
        <v>550</v>
      </c>
      <c r="E34" s="437" t="s">
        <v>209</v>
      </c>
      <c r="F34" s="438" t="s">
        <v>190</v>
      </c>
      <c r="G34" s="433">
        <v>5000</v>
      </c>
      <c r="H34" s="434">
        <v>1</v>
      </c>
      <c r="I34" s="435">
        <f t="shared" si="1"/>
        <v>5000</v>
      </c>
      <c r="J34" s="133" t="s">
        <v>65</v>
      </c>
      <c r="K34" s="180"/>
      <c r="L34" s="179"/>
      <c r="M34" s="179"/>
      <c r="N34" s="179"/>
      <c r="O34" s="179"/>
      <c r="P34" s="179"/>
      <c r="Q34" s="179"/>
      <c r="R34" s="179"/>
      <c r="S34" s="179"/>
      <c r="T34" s="180"/>
      <c r="U34" s="180"/>
      <c r="V34" s="180"/>
    </row>
    <row r="35" spans="1:22" x14ac:dyDescent="0.25">
      <c r="A35" s="193"/>
      <c r="B35" s="430">
        <f t="shared" si="0"/>
        <v>24</v>
      </c>
      <c r="C35" s="441">
        <v>709</v>
      </c>
      <c r="D35" s="454">
        <v>100</v>
      </c>
      <c r="E35" s="455" t="s">
        <v>210</v>
      </c>
      <c r="F35" s="444" t="s">
        <v>203</v>
      </c>
      <c r="G35" s="433">
        <v>10</v>
      </c>
      <c r="H35" s="440">
        <v>400</v>
      </c>
      <c r="I35" s="446">
        <f t="shared" si="1"/>
        <v>4000</v>
      </c>
      <c r="J35" s="133" t="s">
        <v>65</v>
      </c>
      <c r="K35" s="180"/>
      <c r="L35" s="179"/>
      <c r="M35" s="179"/>
      <c r="N35" s="179"/>
      <c r="O35" s="179"/>
      <c r="P35" s="179"/>
      <c r="Q35" s="179"/>
      <c r="R35" s="179"/>
      <c r="S35" s="179"/>
      <c r="T35" s="180"/>
      <c r="U35" s="180"/>
      <c r="V35" s="180"/>
    </row>
    <row r="36" spans="1:22" x14ac:dyDescent="0.25">
      <c r="A36" s="193"/>
      <c r="B36" s="430">
        <f t="shared" si="0"/>
        <v>25</v>
      </c>
      <c r="C36" s="453">
        <v>714</v>
      </c>
      <c r="D36" s="454"/>
      <c r="E36" s="456" t="s">
        <v>211</v>
      </c>
      <c r="F36" s="457" t="s">
        <v>212</v>
      </c>
      <c r="G36" s="433">
        <v>1300000</v>
      </c>
      <c r="H36" s="458">
        <v>1</v>
      </c>
      <c r="I36" s="446">
        <f t="shared" si="1"/>
        <v>1300000</v>
      </c>
      <c r="J36" s="133" t="s">
        <v>68</v>
      </c>
      <c r="K36" s="180"/>
      <c r="L36" s="179"/>
      <c r="M36" s="179"/>
      <c r="N36" s="179"/>
      <c r="O36" s="179"/>
      <c r="P36" s="179"/>
      <c r="Q36" s="179"/>
      <c r="R36" s="179"/>
      <c r="S36" s="179"/>
      <c r="T36" s="180"/>
      <c r="U36" s="180"/>
      <c r="V36" s="180"/>
    </row>
    <row r="37" spans="1:22" x14ac:dyDescent="0.25">
      <c r="A37" s="193"/>
      <c r="B37" s="430">
        <f t="shared" si="0"/>
        <v>26</v>
      </c>
      <c r="C37" s="431">
        <v>748</v>
      </c>
      <c r="D37" s="436">
        <v>140</v>
      </c>
      <c r="E37" s="437" t="s">
        <v>213</v>
      </c>
      <c r="F37" s="438" t="s">
        <v>188</v>
      </c>
      <c r="G37" s="433">
        <v>50</v>
      </c>
      <c r="H37" s="434">
        <v>11080</v>
      </c>
      <c r="I37" s="435">
        <f t="shared" si="1"/>
        <v>554000</v>
      </c>
      <c r="J37" s="133" t="s">
        <v>70</v>
      </c>
      <c r="K37" s="180"/>
      <c r="L37" s="179"/>
      <c r="M37" s="179"/>
      <c r="N37" s="179"/>
      <c r="O37" s="179"/>
      <c r="P37" s="179"/>
      <c r="Q37" s="179"/>
      <c r="R37" s="179"/>
      <c r="S37" s="179"/>
      <c r="T37" s="180"/>
      <c r="U37" s="180"/>
      <c r="V37" s="180"/>
    </row>
    <row r="38" spans="1:22" x14ac:dyDescent="0.25">
      <c r="A38" s="193"/>
      <c r="B38" s="430">
        <f t="shared" si="0"/>
        <v>27</v>
      </c>
      <c r="C38" s="431">
        <v>750</v>
      </c>
      <c r="D38" s="436">
        <v>115</v>
      </c>
      <c r="E38" s="437" t="s">
        <v>214</v>
      </c>
      <c r="F38" s="438" t="s">
        <v>203</v>
      </c>
      <c r="G38" s="433">
        <v>90</v>
      </c>
      <c r="H38" s="434">
        <v>5290</v>
      </c>
      <c r="I38" s="435">
        <f t="shared" si="1"/>
        <v>476100</v>
      </c>
      <c r="J38" s="133" t="s">
        <v>70</v>
      </c>
      <c r="K38" s="180"/>
      <c r="L38" s="179"/>
      <c r="M38" s="179"/>
      <c r="N38" s="179"/>
      <c r="O38" s="179"/>
      <c r="P38" s="179"/>
      <c r="Q38" s="179"/>
      <c r="R38" s="179"/>
      <c r="S38" s="179"/>
      <c r="T38" s="180"/>
      <c r="U38" s="180"/>
      <c r="V38" s="180"/>
    </row>
    <row r="39" spans="1:22" x14ac:dyDescent="0.25">
      <c r="A39" s="193"/>
      <c r="B39" s="430">
        <f t="shared" si="0"/>
        <v>28</v>
      </c>
      <c r="C39" s="431">
        <v>752</v>
      </c>
      <c r="D39" s="436"/>
      <c r="E39" s="437" t="s">
        <v>215</v>
      </c>
      <c r="F39" s="438" t="s">
        <v>212</v>
      </c>
      <c r="G39" s="433">
        <v>100000</v>
      </c>
      <c r="H39" s="434">
        <v>1</v>
      </c>
      <c r="I39" s="435">
        <f t="shared" si="1"/>
        <v>100000</v>
      </c>
      <c r="J39" s="133" t="s">
        <v>70</v>
      </c>
      <c r="K39" s="180"/>
      <c r="L39" s="179"/>
      <c r="M39" s="179"/>
      <c r="N39" s="179"/>
      <c r="O39" s="179"/>
      <c r="P39" s="179"/>
      <c r="Q39" s="179"/>
      <c r="R39" s="179"/>
      <c r="S39" s="179"/>
      <c r="T39" s="180"/>
      <c r="U39" s="180"/>
      <c r="V39" s="180"/>
    </row>
    <row r="40" spans="1:22" x14ac:dyDescent="0.25">
      <c r="A40" s="193"/>
      <c r="B40" s="430">
        <f t="shared" si="0"/>
        <v>29</v>
      </c>
      <c r="C40" s="431">
        <v>754</v>
      </c>
      <c r="D40" s="436"/>
      <c r="E40" s="437" t="s">
        <v>216</v>
      </c>
      <c r="F40" s="438" t="s">
        <v>212</v>
      </c>
      <c r="G40" s="433">
        <v>100000</v>
      </c>
      <c r="H40" s="434">
        <v>1</v>
      </c>
      <c r="I40" s="435">
        <f t="shared" si="1"/>
        <v>100000</v>
      </c>
      <c r="J40" s="133" t="s">
        <v>70</v>
      </c>
      <c r="K40" s="180"/>
      <c r="L40" s="179"/>
      <c r="M40" s="179"/>
      <c r="N40" s="179"/>
      <c r="O40" s="179"/>
      <c r="P40" s="179"/>
      <c r="Q40" s="179"/>
      <c r="R40" s="179"/>
      <c r="S40" s="179"/>
      <c r="T40" s="180"/>
      <c r="U40" s="180"/>
      <c r="V40" s="180"/>
    </row>
    <row r="41" spans="1:22" x14ac:dyDescent="0.25">
      <c r="A41" s="193"/>
      <c r="B41" s="430">
        <f t="shared" si="0"/>
        <v>30</v>
      </c>
      <c r="C41" s="459">
        <v>762</v>
      </c>
      <c r="D41" s="436">
        <v>114</v>
      </c>
      <c r="E41" s="460" t="s">
        <v>217</v>
      </c>
      <c r="F41" s="438" t="s">
        <v>188</v>
      </c>
      <c r="G41" s="433">
        <v>4</v>
      </c>
      <c r="H41" s="434">
        <v>30675</v>
      </c>
      <c r="I41" s="435">
        <f t="shared" si="1"/>
        <v>122700</v>
      </c>
      <c r="J41" s="133" t="s">
        <v>70</v>
      </c>
      <c r="K41" s="180"/>
      <c r="L41" s="179"/>
      <c r="M41" s="179"/>
      <c r="N41" s="179"/>
      <c r="O41" s="179"/>
      <c r="P41" s="179"/>
      <c r="Q41" s="179"/>
      <c r="R41" s="179"/>
      <c r="S41" s="179"/>
      <c r="T41" s="180"/>
      <c r="U41" s="180"/>
      <c r="V41" s="180"/>
    </row>
    <row r="42" spans="1:22" x14ac:dyDescent="0.25">
      <c r="A42" s="193"/>
      <c r="B42" s="430">
        <f t="shared" si="0"/>
        <v>31</v>
      </c>
      <c r="C42" s="431">
        <v>764</v>
      </c>
      <c r="D42" s="436">
        <v>131</v>
      </c>
      <c r="E42" s="437" t="s">
        <v>218</v>
      </c>
      <c r="F42" s="438" t="s">
        <v>188</v>
      </c>
      <c r="G42" s="433">
        <v>36</v>
      </c>
      <c r="H42" s="434">
        <v>1134</v>
      </c>
      <c r="I42" s="435">
        <f t="shared" si="1"/>
        <v>40824</v>
      </c>
      <c r="J42" s="133" t="s">
        <v>70</v>
      </c>
      <c r="K42" s="180"/>
      <c r="L42" s="179"/>
      <c r="M42" s="179"/>
      <c r="N42" s="179"/>
      <c r="O42" s="179"/>
      <c r="P42" s="179"/>
      <c r="Q42" s="179"/>
      <c r="R42" s="179"/>
      <c r="S42" s="179"/>
      <c r="T42" s="180"/>
      <c r="U42" s="180"/>
      <c r="V42" s="180"/>
    </row>
    <row r="43" spans="1:22" x14ac:dyDescent="0.25">
      <c r="A43" s="193"/>
      <c r="B43" s="430">
        <f t="shared" si="0"/>
        <v>32</v>
      </c>
      <c r="C43" s="441">
        <v>930</v>
      </c>
      <c r="D43" s="442">
        <v>3000</v>
      </c>
      <c r="E43" s="443" t="s">
        <v>219</v>
      </c>
      <c r="F43" s="444" t="s">
        <v>220</v>
      </c>
      <c r="G43" s="451">
        <v>7500</v>
      </c>
      <c r="H43" s="458">
        <v>1</v>
      </c>
      <c r="I43" s="446">
        <f t="shared" si="1"/>
        <v>7500</v>
      </c>
      <c r="J43" s="179"/>
      <c r="K43" s="180"/>
      <c r="L43" s="179"/>
      <c r="M43" s="179"/>
      <c r="N43" s="179"/>
      <c r="O43" s="179"/>
      <c r="P43" s="179"/>
      <c r="Q43" s="179"/>
      <c r="R43" s="179"/>
      <c r="S43" s="179"/>
      <c r="T43" s="180"/>
      <c r="U43" s="180"/>
      <c r="V43" s="180"/>
    </row>
    <row r="44" spans="1:22" x14ac:dyDescent="0.25">
      <c r="A44" s="193"/>
      <c r="B44" s="430">
        <f t="shared" si="0"/>
        <v>33</v>
      </c>
      <c r="C44" s="441">
        <v>930</v>
      </c>
      <c r="D44" s="442"/>
      <c r="E44" s="443" t="s">
        <v>221</v>
      </c>
      <c r="F44" s="444" t="s">
        <v>182</v>
      </c>
      <c r="G44" s="433">
        <v>100</v>
      </c>
      <c r="H44" s="440">
        <v>71100</v>
      </c>
      <c r="I44" s="446">
        <f>G44*H44</f>
        <v>7110000</v>
      </c>
      <c r="J44" s="133" t="s">
        <v>69</v>
      </c>
      <c r="K44" s="180"/>
      <c r="L44" s="197">
        <v>0.29110000000000003</v>
      </c>
      <c r="M44" s="179"/>
      <c r="N44" s="179"/>
      <c r="O44" s="179"/>
      <c r="P44" s="179"/>
      <c r="Q44" s="179"/>
      <c r="R44" s="179"/>
      <c r="S44" s="179"/>
      <c r="T44" s="180"/>
      <c r="U44" s="180"/>
      <c r="V44" s="180"/>
    </row>
    <row r="45" spans="1:22" x14ac:dyDescent="0.25">
      <c r="A45" s="193"/>
      <c r="B45" s="430">
        <f t="shared" si="0"/>
        <v>34</v>
      </c>
      <c r="C45" s="441"/>
      <c r="D45" s="442"/>
      <c r="E45" s="443" t="s">
        <v>222</v>
      </c>
      <c r="F45" s="444" t="s">
        <v>212</v>
      </c>
      <c r="G45" s="439">
        <f>O45</f>
        <v>6240275.5999999996</v>
      </c>
      <c r="H45" s="434">
        <v>1</v>
      </c>
      <c r="I45" s="446">
        <f t="shared" ref="I45:I46" si="2">G45*H45</f>
        <v>6240275.5999999996</v>
      </c>
      <c r="J45" s="133" t="s">
        <v>67</v>
      </c>
      <c r="K45" s="180">
        <v>19673</v>
      </c>
      <c r="L45" s="179" t="s">
        <v>223</v>
      </c>
      <c r="M45" s="179">
        <v>305</v>
      </c>
      <c r="N45" s="179">
        <v>317.2</v>
      </c>
      <c r="O45" s="198">
        <v>6240275.5999999996</v>
      </c>
      <c r="P45" s="179"/>
      <c r="Q45" s="179"/>
      <c r="R45" s="179"/>
      <c r="S45" s="179"/>
      <c r="T45" s="180"/>
      <c r="U45" s="180"/>
      <c r="V45" s="180"/>
    </row>
    <row r="46" spans="1:22" x14ac:dyDescent="0.25">
      <c r="A46" s="193"/>
      <c r="B46" s="430">
        <f t="shared" si="0"/>
        <v>35</v>
      </c>
      <c r="C46" s="441"/>
      <c r="D46" s="442"/>
      <c r="E46" s="443" t="s">
        <v>224</v>
      </c>
      <c r="F46" s="444" t="s">
        <v>212</v>
      </c>
      <c r="G46" s="439">
        <f>O46</f>
        <v>5423210</v>
      </c>
      <c r="H46" s="434">
        <v>1</v>
      </c>
      <c r="I46" s="446">
        <f t="shared" si="2"/>
        <v>5423210</v>
      </c>
      <c r="J46" s="133" t="s">
        <v>67</v>
      </c>
      <c r="K46" s="180">
        <v>16045</v>
      </c>
      <c r="L46" s="179" t="s">
        <v>223</v>
      </c>
      <c r="M46" s="179">
        <v>325</v>
      </c>
      <c r="N46" s="179">
        <v>338</v>
      </c>
      <c r="O46" s="198">
        <v>5423210</v>
      </c>
      <c r="P46" s="179"/>
      <c r="Q46" s="179"/>
      <c r="R46" s="179"/>
      <c r="S46" s="179"/>
      <c r="T46" s="180"/>
      <c r="U46" s="180"/>
      <c r="V46" s="180"/>
    </row>
    <row r="47" spans="1:22" x14ac:dyDescent="0.25">
      <c r="A47" s="176"/>
      <c r="B47" s="430">
        <f t="shared" si="0"/>
        <v>36</v>
      </c>
      <c r="C47" s="431"/>
      <c r="D47" s="436"/>
      <c r="E47" s="437" t="s">
        <v>225</v>
      </c>
      <c r="F47" s="438" t="s">
        <v>226</v>
      </c>
      <c r="G47" s="433">
        <v>10000</v>
      </c>
      <c r="H47" s="448">
        <v>2.2000000000000002</v>
      </c>
      <c r="I47" s="435">
        <f t="shared" si="1"/>
        <v>22000</v>
      </c>
      <c r="J47" s="133" t="s">
        <v>65</v>
      </c>
      <c r="K47" s="180">
        <v>0.87066115700000002</v>
      </c>
      <c r="L47" s="179"/>
      <c r="M47" s="179"/>
      <c r="N47" s="179"/>
      <c r="O47" s="179"/>
      <c r="P47" s="179"/>
      <c r="Q47" s="179"/>
      <c r="R47" s="179"/>
      <c r="S47" s="179"/>
      <c r="T47" s="180"/>
      <c r="U47" s="180"/>
      <c r="V47" s="180"/>
    </row>
    <row r="48" spans="1:22" x14ac:dyDescent="0.25">
      <c r="A48" s="176"/>
      <c r="B48" s="430">
        <f t="shared" si="0"/>
        <v>37</v>
      </c>
      <c r="C48" s="431"/>
      <c r="D48" s="436"/>
      <c r="E48" s="437" t="s">
        <v>227</v>
      </c>
      <c r="F48" s="438" t="s">
        <v>226</v>
      </c>
      <c r="G48" s="433">
        <v>100000</v>
      </c>
      <c r="H48" s="461">
        <v>1</v>
      </c>
      <c r="I48" s="435">
        <f>G48*H48</f>
        <v>100000</v>
      </c>
      <c r="J48" s="133" t="s">
        <v>66</v>
      </c>
      <c r="K48" s="180"/>
      <c r="L48" s="179"/>
      <c r="M48" s="179"/>
      <c r="N48" s="179"/>
      <c r="O48" s="179"/>
      <c r="P48" s="179"/>
      <c r="Q48" s="179"/>
      <c r="R48" s="179"/>
      <c r="S48" s="179"/>
      <c r="T48" s="180"/>
      <c r="U48" s="180"/>
      <c r="V48" s="180"/>
    </row>
    <row r="49" spans="1:22" x14ac:dyDescent="0.25">
      <c r="A49" s="176"/>
      <c r="B49" s="430">
        <f t="shared" si="0"/>
        <v>38</v>
      </c>
      <c r="C49" s="431"/>
      <c r="D49" s="436"/>
      <c r="E49" s="462" t="s">
        <v>228</v>
      </c>
      <c r="F49" s="438" t="s">
        <v>212</v>
      </c>
      <c r="G49" s="433">
        <v>400000</v>
      </c>
      <c r="H49" s="461">
        <v>1</v>
      </c>
      <c r="I49" s="435">
        <f>G49*H49</f>
        <v>400000</v>
      </c>
      <c r="J49" s="133" t="s">
        <v>70</v>
      </c>
      <c r="K49" s="180" t="s">
        <v>229</v>
      </c>
      <c r="L49" s="179"/>
      <c r="M49" s="179"/>
      <c r="N49" s="179"/>
      <c r="O49" s="179"/>
      <c r="P49" s="179"/>
      <c r="Q49" s="179"/>
      <c r="R49" s="179"/>
      <c r="S49" s="179"/>
      <c r="T49" s="180"/>
      <c r="U49" s="180"/>
      <c r="V49" s="180"/>
    </row>
    <row r="50" spans="1:22" x14ac:dyDescent="0.25">
      <c r="A50" s="176"/>
      <c r="B50" s="430">
        <f t="shared" si="0"/>
        <v>39</v>
      </c>
      <c r="C50" s="431"/>
      <c r="D50" s="436"/>
      <c r="E50" s="462" t="s">
        <v>230</v>
      </c>
      <c r="F50" s="438" t="s">
        <v>212</v>
      </c>
      <c r="G50" s="433">
        <v>800000</v>
      </c>
      <c r="H50" s="461">
        <v>1</v>
      </c>
      <c r="I50" s="435">
        <f>G50*H50</f>
        <v>800000</v>
      </c>
      <c r="J50" s="133" t="s">
        <v>70</v>
      </c>
      <c r="K50" s="180"/>
      <c r="L50" s="179"/>
      <c r="M50" s="179"/>
      <c r="N50" s="179"/>
      <c r="O50" s="179"/>
      <c r="P50" s="179"/>
      <c r="Q50" s="179"/>
      <c r="R50" s="179"/>
      <c r="S50" s="179"/>
      <c r="T50" s="180"/>
      <c r="U50" s="180"/>
      <c r="V50" s="180"/>
    </row>
    <row r="51" spans="1:22" ht="15.75" thickBot="1" x14ac:dyDescent="0.3">
      <c r="A51" s="176"/>
      <c r="B51" s="782" t="s">
        <v>231</v>
      </c>
      <c r="C51" s="783"/>
      <c r="D51" s="783"/>
      <c r="E51" s="783"/>
      <c r="F51" s="783"/>
      <c r="G51" s="784"/>
      <c r="H51" s="465"/>
      <c r="I51" s="466">
        <f>SUM(I12:I50)</f>
        <v>32877297.757600002</v>
      </c>
      <c r="J51" s="179"/>
      <c r="K51" s="198">
        <v>29112487.600000001</v>
      </c>
      <c r="L51" s="179"/>
      <c r="M51" s="179"/>
      <c r="N51" s="177"/>
      <c r="O51" s="177"/>
      <c r="P51" s="177"/>
      <c r="Q51" s="179"/>
      <c r="R51" s="179"/>
      <c r="S51" s="179"/>
      <c r="T51" s="180"/>
      <c r="U51" s="180"/>
      <c r="V51" s="180"/>
    </row>
    <row r="52" spans="1:22" ht="15.75" thickBot="1" x14ac:dyDescent="0.3">
      <c r="A52" s="176"/>
      <c r="B52" s="467">
        <v>0.2</v>
      </c>
      <c r="C52" s="463"/>
      <c r="D52" s="468" t="s">
        <v>232</v>
      </c>
      <c r="E52" s="463"/>
      <c r="F52" s="463"/>
      <c r="G52" s="464"/>
      <c r="H52" s="469"/>
      <c r="I52" s="470">
        <f>I51*$B$52</f>
        <v>6575459.5515200011</v>
      </c>
      <c r="J52" s="133" t="s">
        <v>65</v>
      </c>
      <c r="K52" s="179"/>
      <c r="L52" s="179"/>
      <c r="M52" s="179"/>
      <c r="N52" s="177"/>
      <c r="O52" s="177"/>
      <c r="P52" s="177"/>
      <c r="Q52" s="179"/>
      <c r="R52" s="179"/>
      <c r="S52" s="179"/>
      <c r="T52" s="180"/>
      <c r="U52" s="180"/>
      <c r="V52" s="180"/>
    </row>
    <row r="53" spans="1:22" ht="15.75" thickBot="1" x14ac:dyDescent="0.3">
      <c r="A53" s="176"/>
      <c r="B53" s="467">
        <v>0.2</v>
      </c>
      <c r="C53" s="463"/>
      <c r="D53" s="468" t="s">
        <v>233</v>
      </c>
      <c r="E53" s="463"/>
      <c r="F53" s="463"/>
      <c r="G53" s="464"/>
      <c r="H53" s="469"/>
      <c r="I53" s="470">
        <f>I51*$B$52</f>
        <v>6575459.5515200011</v>
      </c>
      <c r="J53" s="133" t="s">
        <v>65</v>
      </c>
      <c r="K53" s="179"/>
      <c r="L53" s="179"/>
      <c r="M53" s="179"/>
      <c r="N53" s="177"/>
      <c r="O53" s="177"/>
      <c r="P53" s="177"/>
      <c r="Q53" s="179"/>
      <c r="R53" s="179"/>
      <c r="S53" s="179"/>
      <c r="T53" s="180"/>
      <c r="U53" s="180"/>
      <c r="V53" s="180"/>
    </row>
    <row r="54" spans="1:22" ht="15.75" thickBot="1" x14ac:dyDescent="0.3">
      <c r="A54" s="176"/>
      <c r="B54" s="467">
        <f>N59</f>
        <v>0.1</v>
      </c>
      <c r="C54" s="471"/>
      <c r="D54" s="472" t="str">
        <f>O59</f>
        <v>Engineering</v>
      </c>
      <c r="E54" s="472"/>
      <c r="F54" s="472"/>
      <c r="G54" s="473"/>
      <c r="H54" s="474"/>
      <c r="I54" s="470">
        <f>I51*$B$54</f>
        <v>3287729.7757600006</v>
      </c>
      <c r="J54" s="133" t="s">
        <v>65</v>
      </c>
      <c r="K54" s="198">
        <v>2328999.0079999999</v>
      </c>
      <c r="L54" s="179"/>
      <c r="M54" s="179"/>
      <c r="N54" s="177"/>
      <c r="O54" s="177"/>
      <c r="P54" s="177"/>
      <c r="Q54" s="179"/>
      <c r="R54" s="179"/>
      <c r="S54" s="179"/>
      <c r="T54" s="180"/>
      <c r="U54" s="180"/>
      <c r="V54" s="180"/>
    </row>
    <row r="55" spans="1:22" ht="16.5" thickBot="1" x14ac:dyDescent="0.3">
      <c r="A55" s="176"/>
      <c r="B55" s="785" t="s">
        <v>235</v>
      </c>
      <c r="C55" s="786"/>
      <c r="D55" s="786"/>
      <c r="E55" s="786"/>
      <c r="F55" s="786"/>
      <c r="G55" s="787"/>
      <c r="H55" s="475"/>
      <c r="I55" s="476">
        <f>SUM(I51:I54)</f>
        <v>49315946.636400007</v>
      </c>
      <c r="J55" s="179"/>
      <c r="K55" s="198">
        <v>31441486.607999999</v>
      </c>
      <c r="L55" s="179"/>
      <c r="M55" s="179"/>
      <c r="N55" s="177"/>
      <c r="O55" s="177"/>
      <c r="P55" s="177"/>
      <c r="Q55" s="179"/>
      <c r="R55" s="179"/>
      <c r="S55" s="179"/>
      <c r="T55" s="180"/>
      <c r="U55" s="180"/>
      <c r="V55" s="180"/>
    </row>
    <row r="56" spans="1:22" x14ac:dyDescent="0.25">
      <c r="A56" s="177"/>
      <c r="B56" s="180"/>
      <c r="C56" s="180"/>
      <c r="D56" s="180"/>
      <c r="E56" s="180"/>
      <c r="F56" s="180"/>
      <c r="G56" s="180"/>
      <c r="H56" s="180"/>
      <c r="I56" s="180"/>
      <c r="K56" s="199">
        <v>235811.1496</v>
      </c>
      <c r="L56" s="180"/>
      <c r="M56" s="180"/>
      <c r="N56" s="200"/>
      <c r="O56" s="179"/>
      <c r="P56" s="179"/>
      <c r="Q56" s="180"/>
      <c r="R56" s="180"/>
      <c r="S56" s="180"/>
      <c r="T56" s="180"/>
      <c r="U56" s="180"/>
      <c r="V56" s="180"/>
    </row>
    <row r="57" spans="1:22" x14ac:dyDescent="0.25">
      <c r="A57" s="177"/>
      <c r="B57" s="180"/>
      <c r="C57" s="180"/>
      <c r="D57" s="180"/>
      <c r="E57" s="180"/>
      <c r="F57" s="180"/>
      <c r="G57" s="180"/>
      <c r="H57" s="180"/>
      <c r="I57" s="180"/>
      <c r="J57" s="180"/>
      <c r="K57" s="180"/>
      <c r="L57" s="180"/>
      <c r="M57" s="180"/>
      <c r="N57" s="200"/>
      <c r="O57" s="179"/>
      <c r="P57" s="179"/>
      <c r="Q57" s="180"/>
      <c r="R57" s="180"/>
      <c r="S57" s="180"/>
      <c r="T57" s="180"/>
      <c r="U57" s="180"/>
      <c r="V57" s="180"/>
    </row>
    <row r="58" spans="1:22" x14ac:dyDescent="0.25">
      <c r="A58" s="177"/>
      <c r="B58" s="177"/>
      <c r="C58" s="177"/>
      <c r="D58" s="177"/>
      <c r="E58" s="177"/>
      <c r="F58" s="177"/>
      <c r="G58" s="177"/>
      <c r="H58" s="177"/>
      <c r="I58" s="177"/>
      <c r="J58" s="177"/>
      <c r="K58" s="177"/>
      <c r="L58" s="177"/>
      <c r="M58" s="177"/>
      <c r="N58" s="200"/>
      <c r="O58" s="179"/>
      <c r="P58" s="179"/>
      <c r="Q58" s="177"/>
      <c r="R58" s="177"/>
      <c r="S58" s="177"/>
      <c r="T58" s="177"/>
      <c r="U58" s="177"/>
      <c r="V58" s="177"/>
    </row>
    <row r="59" spans="1:22" x14ac:dyDescent="0.25">
      <c r="A59" s="177"/>
      <c r="B59" s="177"/>
      <c r="C59" s="177"/>
      <c r="D59" s="177"/>
      <c r="E59" s="177"/>
      <c r="F59" s="177"/>
      <c r="G59" s="177"/>
      <c r="H59" s="177"/>
      <c r="I59" s="177"/>
      <c r="J59" s="177"/>
      <c r="K59" s="177"/>
      <c r="L59" s="177"/>
      <c r="M59" s="177"/>
      <c r="N59" s="197">
        <v>0.1</v>
      </c>
      <c r="O59" s="187" t="s">
        <v>234</v>
      </c>
      <c r="P59" s="187"/>
      <c r="Q59" s="177"/>
      <c r="R59" s="177"/>
      <c r="S59" s="177"/>
      <c r="T59" s="177"/>
      <c r="U59" s="177"/>
      <c r="V59" s="177"/>
    </row>
  </sheetData>
  <mergeCells count="18">
    <mergeCell ref="B5:E5"/>
    <mergeCell ref="A1:J1"/>
    <mergeCell ref="B2:I2"/>
    <mergeCell ref="B3:E3"/>
    <mergeCell ref="M3:S3"/>
    <mergeCell ref="B4:E4"/>
    <mergeCell ref="B6:E6"/>
    <mergeCell ref="B7:E7"/>
    <mergeCell ref="B8:B11"/>
    <mergeCell ref="C8:C11"/>
    <mergeCell ref="D8:D11"/>
    <mergeCell ref="E8:E11"/>
    <mergeCell ref="F8:F11"/>
    <mergeCell ref="H8:I8"/>
    <mergeCell ref="H9:I9"/>
    <mergeCell ref="B51:G51"/>
    <mergeCell ref="B55:G55"/>
    <mergeCell ref="G8:G11"/>
  </mergeCells>
  <pageMargins left="0.7" right="0.7" top="0.75" bottom="0.75" header="0.3" footer="0.3"/>
  <legacy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FD1E65-B1E3-41C4-A1DD-C51C10C8B557}">
  <sheetPr>
    <tabColor theme="0" tint="-0.499984740745262"/>
  </sheetPr>
  <dimension ref="A1:X117"/>
  <sheetViews>
    <sheetView zoomScale="85" zoomScaleNormal="85" workbookViewId="0">
      <selection activeCell="S4" sqref="S4"/>
    </sheetView>
  </sheetViews>
  <sheetFormatPr defaultRowHeight="15" x14ac:dyDescent="0.25"/>
  <cols>
    <col min="1" max="1" width="32.5703125" customWidth="1"/>
    <col min="2" max="2" width="12" customWidth="1"/>
    <col min="3" max="3" width="25.140625" customWidth="1"/>
    <col min="4" max="4" width="10.5703125" bestFit="1" customWidth="1"/>
    <col min="6" max="6" width="8.7109375" bestFit="1" customWidth="1"/>
    <col min="7" max="7" width="9" customWidth="1"/>
    <col min="8" max="8" width="8.42578125" customWidth="1"/>
    <col min="9" max="9" width="16.28515625" customWidth="1"/>
    <col min="10" max="10" width="11.7109375" customWidth="1"/>
    <col min="11" max="11" width="8.7109375" customWidth="1"/>
    <col min="12" max="12" width="16.7109375" style="10" customWidth="1"/>
    <col min="13" max="13" width="11.140625" style="10" customWidth="1"/>
    <col min="14" max="14" width="16.42578125" style="10" customWidth="1"/>
    <col min="15" max="15" width="10.28515625" style="10" customWidth="1"/>
    <col min="16" max="16" width="8.140625" style="10" customWidth="1"/>
    <col min="17" max="17" width="7.42578125" style="10" customWidth="1"/>
    <col min="18" max="18" width="11.5703125" style="10" bestFit="1" customWidth="1"/>
    <col min="19" max="19" width="9.28515625" bestFit="1" customWidth="1"/>
    <col min="20" max="20" width="9.5703125" bestFit="1" customWidth="1"/>
    <col min="21" max="21" width="5.42578125" bestFit="1" customWidth="1"/>
    <col min="22" max="22" width="9.28515625" bestFit="1" customWidth="1"/>
    <col min="23" max="23" width="9.5703125" bestFit="1" customWidth="1"/>
    <col min="24" max="24" width="5.42578125" bestFit="1" customWidth="1"/>
  </cols>
  <sheetData>
    <row r="1" spans="1:24" ht="15" customHeight="1" x14ac:dyDescent="0.25">
      <c r="A1" s="805" t="s">
        <v>514</v>
      </c>
      <c r="B1" s="805" t="s">
        <v>513</v>
      </c>
      <c r="D1" s="812" t="s">
        <v>512</v>
      </c>
      <c r="E1" s="811" t="s">
        <v>510</v>
      </c>
      <c r="F1" s="811" t="s">
        <v>511</v>
      </c>
      <c r="G1" s="805" t="s">
        <v>483</v>
      </c>
      <c r="H1" s="805" t="s">
        <v>475</v>
      </c>
      <c r="I1" s="805" t="s">
        <v>515</v>
      </c>
      <c r="J1" s="805" t="s">
        <v>259</v>
      </c>
      <c r="K1" s="805" t="s">
        <v>258</v>
      </c>
      <c r="L1" s="805" t="s">
        <v>516</v>
      </c>
      <c r="M1" s="805" t="s">
        <v>347</v>
      </c>
      <c r="N1" s="805" t="s">
        <v>474</v>
      </c>
      <c r="O1" s="805" t="s">
        <v>259</v>
      </c>
      <c r="P1" s="805" t="s">
        <v>258</v>
      </c>
      <c r="Q1"/>
      <c r="R1" s="809" t="s">
        <v>521</v>
      </c>
      <c r="S1" s="807" t="s">
        <v>519</v>
      </c>
      <c r="T1" s="807"/>
      <c r="U1" s="807"/>
      <c r="V1" s="807" t="s">
        <v>520</v>
      </c>
      <c r="W1" s="807"/>
      <c r="X1" s="808"/>
    </row>
    <row r="2" spans="1:24" x14ac:dyDescent="0.25">
      <c r="A2" s="805"/>
      <c r="B2" s="805"/>
      <c r="D2" s="812"/>
      <c r="E2" s="811"/>
      <c r="F2" s="811"/>
      <c r="G2" s="805"/>
      <c r="H2" s="805"/>
      <c r="I2" s="805"/>
      <c r="J2" s="805"/>
      <c r="K2" s="805"/>
      <c r="L2" s="805"/>
      <c r="M2" s="805"/>
      <c r="N2" s="805"/>
      <c r="O2" s="805"/>
      <c r="P2" s="805"/>
      <c r="Q2"/>
      <c r="R2" s="810"/>
      <c r="S2" s="570" t="s">
        <v>345</v>
      </c>
      <c r="T2" s="570" t="s">
        <v>346</v>
      </c>
      <c r="U2" s="570" t="s">
        <v>5</v>
      </c>
      <c r="V2" s="570" t="s">
        <v>345</v>
      </c>
      <c r="W2" s="570" t="s">
        <v>346</v>
      </c>
      <c r="X2" s="571" t="s">
        <v>5</v>
      </c>
    </row>
    <row r="3" spans="1:24" x14ac:dyDescent="0.25">
      <c r="A3" s="389">
        <f>SUMPRODUCT('Annualized Operations'!H9:H11,'Annualized Operations'!I9:I11)/SUM('Annualized Operations'!H9:H11)</f>
        <v>5.3015060240963852</v>
      </c>
      <c r="B3" s="390">
        <f>'Annualized Operations'!H12</f>
        <v>1660</v>
      </c>
      <c r="D3" s="579">
        <v>0</v>
      </c>
      <c r="E3" s="242">
        <f t="shared" ref="E3:E26" si="0">SUM(S3,V3)</f>
        <v>291.11879666227492</v>
      </c>
      <c r="F3" s="242">
        <f t="shared" ref="F3:F26" si="1">SUM(T3,W3)</f>
        <v>257.79147472513978</v>
      </c>
      <c r="G3" s="580">
        <f>F3/SUM($F$3:$F$14)</f>
        <v>3.3673590855179993E-2</v>
      </c>
      <c r="H3" s="242">
        <f t="shared" ref="H3:H10" si="2">$B$20*G3</f>
        <v>261.71891535415119</v>
      </c>
      <c r="I3" s="49">
        <f>(3600/H3)</f>
        <v>13.755215190039184</v>
      </c>
      <c r="J3" s="562">
        <f>($B$23^2/I3^2)*$A$3</f>
        <v>0.13178115411680322</v>
      </c>
      <c r="K3" s="562">
        <f>H3*J3/3600</f>
        <v>9.5804501998799918E-3</v>
      </c>
      <c r="L3" s="49">
        <f>E3/F3</f>
        <v>1.1292801554926093</v>
      </c>
      <c r="M3" s="242">
        <f>H3*L3</f>
        <v>295.55397742649291</v>
      </c>
      <c r="N3" s="562">
        <f>3600/M3</f>
        <v>12.180516166104901</v>
      </c>
      <c r="O3" s="562">
        <f>($B$23^2/N3^2)*$A$3</f>
        <v>0.16805703599326346</v>
      </c>
      <c r="P3" s="562">
        <f t="shared" ref="P3:P26" si="3">M3*O3/3600</f>
        <v>1.3797201506198972E-2</v>
      </c>
      <c r="Q3"/>
      <c r="R3" s="510" t="s">
        <v>522</v>
      </c>
      <c r="S3" s="572">
        <f>AVERAGE(S26,S4)</f>
        <v>259.85869565217394</v>
      </c>
      <c r="T3" s="572">
        <f t="shared" ref="T3:X3" si="4">AVERAGE(T26,T4)</f>
        <v>229.62686567164181</v>
      </c>
      <c r="U3" s="572">
        <f t="shared" si="4"/>
        <v>239.11945392491469</v>
      </c>
      <c r="V3" s="572">
        <f t="shared" si="4"/>
        <v>31.26010101010101</v>
      </c>
      <c r="W3" s="572">
        <f t="shared" si="4"/>
        <v>28.164609053497941</v>
      </c>
      <c r="X3" s="573">
        <f t="shared" si="4"/>
        <v>29.060672514619881</v>
      </c>
    </row>
    <row r="4" spans="1:24" x14ac:dyDescent="0.25">
      <c r="A4" s="389">
        <f>SUMPRODUCT('Annualized Operations'!K9:K11,'Annualized Operations'!J9:J11)/SUM('Annualized Operations'!J9:J11)</f>
        <v>5.4392655367231635</v>
      </c>
      <c r="B4" s="390">
        <f>'Annualized Operations'!J12</f>
        <v>1770</v>
      </c>
      <c r="D4" s="579">
        <v>4.1666666666666664E-2</v>
      </c>
      <c r="E4" s="242">
        <f t="shared" si="0"/>
        <v>213.9409310496267</v>
      </c>
      <c r="F4" s="242">
        <f t="shared" si="1"/>
        <v>141.13804434617037</v>
      </c>
      <c r="G4" s="580">
        <f t="shared" ref="G4:G14" si="5">F4/SUM($F$3:$F$14)</f>
        <v>1.8435926806658343E-2</v>
      </c>
      <c r="H4" s="242">
        <f>$B$20*G4</f>
        <v>143.28827561450606</v>
      </c>
      <c r="I4" s="49">
        <f>(3600/H4)</f>
        <v>25.124177010024308</v>
      </c>
      <c r="J4" s="562">
        <f t="shared" ref="J4:J14" si="6">($B$23^2/I4^2)*$A$3</f>
        <v>3.9500663957132726E-2</v>
      </c>
      <c r="K4" s="562">
        <f t="shared" ref="K4:K26" si="7">H4*J4/3600</f>
        <v>1.5722172289015612E-3</v>
      </c>
      <c r="L4" s="49">
        <f t="shared" ref="L4:L26" si="8">E4/F4</f>
        <v>1.5158275151162794</v>
      </c>
      <c r="M4" s="242">
        <f t="shared" ref="M4:M26" si="9">H4*L4</f>
        <v>217.2003107700333</v>
      </c>
      <c r="N4" s="562">
        <f t="shared" ref="N4:N26" si="10">3600/M4</f>
        <v>16.574561920455064</v>
      </c>
      <c r="O4" s="562">
        <f t="shared" ref="O4:O14" si="11">($B$23^2/N4^2)*$A$3</f>
        <v>9.0761981291803337E-2</v>
      </c>
      <c r="P4" s="562">
        <f t="shared" si="3"/>
        <v>5.4759807063010091E-3</v>
      </c>
      <c r="Q4"/>
      <c r="R4" s="568">
        <v>4.1666666666666664E-2</v>
      </c>
      <c r="S4" s="242">
        <v>188.52173913043478</v>
      </c>
      <c r="T4" s="242">
        <v>126.19154228855722</v>
      </c>
      <c r="U4" s="574">
        <v>145.7627986348123</v>
      </c>
      <c r="V4" s="242">
        <v>25.41919191919192</v>
      </c>
      <c r="W4" s="242">
        <v>14.946502057613168</v>
      </c>
      <c r="X4" s="575">
        <v>17.978070175438596</v>
      </c>
    </row>
    <row r="5" spans="1:24" x14ac:dyDescent="0.25">
      <c r="A5" s="392"/>
      <c r="B5" s="61"/>
      <c r="D5" s="579">
        <v>8.3333333333333301E-2</v>
      </c>
      <c r="E5" s="242">
        <f t="shared" si="0"/>
        <v>126.50356829161177</v>
      </c>
      <c r="F5" s="242">
        <f t="shared" si="1"/>
        <v>96.212947607640814</v>
      </c>
      <c r="G5" s="580">
        <f t="shared" si="5"/>
        <v>1.2567659330724242E-2</v>
      </c>
      <c r="H5" s="242">
        <f t="shared" si="2"/>
        <v>97.678747203512188</v>
      </c>
      <c r="I5" s="49">
        <f t="shared" ref="I5:I26" si="12">(3600/H5)</f>
        <v>36.85550954599627</v>
      </c>
      <c r="J5" s="562">
        <f t="shared" si="6"/>
        <v>1.8356219609532667E-2</v>
      </c>
      <c r="K5" s="562">
        <f t="shared" si="7"/>
        <v>4.9805903745880399E-4</v>
      </c>
      <c r="L5" s="49">
        <f t="shared" si="8"/>
        <v>1.3148289438911795</v>
      </c>
      <c r="M5" s="242">
        <f t="shared" si="9"/>
        <v>128.43084402620744</v>
      </c>
      <c r="N5" s="562">
        <f t="shared" si="10"/>
        <v>28.030649703317284</v>
      </c>
      <c r="O5" s="562">
        <f t="shared" si="11"/>
        <v>3.1733776339998118E-2</v>
      </c>
      <c r="P5" s="562">
        <f t="shared" si="3"/>
        <v>1.132109910968014E-3</v>
      </c>
      <c r="Q5"/>
      <c r="R5" s="568">
        <v>8.3333333333333329E-2</v>
      </c>
      <c r="S5" s="242">
        <v>112.40760869565217</v>
      </c>
      <c r="T5" s="242">
        <v>84.303482587064678</v>
      </c>
      <c r="U5" s="574">
        <v>93.12798634812286</v>
      </c>
      <c r="V5" s="242">
        <v>14.095959595959595</v>
      </c>
      <c r="W5" s="242">
        <v>11.909465020576132</v>
      </c>
      <c r="X5" s="575">
        <v>12.542397660818713</v>
      </c>
    </row>
    <row r="6" spans="1:24" x14ac:dyDescent="0.25">
      <c r="D6" s="579">
        <v>0.125</v>
      </c>
      <c r="E6" s="242">
        <f t="shared" si="0"/>
        <v>96.034145805884933</v>
      </c>
      <c r="F6" s="242">
        <f t="shared" si="1"/>
        <v>79.997665991032491</v>
      </c>
      <c r="G6" s="580">
        <f t="shared" si="5"/>
        <v>1.0449564621264317E-2</v>
      </c>
      <c r="H6" s="242">
        <f t="shared" si="2"/>
        <v>81.216426557006429</v>
      </c>
      <c r="I6" s="49">
        <f t="shared" si="12"/>
        <v>44.326008328784724</v>
      </c>
      <c r="J6" s="562">
        <f t="shared" si="6"/>
        <v>1.2690269267585654E-2</v>
      </c>
      <c r="K6" s="562">
        <f t="shared" si="7"/>
        <v>2.8629397832208498E-4</v>
      </c>
      <c r="L6" s="49">
        <f t="shared" si="8"/>
        <v>1.2004618461824885</v>
      </c>
      <c r="M6" s="242">
        <f>H6*L6</f>
        <v>97.497221364968425</v>
      </c>
      <c r="N6" s="562">
        <f>3600/M6</f>
        <v>36.924129217220035</v>
      </c>
      <c r="O6" s="562">
        <f t="shared" si="11"/>
        <v>1.8288056737980205E-2</v>
      </c>
      <c r="P6" s="562">
        <f t="shared" si="3"/>
        <v>4.9528742114387733E-4</v>
      </c>
      <c r="Q6"/>
      <c r="R6" s="568">
        <v>0.125</v>
      </c>
      <c r="S6" s="242">
        <v>86.054347826086953</v>
      </c>
      <c r="T6" s="242">
        <v>65.962686567164184</v>
      </c>
      <c r="U6" s="574">
        <v>72.271331058020479</v>
      </c>
      <c r="V6" s="242">
        <v>9.9797979797979792</v>
      </c>
      <c r="W6" s="242">
        <v>14.034979423868313</v>
      </c>
      <c r="X6" s="575">
        <v>12.861111111111111</v>
      </c>
    </row>
    <row r="7" spans="1:24" x14ac:dyDescent="0.25">
      <c r="A7" s="13" t="s">
        <v>482</v>
      </c>
      <c r="B7" s="562">
        <f>SUM(K11,K20)</f>
        <v>5.1188888888888897</v>
      </c>
      <c r="D7" s="579">
        <v>0.16666666666666699</v>
      </c>
      <c r="E7" s="242">
        <f t="shared" si="0"/>
        <v>104.02382520860782</v>
      </c>
      <c r="F7" s="242">
        <f t="shared" si="1"/>
        <v>126.94702413856642</v>
      </c>
      <c r="G7" s="580">
        <f t="shared" si="5"/>
        <v>1.6582247941606853E-2</v>
      </c>
      <c r="H7" s="242">
        <f t="shared" si="2"/>
        <v>128.88105590150772</v>
      </c>
      <c r="I7" s="49">
        <f t="shared" si="12"/>
        <v>27.932732043653942</v>
      </c>
      <c r="J7" s="562">
        <f t="shared" si="6"/>
        <v>3.1956650593187599E-2</v>
      </c>
      <c r="K7" s="562">
        <f t="shared" si="7"/>
        <v>1.1440574643126558E-3</v>
      </c>
      <c r="L7" s="49">
        <f t="shared" si="8"/>
        <v>0.81942704773498865</v>
      </c>
      <c r="M7" s="242">
        <f t="shared" si="9"/>
        <v>105.60862314634051</v>
      </c>
      <c r="N7" s="562">
        <f t="shared" si="10"/>
        <v>34.088125502891238</v>
      </c>
      <c r="O7" s="562">
        <f t="shared" si="11"/>
        <v>2.1457634547449526E-2</v>
      </c>
      <c r="P7" s="562">
        <f t="shared" si="3"/>
        <v>6.2947534459263709E-4</v>
      </c>
      <c r="Q7"/>
      <c r="R7" s="568">
        <v>0.16666666666666699</v>
      </c>
      <c r="S7" s="242">
        <v>96.336956521739125</v>
      </c>
      <c r="T7" s="242">
        <v>105.68159203980099</v>
      </c>
      <c r="U7" s="574">
        <v>102.74744027303754</v>
      </c>
      <c r="V7" s="242">
        <v>7.6868686868686869</v>
      </c>
      <c r="W7" s="242">
        <v>21.265432098765434</v>
      </c>
      <c r="X7" s="575">
        <v>17.334795321637426</v>
      </c>
    </row>
    <row r="8" spans="1:24" x14ac:dyDescent="0.25">
      <c r="A8" s="391" t="s">
        <v>481</v>
      </c>
      <c r="B8" s="49">
        <f>SUM(K3:K26)-B7</f>
        <v>11.846743132010971</v>
      </c>
      <c r="D8" s="579">
        <v>0.20833333333333301</v>
      </c>
      <c r="E8" s="242">
        <f t="shared" si="0"/>
        <v>113.94740887132193</v>
      </c>
      <c r="F8" s="242">
        <f t="shared" si="1"/>
        <v>189.58098396904367</v>
      </c>
      <c r="G8" s="580">
        <f t="shared" si="5"/>
        <v>2.4763706770763352E-2</v>
      </c>
      <c r="H8" s="242">
        <f t="shared" si="2"/>
        <v>192.46924107576859</v>
      </c>
      <c r="I8" s="49">
        <f t="shared" si="12"/>
        <v>18.704287396149716</v>
      </c>
      <c r="J8" s="562">
        <f t="shared" si="6"/>
        <v>7.1269834592003797E-2</v>
      </c>
      <c r="K8" s="562">
        <f t="shared" si="7"/>
        <v>3.8103474931995918E-3</v>
      </c>
      <c r="L8" s="49">
        <f t="shared" si="8"/>
        <v>0.60104872590981062</v>
      </c>
      <c r="M8" s="242">
        <f t="shared" si="9"/>
        <v>115.68339212541891</v>
      </c>
      <c r="N8" s="562">
        <f t="shared" si="10"/>
        <v>31.119419424501629</v>
      </c>
      <c r="O8" s="562">
        <f t="shared" si="11"/>
        <v>2.5746909864090346E-2</v>
      </c>
      <c r="P8" s="562">
        <f t="shared" si="3"/>
        <v>8.2735829717371656E-4</v>
      </c>
      <c r="Q8"/>
      <c r="R8" s="568">
        <v>0.20833333333333401</v>
      </c>
      <c r="S8" s="242">
        <v>105.68478260869566</v>
      </c>
      <c r="T8" s="242">
        <v>162.76616915422886</v>
      </c>
      <c r="U8" s="574">
        <v>144.8430034129693</v>
      </c>
      <c r="V8" s="242">
        <v>8.262626262626263</v>
      </c>
      <c r="W8" s="242">
        <v>26.814814814814813</v>
      </c>
      <c r="X8" s="575">
        <v>21.444444444444443</v>
      </c>
    </row>
    <row r="9" spans="1:24" x14ac:dyDescent="0.25">
      <c r="A9" s="13" t="s">
        <v>348</v>
      </c>
      <c r="B9" s="562">
        <f>B8/B7</f>
        <v>2.3143192573930698</v>
      </c>
      <c r="D9" s="579">
        <v>0.25</v>
      </c>
      <c r="E9" s="242">
        <f t="shared" si="0"/>
        <v>183.51696310935441</v>
      </c>
      <c r="F9" s="242">
        <f t="shared" si="1"/>
        <v>499.1057674590013</v>
      </c>
      <c r="G9" s="580">
        <f t="shared" si="5"/>
        <v>6.5194876691692369E-2</v>
      </c>
      <c r="H9" s="242">
        <f t="shared" si="2"/>
        <v>506.70961964760608</v>
      </c>
      <c r="I9" s="49">
        <f t="shared" si="12"/>
        <v>7.1046608558638367</v>
      </c>
      <c r="J9" s="562">
        <f t="shared" si="6"/>
        <v>0.49397091866845333</v>
      </c>
      <c r="K9" s="562">
        <f t="shared" si="7"/>
        <v>6.9527726754297373E-2</v>
      </c>
      <c r="L9" s="49">
        <f t="shared" si="8"/>
        <v>0.36769152968048857</v>
      </c>
      <c r="M9" s="242">
        <f t="shared" si="9"/>
        <v>186.31283515204683</v>
      </c>
      <c r="N9" s="562">
        <f t="shared" si="10"/>
        <v>19.322340283545678</v>
      </c>
      <c r="O9" s="562">
        <f t="shared" si="11"/>
        <v>6.6783416422841121E-2</v>
      </c>
      <c r="P9" s="562">
        <f t="shared" si="3"/>
        <v>3.4562799041331373E-3</v>
      </c>
      <c r="Q9"/>
      <c r="R9" s="568">
        <v>0.25</v>
      </c>
      <c r="S9" s="242">
        <v>167.66847826086956</v>
      </c>
      <c r="T9" s="242">
        <v>391.77860696517411</v>
      </c>
      <c r="U9" s="574">
        <v>321.40955631399316</v>
      </c>
      <c r="V9" s="242">
        <v>15.848484848484848</v>
      </c>
      <c r="W9" s="242">
        <v>107.32716049382717</v>
      </c>
      <c r="X9" s="575">
        <v>80.846491228070178</v>
      </c>
    </row>
    <row r="10" spans="1:24" x14ac:dyDescent="0.25">
      <c r="A10" s="13" t="s">
        <v>476</v>
      </c>
      <c r="B10" s="48">
        <f>52*5</f>
        <v>260</v>
      </c>
      <c r="D10" s="579">
        <v>0.29166666666666702</v>
      </c>
      <c r="E10" s="242">
        <f t="shared" si="0"/>
        <v>281.33185111989462</v>
      </c>
      <c r="F10" s="242">
        <f t="shared" si="1"/>
        <v>964.85129906025418</v>
      </c>
      <c r="G10" s="580">
        <f t="shared" si="5"/>
        <v>0.12603212699444435</v>
      </c>
      <c r="H10" s="242">
        <f t="shared" si="2"/>
        <v>979.550761860271</v>
      </c>
      <c r="I10" s="49">
        <f t="shared" si="12"/>
        <v>3.6751541014201421</v>
      </c>
      <c r="J10" s="562">
        <f t="shared" si="6"/>
        <v>1.8460224428818461</v>
      </c>
      <c r="K10" s="562">
        <f t="shared" si="7"/>
        <v>0.50229796953779748</v>
      </c>
      <c r="L10" s="49">
        <f t="shared" si="8"/>
        <v>0.29158052789471933</v>
      </c>
      <c r="M10" s="242">
        <f t="shared" si="9"/>
        <v>285.61792824289233</v>
      </c>
      <c r="N10" s="562">
        <f t="shared" si="10"/>
        <v>12.604250798074986</v>
      </c>
      <c r="O10" s="562">
        <f t="shared" si="11"/>
        <v>0.15694735911658808</v>
      </c>
      <c r="P10" s="562">
        <f t="shared" si="3"/>
        <v>1.2451938765020307E-2</v>
      </c>
      <c r="Q10"/>
      <c r="R10" s="568">
        <v>0.29166666666666702</v>
      </c>
      <c r="S10" s="242">
        <v>255.40760869565219</v>
      </c>
      <c r="T10" s="242">
        <v>794.92537313432831</v>
      </c>
      <c r="U10" s="574">
        <v>625.52047781569968</v>
      </c>
      <c r="V10" s="242">
        <v>25.924242424242426</v>
      </c>
      <c r="W10" s="242">
        <v>169.92592592592592</v>
      </c>
      <c r="X10" s="575">
        <v>128.24122807017545</v>
      </c>
    </row>
    <row r="11" spans="1:24" x14ac:dyDescent="0.25">
      <c r="A11" s="13" t="s">
        <v>477</v>
      </c>
      <c r="B11" s="48">
        <v>5</v>
      </c>
      <c r="D11" s="579">
        <v>0.33333333333333298</v>
      </c>
      <c r="E11" s="242">
        <f>SUM(S11,V11)</f>
        <v>405.59436758893281</v>
      </c>
      <c r="F11" s="242">
        <f>SUM(T11,W11)</f>
        <v>1635.0894908175173</v>
      </c>
      <c r="G11" s="580">
        <f>F11/SUM($F$3:$F$14)</f>
        <v>0.21358089744472178</v>
      </c>
      <c r="H11" s="242">
        <f>B3</f>
        <v>1660</v>
      </c>
      <c r="I11" s="49">
        <f>(3600/H11)</f>
        <v>2.1686746987951806</v>
      </c>
      <c r="J11" s="562">
        <f t="shared" si="6"/>
        <v>5.3015060240963852</v>
      </c>
      <c r="K11" s="562">
        <f t="shared" si="7"/>
        <v>2.4445833333333336</v>
      </c>
      <c r="L11" s="49">
        <f>E11/F11</f>
        <v>0.24805637236781605</v>
      </c>
      <c r="M11" s="242">
        <f t="shared" si="9"/>
        <v>411.77357813057466</v>
      </c>
      <c r="N11" s="562">
        <f t="shared" si="10"/>
        <v>8.7426687655477231</v>
      </c>
      <c r="O11" s="562">
        <f t="shared" si="11"/>
        <v>0.3262120771433768</v>
      </c>
      <c r="P11" s="562">
        <f t="shared" si="3"/>
        <v>3.7312642842982031E-2</v>
      </c>
      <c r="Q11"/>
      <c r="R11" s="568">
        <v>0.33333333333333398</v>
      </c>
      <c r="S11" s="242">
        <v>370.04891304347825</v>
      </c>
      <c r="T11" s="242">
        <v>1386.3034825870648</v>
      </c>
      <c r="U11" s="574">
        <v>1067.2064846416383</v>
      </c>
      <c r="V11" s="242">
        <v>35.545454545454547</v>
      </c>
      <c r="W11" s="242">
        <v>248.78600823045267</v>
      </c>
      <c r="X11" s="575">
        <v>187.05847953216374</v>
      </c>
    </row>
    <row r="12" spans="1:24" x14ac:dyDescent="0.25">
      <c r="A12" s="13" t="s">
        <v>478</v>
      </c>
      <c r="B12" s="48">
        <f>52*2</f>
        <v>104</v>
      </c>
      <c r="D12" s="579">
        <v>0.375</v>
      </c>
      <c r="E12" s="242">
        <f t="shared" si="0"/>
        <v>518.92550505050508</v>
      </c>
      <c r="F12" s="242">
        <f t="shared" si="1"/>
        <v>1365.3656409311466</v>
      </c>
      <c r="G12" s="580">
        <f t="shared" si="5"/>
        <v>0.178348659549184</v>
      </c>
      <c r="H12" s="242">
        <f>$B$20*G12</f>
        <v>1386.1669203270872</v>
      </c>
      <c r="I12" s="49">
        <f t="shared" si="12"/>
        <v>2.5970898217297851</v>
      </c>
      <c r="J12" s="562">
        <f t="shared" si="6"/>
        <v>3.6966994620036431</v>
      </c>
      <c r="K12" s="562">
        <f t="shared" si="7"/>
        <v>1.4234006968389974</v>
      </c>
      <c r="L12" s="49">
        <f t="shared" si="8"/>
        <v>0.38006339803351896</v>
      </c>
      <c r="M12" s="242">
        <f t="shared" si="9"/>
        <v>526.83130998117088</v>
      </c>
      <c r="N12" s="562">
        <f t="shared" si="10"/>
        <v>6.833306851349942</v>
      </c>
      <c r="O12" s="562">
        <f t="shared" si="11"/>
        <v>0.53398153341357479</v>
      </c>
      <c r="P12" s="562">
        <f t="shared" si="3"/>
        <v>7.814394187611888E-2</v>
      </c>
      <c r="Q12"/>
      <c r="R12" s="568">
        <v>0.375</v>
      </c>
      <c r="S12" s="242">
        <v>463.875</v>
      </c>
      <c r="T12" s="242">
        <v>1134.8059701492537</v>
      </c>
      <c r="U12" s="574">
        <v>924.13822525597266</v>
      </c>
      <c r="V12" s="242">
        <v>55.050505050505052</v>
      </c>
      <c r="W12" s="242">
        <v>230.559670781893</v>
      </c>
      <c r="X12" s="575">
        <v>179.75438596491227</v>
      </c>
    </row>
    <row r="13" spans="1:24" x14ac:dyDescent="0.25">
      <c r="A13" s="13" t="s">
        <v>479</v>
      </c>
      <c r="B13" s="562">
        <f>SUM(K3:K26)</f>
        <v>16.965632020899861</v>
      </c>
      <c r="D13" s="579">
        <v>0.41666666666666702</v>
      </c>
      <c r="E13" s="242">
        <f t="shared" si="0"/>
        <v>748.59700263504601</v>
      </c>
      <c r="F13" s="242">
        <f t="shared" si="1"/>
        <v>1131.8841901603096</v>
      </c>
      <c r="G13" s="580">
        <f>F13/SUM($F$3:$F$14)</f>
        <v>0.14785052591651154</v>
      </c>
      <c r="H13" s="242">
        <f>$B$20*G13</f>
        <v>1149.1283909645099</v>
      </c>
      <c r="I13" s="49">
        <f t="shared" si="12"/>
        <v>3.1328092041815925</v>
      </c>
      <c r="J13" s="562">
        <f t="shared" si="6"/>
        <v>2.5405058104091802</v>
      </c>
      <c r="K13" s="562">
        <f t="shared" si="7"/>
        <v>0.81093537615319156</v>
      </c>
      <c r="L13" s="49">
        <f>E13/F13</f>
        <v>0.66137243469141638</v>
      </c>
      <c r="M13" s="242">
        <f t="shared" si="9"/>
        <v>760.00184170522766</v>
      </c>
      <c r="N13" s="562">
        <f t="shared" si="10"/>
        <v>4.7368306265187794</v>
      </c>
      <c r="O13" s="562">
        <f t="shared" si="11"/>
        <v>1.1112515316190013</v>
      </c>
      <c r="P13" s="562">
        <f t="shared" si="3"/>
        <v>0.23459811406338776</v>
      </c>
      <c r="Q13"/>
      <c r="R13" s="568">
        <v>0.41666666666666702</v>
      </c>
      <c r="S13" s="242">
        <v>663.65760869565213</v>
      </c>
      <c r="T13" s="242">
        <v>932.3656716417911</v>
      </c>
      <c r="U13" s="574">
        <v>847.99317406143348</v>
      </c>
      <c r="V13" s="242">
        <v>84.939393939393938</v>
      </c>
      <c r="W13" s="242">
        <v>199.5185185185185</v>
      </c>
      <c r="X13" s="575">
        <v>166.35087719298247</v>
      </c>
    </row>
    <row r="14" spans="1:24" x14ac:dyDescent="0.25">
      <c r="A14" s="13" t="s">
        <v>480</v>
      </c>
      <c r="B14" s="562">
        <f>SUM(P3:P26)</f>
        <v>5.1648498685175248</v>
      </c>
      <c r="D14" s="579">
        <v>0.45833333333333298</v>
      </c>
      <c r="E14" s="242">
        <f t="shared" si="0"/>
        <v>973.951581027668</v>
      </c>
      <c r="F14" s="242">
        <f t="shared" si="1"/>
        <v>1167.6334684601684</v>
      </c>
      <c r="G14" s="580">
        <f t="shared" si="5"/>
        <v>0.15252021707724883</v>
      </c>
      <c r="H14" s="242">
        <f>$B$20*G14</f>
        <v>1185.4223077874326</v>
      </c>
      <c r="I14" s="49">
        <f t="shared" si="12"/>
        <v>3.0368924022691366</v>
      </c>
      <c r="J14" s="562">
        <f t="shared" si="6"/>
        <v>2.7035180569129378</v>
      </c>
      <c r="K14" s="562">
        <f t="shared" si="7"/>
        <v>0.89022517060298068</v>
      </c>
      <c r="L14" s="49">
        <f t="shared" si="8"/>
        <v>0.83412441261389936</v>
      </c>
      <c r="M14" s="242">
        <f t="shared" si="9"/>
        <v>988.78968618260524</v>
      </c>
      <c r="N14" s="562">
        <f t="shared" si="10"/>
        <v>3.6408146750583805</v>
      </c>
      <c r="O14" s="562">
        <f t="shared" si="11"/>
        <v>1.8810092821565079</v>
      </c>
      <c r="P14" s="562">
        <f t="shared" si="3"/>
        <v>0.51664516050280584</v>
      </c>
      <c r="Q14"/>
      <c r="R14" s="568">
        <v>0.45833333333333398</v>
      </c>
      <c r="S14" s="242">
        <v>869.81521739130437</v>
      </c>
      <c r="T14" s="242">
        <v>972.79601990049753</v>
      </c>
      <c r="U14" s="574">
        <v>940.4607508532423</v>
      </c>
      <c r="V14" s="242">
        <v>104.13636363636364</v>
      </c>
      <c r="W14" s="242">
        <v>194.83744855967078</v>
      </c>
      <c r="X14" s="575">
        <v>168.58187134502924</v>
      </c>
    </row>
    <row r="15" spans="1:24" x14ac:dyDescent="0.25">
      <c r="A15" s="13" t="s">
        <v>472</v>
      </c>
      <c r="B15" s="562">
        <f>(B10-B11)*B13</f>
        <v>4326.2361653294647</v>
      </c>
      <c r="D15" s="579">
        <v>0.5</v>
      </c>
      <c r="E15" s="242">
        <f t="shared" si="0"/>
        <v>266.01092446201142</v>
      </c>
      <c r="F15" s="242">
        <f t="shared" si="1"/>
        <v>235.77403107917203</v>
      </c>
      <c r="G15" s="580">
        <f>F15/SUM($F$15:$F$26)</f>
        <v>1.730204637320662E-2</v>
      </c>
      <c r="H15" s="242">
        <f>$B$21*G15</f>
        <v>214.90460601540434</v>
      </c>
      <c r="I15" s="49">
        <f t="shared" si="12"/>
        <v>16.751618621622061</v>
      </c>
      <c r="J15" s="562">
        <f>($B$24^2/I15^2)*$A$4</f>
        <v>8.0183530738580269E-2</v>
      </c>
      <c r="K15" s="562">
        <f t="shared" si="7"/>
        <v>4.7866139117496266E-3</v>
      </c>
      <c r="L15" s="49">
        <f t="shared" si="8"/>
        <v>1.1282452238036595</v>
      </c>
      <c r="M15" s="242">
        <f t="shared" si="9"/>
        <v>242.46509531028715</v>
      </c>
      <c r="N15" s="562">
        <f t="shared" si="10"/>
        <v>14.847497927043941</v>
      </c>
      <c r="O15" s="562">
        <f>($B$24^2/N15^2)*$A$4</f>
        <v>0.10206860592295056</v>
      </c>
      <c r="P15" s="562">
        <f t="shared" si="3"/>
        <v>6.874465073137874E-3</v>
      </c>
      <c r="Q15"/>
      <c r="R15" s="568">
        <v>0.5</v>
      </c>
      <c r="S15" s="242">
        <v>235.44021739130434</v>
      </c>
      <c r="T15" s="242">
        <v>206.38308457711443</v>
      </c>
      <c r="U15" s="574">
        <v>215.50682593856655</v>
      </c>
      <c r="V15" s="242">
        <v>30.570707070707069</v>
      </c>
      <c r="W15" s="242">
        <v>29.390946502057613</v>
      </c>
      <c r="X15" s="575">
        <v>29.732456140350877</v>
      </c>
    </row>
    <row r="16" spans="1:24" x14ac:dyDescent="0.25">
      <c r="A16" s="13" t="s">
        <v>473</v>
      </c>
      <c r="B16" s="562">
        <f>B12*B14</f>
        <v>537.14438632582255</v>
      </c>
      <c r="D16" s="579">
        <v>0.54166666666666696</v>
      </c>
      <c r="E16" s="242">
        <f t="shared" si="0"/>
        <v>1220.8234519104083</v>
      </c>
      <c r="F16" s="242">
        <f t="shared" si="1"/>
        <v>1417.9150850684848</v>
      </c>
      <c r="G16" s="580">
        <f t="shared" ref="G16:G26" si="13">F16/SUM($F$15:$F$26)</f>
        <v>0.10405230992927333</v>
      </c>
      <c r="H16" s="242">
        <f t="shared" ref="H16:H19" si="14">$B$21*G16</f>
        <v>1292.4090126686538</v>
      </c>
      <c r="I16" s="49">
        <f t="shared" si="12"/>
        <v>2.7854958954259192</v>
      </c>
      <c r="J16" s="562">
        <f t="shared" ref="J16:J26" si="15">($B$24^2/I16^2)*$A$4</f>
        <v>2.899971194519964</v>
      </c>
      <c r="K16" s="562">
        <f t="shared" si="7"/>
        <v>1.0410969189658565</v>
      </c>
      <c r="L16" s="49">
        <f t="shared" si="8"/>
        <v>0.86099898701017274</v>
      </c>
      <c r="M16" s="242">
        <f t="shared" si="9"/>
        <v>1112.7628507105285</v>
      </c>
      <c r="N16" s="562">
        <f t="shared" si="10"/>
        <v>3.2351906767028615</v>
      </c>
      <c r="O16" s="562">
        <f t="shared" ref="O16:O26" si="16">($B$24^2/N16^2)*$A$4</f>
        <v>2.1498044872773585</v>
      </c>
      <c r="P16" s="562">
        <f t="shared" si="3"/>
        <v>0.66450626937028878</v>
      </c>
      <c r="Q16"/>
      <c r="R16" s="568">
        <v>0.54166666666666696</v>
      </c>
      <c r="S16" s="242">
        <v>1098.7173913043478</v>
      </c>
      <c r="T16" s="242">
        <v>1172.2587064676618</v>
      </c>
      <c r="U16" s="574">
        <v>1149.1672354948805</v>
      </c>
      <c r="V16" s="242">
        <v>122.10606060606061</v>
      </c>
      <c r="W16" s="242">
        <v>245.65637860082305</v>
      </c>
      <c r="X16" s="575">
        <v>209.89181286549709</v>
      </c>
    </row>
    <row r="17" spans="1:24" x14ac:dyDescent="0.25">
      <c r="A17" s="13" t="s">
        <v>505</v>
      </c>
      <c r="B17" s="49">
        <f>B16/B15</f>
        <v>0.12415974667090701</v>
      </c>
      <c r="D17" s="579">
        <v>0.58333333333333304</v>
      </c>
      <c r="E17" s="242">
        <f t="shared" si="0"/>
        <v>1209.6622749231444</v>
      </c>
      <c r="F17" s="242">
        <f t="shared" si="1"/>
        <v>1370.2584607825072</v>
      </c>
      <c r="G17" s="580">
        <f t="shared" si="13"/>
        <v>0.10055507522699357</v>
      </c>
      <c r="H17" s="242">
        <f t="shared" si="14"/>
        <v>1248.9706915807685</v>
      </c>
      <c r="I17" s="49">
        <f t="shared" si="12"/>
        <v>2.8823734810331176</v>
      </c>
      <c r="J17" s="562">
        <f t="shared" si="15"/>
        <v>2.7083090616910228</v>
      </c>
      <c r="K17" s="562">
        <f t="shared" si="7"/>
        <v>0.93961073383186089</v>
      </c>
      <c r="L17" s="49">
        <f t="shared" si="8"/>
        <v>0.88279861759244171</v>
      </c>
      <c r="M17" s="242">
        <f t="shared" si="9"/>
        <v>1102.5895999409784</v>
      </c>
      <c r="N17" s="562">
        <f t="shared" si="10"/>
        <v>3.2650407732783875</v>
      </c>
      <c r="O17" s="562">
        <f t="shared" si="16"/>
        <v>2.1106757071944604</v>
      </c>
      <c r="P17" s="562">
        <f t="shared" si="3"/>
        <v>0.64644696766685605</v>
      </c>
      <c r="Q17"/>
      <c r="R17" s="568">
        <v>0.58333333333333404</v>
      </c>
      <c r="S17" s="242">
        <v>1096.1521739130435</v>
      </c>
      <c r="T17" s="242">
        <v>1147.9477611940299</v>
      </c>
      <c r="U17" s="574">
        <v>1131.6843003412969</v>
      </c>
      <c r="V17" s="242">
        <v>113.51010101010101</v>
      </c>
      <c r="W17" s="242">
        <v>222.31069958847738</v>
      </c>
      <c r="X17" s="575">
        <v>190.81578947368422</v>
      </c>
    </row>
    <row r="18" spans="1:24" x14ac:dyDescent="0.25">
      <c r="A18" s="13" t="s">
        <v>506</v>
      </c>
      <c r="B18" s="242">
        <f>B17*B12</f>
        <v>12.912613653774329</v>
      </c>
      <c r="D18" s="579">
        <v>0.625</v>
      </c>
      <c r="E18" s="242">
        <f t="shared" si="0"/>
        <v>1166.5619784804569</v>
      </c>
      <c r="F18" s="242">
        <f t="shared" si="1"/>
        <v>1364.8876604631164</v>
      </c>
      <c r="G18" s="580">
        <f t="shared" si="13"/>
        <v>0.10016094430527162</v>
      </c>
      <c r="H18" s="242">
        <f t="shared" si="14"/>
        <v>1244.0752850708016</v>
      </c>
      <c r="I18" s="49">
        <f t="shared" si="12"/>
        <v>2.8937155517844086</v>
      </c>
      <c r="J18" s="562">
        <f t="shared" si="15"/>
        <v>2.6871199486894004</v>
      </c>
      <c r="K18" s="562">
        <f t="shared" si="7"/>
        <v>0.92860542116255651</v>
      </c>
      <c r="L18" s="49">
        <f t="shared" si="8"/>
        <v>0.85469450143950587</v>
      </c>
      <c r="M18" s="242">
        <f t="shared" si="9"/>
        <v>1063.3043055267999</v>
      </c>
      <c r="N18" s="562">
        <f t="shared" si="10"/>
        <v>3.3856723623595486</v>
      </c>
      <c r="O18" s="562">
        <f t="shared" si="16"/>
        <v>1.9629483529955809</v>
      </c>
      <c r="P18" s="562">
        <f t="shared" si="3"/>
        <v>0.57978095424081721</v>
      </c>
      <c r="Q18"/>
      <c r="R18" s="568">
        <v>0.625</v>
      </c>
      <c r="S18" s="242">
        <v>1053.733695652174</v>
      </c>
      <c r="T18" s="242">
        <v>1148.4452736318408</v>
      </c>
      <c r="U18" s="574">
        <v>1118.7064846416383</v>
      </c>
      <c r="V18" s="242">
        <v>112.82828282828282</v>
      </c>
      <c r="W18" s="242">
        <v>216.44238683127571</v>
      </c>
      <c r="X18" s="575">
        <v>186.44883040935673</v>
      </c>
    </row>
    <row r="19" spans="1:24" x14ac:dyDescent="0.25">
      <c r="A19" s="13" t="s">
        <v>359</v>
      </c>
      <c r="B19" s="242">
        <f>(B10-B11)+B18</f>
        <v>267.91261365377432</v>
      </c>
      <c r="D19" s="579">
        <v>0.66666666666666696</v>
      </c>
      <c r="E19" s="242">
        <f t="shared" si="0"/>
        <v>1175.6424022837066</v>
      </c>
      <c r="F19" s="242">
        <f t="shared" si="1"/>
        <v>1538.6056753270684</v>
      </c>
      <c r="G19" s="580">
        <f t="shared" si="13"/>
        <v>0.11290907070104164</v>
      </c>
      <c r="H19" s="242">
        <f t="shared" si="14"/>
        <v>1402.4167333263117</v>
      </c>
      <c r="I19" s="49">
        <f t="shared" si="12"/>
        <v>2.5669973228723295</v>
      </c>
      <c r="J19" s="562">
        <f t="shared" si="15"/>
        <v>3.4146633893749101</v>
      </c>
      <c r="K19" s="562">
        <f t="shared" si="7"/>
        <v>1.3302169655378091</v>
      </c>
      <c r="L19" s="49">
        <f t="shared" si="8"/>
        <v>0.76409597412527086</v>
      </c>
      <c r="M19" s="242">
        <f t="shared" si="9"/>
        <v>1071.5809799805484</v>
      </c>
      <c r="N19" s="562">
        <f t="shared" si="10"/>
        <v>3.3595221147592116</v>
      </c>
      <c r="O19" s="562">
        <f t="shared" si="16"/>
        <v>1.9936261483162809</v>
      </c>
      <c r="P19" s="562">
        <f t="shared" si="3"/>
        <v>0.59342551714655734</v>
      </c>
      <c r="Q19"/>
      <c r="R19" s="568">
        <v>0.66666666666666696</v>
      </c>
      <c r="S19" s="242">
        <v>1065.7282608695652</v>
      </c>
      <c r="T19" s="242">
        <v>1313.0995024875622</v>
      </c>
      <c r="U19" s="574">
        <v>1235.4266211604095</v>
      </c>
      <c r="V19" s="242">
        <v>109.91414141414141</v>
      </c>
      <c r="W19" s="242">
        <v>225.50617283950618</v>
      </c>
      <c r="X19" s="575">
        <v>192.04532163742689</v>
      </c>
    </row>
    <row r="20" spans="1:24" x14ac:dyDescent="0.25">
      <c r="A20" s="13" t="s">
        <v>507</v>
      </c>
      <c r="B20" s="242">
        <f>H11/G11</f>
        <v>7772.2306622933593</v>
      </c>
      <c r="D20" s="579">
        <v>0.70833333333333304</v>
      </c>
      <c r="E20" s="242">
        <f t="shared" si="0"/>
        <v>1174.274209486166</v>
      </c>
      <c r="F20" s="242">
        <f t="shared" si="1"/>
        <v>1941.8850193477058</v>
      </c>
      <c r="G20" s="580">
        <f t="shared" si="13"/>
        <v>0.14250333042364177</v>
      </c>
      <c r="H20" s="242">
        <f>B4</f>
        <v>1770</v>
      </c>
      <c r="I20" s="49">
        <f t="shared" si="12"/>
        <v>2.0338983050847457</v>
      </c>
      <c r="J20" s="562">
        <f t="shared" si="15"/>
        <v>5.4392655367231635</v>
      </c>
      <c r="K20" s="562">
        <f t="shared" si="7"/>
        <v>2.6743055555555557</v>
      </c>
      <c r="L20" s="49">
        <f t="shared" si="8"/>
        <v>0.6047084136220453</v>
      </c>
      <c r="M20" s="242">
        <f t="shared" si="9"/>
        <v>1070.3338921110201</v>
      </c>
      <c r="N20" s="562">
        <f>3600/M20</f>
        <v>3.3634364253380018</v>
      </c>
      <c r="O20" s="562">
        <f t="shared" si="16"/>
        <v>1.9889885514984091</v>
      </c>
      <c r="P20" s="562">
        <f t="shared" si="3"/>
        <v>0.59135607158043124</v>
      </c>
      <c r="Q20"/>
      <c r="R20" s="568">
        <v>0.70833333333333404</v>
      </c>
      <c r="S20" s="242">
        <v>1070.0923913043478</v>
      </c>
      <c r="T20" s="242">
        <v>1631.4776119402984</v>
      </c>
      <c r="U20" s="574">
        <v>1455.2064846416383</v>
      </c>
      <c r="V20" s="242">
        <v>104.18181818181819</v>
      </c>
      <c r="W20" s="242">
        <v>310.40740740740739</v>
      </c>
      <c r="X20" s="575">
        <v>250.71052631578948</v>
      </c>
    </row>
    <row r="21" spans="1:24" ht="15" customHeight="1" x14ac:dyDescent="0.25">
      <c r="A21" s="13" t="s">
        <v>508</v>
      </c>
      <c r="B21" s="242">
        <f>H20/G20</f>
        <v>12420.762341048776</v>
      </c>
      <c r="D21" s="579">
        <v>0.75</v>
      </c>
      <c r="E21" s="242">
        <f t="shared" si="0"/>
        <v>1113.7851339481774</v>
      </c>
      <c r="F21" s="242">
        <f t="shared" si="1"/>
        <v>1918.6602788526502</v>
      </c>
      <c r="G21" s="580">
        <f t="shared" si="13"/>
        <v>0.14079900558679745</v>
      </c>
      <c r="H21" s="242">
        <f>$B$21*G21</f>
        <v>1748.8309862496099</v>
      </c>
      <c r="I21" s="49">
        <f>(3600/H21)</f>
        <v>2.0585179633168815</v>
      </c>
      <c r="J21" s="562">
        <f t="shared" si="15"/>
        <v>5.3099374773411601</v>
      </c>
      <c r="K21" s="562">
        <f t="shared" si="7"/>
        <v>2.579495332061752</v>
      </c>
      <c r="L21" s="49">
        <f t="shared" si="8"/>
        <v>0.58050148128058177</v>
      </c>
      <c r="M21" s="242">
        <f t="shared" si="9"/>
        <v>1015.1989780272793</v>
      </c>
      <c r="N21" s="562">
        <f t="shared" si="10"/>
        <v>3.5461028605401776</v>
      </c>
      <c r="O21" s="562">
        <f t="shared" si="16"/>
        <v>1.7893531904643913</v>
      </c>
      <c r="P21" s="562">
        <f t="shared" si="3"/>
        <v>0.50459709174702827</v>
      </c>
      <c r="Q21"/>
      <c r="R21" s="568">
        <v>0.75</v>
      </c>
      <c r="S21" s="242">
        <v>1013.5326086956521</v>
      </c>
      <c r="T21" s="242">
        <v>1644.0820895522388</v>
      </c>
      <c r="U21" s="574">
        <v>1446.0938566552902</v>
      </c>
      <c r="V21" s="242">
        <v>100.25252525252525</v>
      </c>
      <c r="W21" s="242">
        <v>274.57818930041151</v>
      </c>
      <c r="X21" s="575">
        <v>224.11549707602339</v>
      </c>
    </row>
    <row r="22" spans="1:24" x14ac:dyDescent="0.25">
      <c r="A22" s="13" t="s">
        <v>509</v>
      </c>
      <c r="B22" s="242">
        <f>SUM(B20:B21)</f>
        <v>20192.993003342133</v>
      </c>
      <c r="D22" s="579">
        <v>0.79166666666666696</v>
      </c>
      <c r="E22" s="242">
        <f t="shared" si="0"/>
        <v>982.4841348265262</v>
      </c>
      <c r="F22" s="242">
        <f t="shared" si="1"/>
        <v>1316.5971070573059</v>
      </c>
      <c r="G22" s="580">
        <f t="shared" si="13"/>
        <v>9.6617189335350545E-2</v>
      </c>
      <c r="H22" s="242">
        <f t="shared" ref="H22:H26" si="17">$B$21*G22</f>
        <v>1200.0591467945014</v>
      </c>
      <c r="I22" s="49">
        <f t="shared" si="12"/>
        <v>2.9998521403016025</v>
      </c>
      <c r="J22" s="562">
        <f t="shared" si="15"/>
        <v>2.5003397836509391</v>
      </c>
      <c r="K22" s="562">
        <f t="shared" si="7"/>
        <v>0.83348767429569282</v>
      </c>
      <c r="L22" s="49">
        <f t="shared" si="8"/>
        <v>0.7462299055346191</v>
      </c>
      <c r="M22" s="242">
        <f t="shared" si="9"/>
        <v>895.52002374841641</v>
      </c>
      <c r="N22" s="562">
        <f t="shared" si="10"/>
        <v>4.0200106134213796</v>
      </c>
      <c r="O22" s="562">
        <f t="shared" si="16"/>
        <v>1.3923368913940302</v>
      </c>
      <c r="P22" s="562">
        <f t="shared" si="3"/>
        <v>0.34635154612416058</v>
      </c>
      <c r="Q22"/>
      <c r="R22" s="568">
        <v>0.79166666666666696</v>
      </c>
      <c r="S22" s="242">
        <v>889.91847826086962</v>
      </c>
      <c r="T22" s="242">
        <v>1164.9427860696517</v>
      </c>
      <c r="U22" s="574">
        <v>1078.5870307167236</v>
      </c>
      <c r="V22" s="242">
        <v>92.565656565656568</v>
      </c>
      <c r="W22" s="242">
        <v>151.65432098765433</v>
      </c>
      <c r="X22" s="575">
        <v>134.54970760233917</v>
      </c>
    </row>
    <row r="23" spans="1:24" x14ac:dyDescent="0.25">
      <c r="A23" s="13" t="s">
        <v>517</v>
      </c>
      <c r="B23" s="581">
        <f>(3600/H11)</f>
        <v>2.1686746987951806</v>
      </c>
      <c r="D23" s="579">
        <v>0.83333333333333304</v>
      </c>
      <c r="E23" s="242">
        <f t="shared" si="0"/>
        <v>779.15524813350896</v>
      </c>
      <c r="F23" s="242">
        <f t="shared" si="1"/>
        <v>905.79254959769059</v>
      </c>
      <c r="G23" s="580">
        <f t="shared" si="13"/>
        <v>6.6470699194101146E-2</v>
      </c>
      <c r="H23" s="242">
        <f t="shared" si="17"/>
        <v>825.61675733327274</v>
      </c>
      <c r="I23" s="49">
        <f t="shared" si="12"/>
        <v>4.3603766130279809</v>
      </c>
      <c r="J23" s="562">
        <f t="shared" si="15"/>
        <v>1.1834522140411392</v>
      </c>
      <c r="K23" s="562">
        <f t="shared" si="7"/>
        <v>0.27141054983764656</v>
      </c>
      <c r="L23" s="49">
        <f t="shared" si="8"/>
        <v>0.86019171661278537</v>
      </c>
      <c r="M23" s="242">
        <f t="shared" si="9"/>
        <v>710.18869575478936</v>
      </c>
      <c r="N23" s="562">
        <f t="shared" si="10"/>
        <v>5.0690753338081729</v>
      </c>
      <c r="O23" s="562">
        <f t="shared" si="16"/>
        <v>0.87567154741669539</v>
      </c>
      <c r="P23" s="562">
        <f t="shared" si="3"/>
        <v>0.17274778726928919</v>
      </c>
      <c r="Q23"/>
      <c r="R23" s="568">
        <v>0.83333333333333404</v>
      </c>
      <c r="S23" s="242">
        <v>702.195652173913</v>
      </c>
      <c r="T23" s="242">
        <v>806.04975124378109</v>
      </c>
      <c r="U23" s="574">
        <v>773.44027303754262</v>
      </c>
      <c r="V23" s="242">
        <v>76.959595959595958</v>
      </c>
      <c r="W23" s="242">
        <v>99.742798353909464</v>
      </c>
      <c r="X23" s="575">
        <v>93.147660818713447</v>
      </c>
    </row>
    <row r="24" spans="1:24" x14ac:dyDescent="0.25">
      <c r="A24" s="13" t="s">
        <v>518</v>
      </c>
      <c r="B24" s="581">
        <f>(3600/H20)</f>
        <v>2.0338983050847457</v>
      </c>
      <c r="D24" s="579">
        <v>0.875</v>
      </c>
      <c r="E24" s="242">
        <f t="shared" si="0"/>
        <v>634.50774044795787</v>
      </c>
      <c r="F24" s="242">
        <f t="shared" si="1"/>
        <v>709.34276150113635</v>
      </c>
      <c r="G24" s="580">
        <f t="shared" si="13"/>
        <v>5.2054423881270663E-2</v>
      </c>
      <c r="H24" s="242">
        <f t="shared" si="17"/>
        <v>646.55562782947675</v>
      </c>
      <c r="I24" s="49">
        <f t="shared" si="12"/>
        <v>5.5679663822359728</v>
      </c>
      <c r="J24" s="562">
        <f t="shared" si="15"/>
        <v>0.7257808764347945</v>
      </c>
      <c r="K24" s="562">
        <f t="shared" si="7"/>
        <v>0.13034936395275734</v>
      </c>
      <c r="L24" s="49">
        <f t="shared" si="8"/>
        <v>0.89450090264569704</v>
      </c>
      <c r="M24" s="242">
        <f t="shared" si="9"/>
        <v>578.34459270412231</v>
      </c>
      <c r="N24" s="562">
        <f t="shared" si="10"/>
        <v>6.2246626758759005</v>
      </c>
      <c r="O24" s="562">
        <f t="shared" si="16"/>
        <v>0.58072040612260289</v>
      </c>
      <c r="P24" s="562">
        <f t="shared" si="3"/>
        <v>9.3293474098319229E-2</v>
      </c>
      <c r="Q24"/>
      <c r="R24" s="568">
        <v>0.875</v>
      </c>
      <c r="S24" s="242">
        <v>573.03804347826087</v>
      </c>
      <c r="T24" s="242">
        <v>634.32835820895525</v>
      </c>
      <c r="U24" s="574">
        <v>615.08361774744026</v>
      </c>
      <c r="V24" s="242">
        <v>61.469696969696969</v>
      </c>
      <c r="W24" s="242">
        <v>75.014403292181072</v>
      </c>
      <c r="X24" s="575">
        <v>71.093567251461991</v>
      </c>
    </row>
    <row r="25" spans="1:24" x14ac:dyDescent="0.25">
      <c r="D25" s="579">
        <v>0.91666666666666696</v>
      </c>
      <c r="E25" s="242">
        <f t="shared" si="0"/>
        <v>487.29858366271407</v>
      </c>
      <c r="F25" s="242">
        <f t="shared" si="1"/>
        <v>532.78127879122906</v>
      </c>
      <c r="G25" s="580">
        <f t="shared" si="13"/>
        <v>3.9097632382281873E-2</v>
      </c>
      <c r="H25" s="242">
        <f t="shared" si="17"/>
        <v>485.62239991801584</v>
      </c>
      <c r="I25" s="49">
        <f t="shared" si="12"/>
        <v>7.4131671039222287</v>
      </c>
      <c r="J25" s="562">
        <f t="shared" si="15"/>
        <v>0.40944083099326722</v>
      </c>
      <c r="K25" s="562">
        <f t="shared" si="7"/>
        <v>5.5231566380938096E-2</v>
      </c>
      <c r="L25" s="49">
        <f t="shared" si="8"/>
        <v>0.91463158159065605</v>
      </c>
      <c r="M25" s="242">
        <f t="shared" si="9"/>
        <v>444.16558369286491</v>
      </c>
      <c r="N25" s="562">
        <f t="shared" si="10"/>
        <v>8.105085427981642</v>
      </c>
      <c r="O25" s="562">
        <f t="shared" si="16"/>
        <v>0.34251810796500665</v>
      </c>
      <c r="P25" s="562">
        <f t="shared" si="3"/>
        <v>4.2259654263792468E-2</v>
      </c>
      <c r="Q25"/>
      <c r="R25" s="568">
        <v>0.91666666666666696</v>
      </c>
      <c r="S25" s="242">
        <v>441.7228260869565</v>
      </c>
      <c r="T25" s="242">
        <v>477.13930348258708</v>
      </c>
      <c r="U25" s="574">
        <v>466.01877133105802</v>
      </c>
      <c r="V25" s="242">
        <v>45.575757575757578</v>
      </c>
      <c r="W25" s="242">
        <v>55.641975308641975</v>
      </c>
      <c r="X25" s="575">
        <v>52.728070175438596</v>
      </c>
    </row>
    <row r="26" spans="1:24" ht="15.75" thickBot="1" x14ac:dyDescent="0.3">
      <c r="D26" s="579">
        <v>0.95833333333333304</v>
      </c>
      <c r="E26" s="242">
        <f t="shared" si="0"/>
        <v>368.29666227492316</v>
      </c>
      <c r="F26" s="242">
        <f t="shared" si="1"/>
        <v>374.44490510410913</v>
      </c>
      <c r="G26" s="580">
        <f t="shared" si="13"/>
        <v>2.7478272660769569E-2</v>
      </c>
      <c r="H26" s="242">
        <f t="shared" si="17"/>
        <v>341.30109426195679</v>
      </c>
      <c r="I26" s="49">
        <f t="shared" si="12"/>
        <v>10.547871250705436</v>
      </c>
      <c r="J26" s="562">
        <f t="shared" si="15"/>
        <v>0.20224094671626938</v>
      </c>
      <c r="K26" s="562">
        <f t="shared" si="7"/>
        <v>1.9173626783010232E-2</v>
      </c>
      <c r="L26" s="49">
        <f t="shared" si="8"/>
        <v>0.98358038059704267</v>
      </c>
      <c r="M26" s="242">
        <f t="shared" si="9"/>
        <v>335.69706019236258</v>
      </c>
      <c r="N26" s="562">
        <f t="shared" si="10"/>
        <v>10.723954502124959</v>
      </c>
      <c r="O26" s="562">
        <f t="shared" si="16"/>
        <v>0.19565403291896449</v>
      </c>
      <c r="P26" s="562">
        <f t="shared" si="3"/>
        <v>1.8244578796021146E-2</v>
      </c>
      <c r="Q26"/>
      <c r="R26" s="569">
        <v>0.95833333333333404</v>
      </c>
      <c r="S26" s="576">
        <v>331.19565217391306</v>
      </c>
      <c r="T26" s="576">
        <v>333.06218905472639</v>
      </c>
      <c r="U26" s="577">
        <v>332.47610921501706</v>
      </c>
      <c r="V26" s="576">
        <v>37.101010101010104</v>
      </c>
      <c r="W26" s="576">
        <v>41.382716049382715</v>
      </c>
      <c r="X26" s="578">
        <v>40.143274853801167</v>
      </c>
    </row>
    <row r="27" spans="1:24" x14ac:dyDescent="0.25">
      <c r="A27" s="477" t="s">
        <v>357</v>
      </c>
      <c r="D27" s="10"/>
      <c r="E27" s="10"/>
      <c r="F27" s="10"/>
      <c r="G27" s="10"/>
      <c r="H27" s="10"/>
      <c r="I27" s="10"/>
      <c r="J27" s="10"/>
      <c r="K27" s="10"/>
    </row>
    <row r="28" spans="1:24" x14ac:dyDescent="0.25">
      <c r="A28" s="478" t="s">
        <v>349</v>
      </c>
      <c r="J28" s="10"/>
      <c r="K28" s="10"/>
      <c r="R28" s="806" t="s">
        <v>503</v>
      </c>
      <c r="S28" s="806"/>
      <c r="T28" s="806"/>
      <c r="U28" s="806"/>
      <c r="V28" s="806"/>
      <c r="W28" s="806"/>
      <c r="X28" s="806"/>
    </row>
    <row r="29" spans="1:24" ht="15" customHeight="1" thickBot="1" x14ac:dyDescent="0.3">
      <c r="A29" s="479" t="s">
        <v>356</v>
      </c>
      <c r="R29" s="806"/>
      <c r="S29" s="806"/>
      <c r="T29" s="806"/>
      <c r="U29" s="806"/>
      <c r="V29" s="806"/>
      <c r="W29" s="806"/>
      <c r="X29" s="806"/>
    </row>
    <row r="30" spans="1:24" x14ac:dyDescent="0.25">
      <c r="R30" s="806"/>
      <c r="S30" s="806"/>
      <c r="T30" s="806"/>
      <c r="U30" s="806"/>
      <c r="V30" s="806"/>
      <c r="W30" s="806"/>
      <c r="X30" s="806"/>
    </row>
    <row r="31" spans="1:24" x14ac:dyDescent="0.25">
      <c r="B31" s="74"/>
      <c r="G31" s="8" t="s">
        <v>504</v>
      </c>
      <c r="R31" s="806"/>
      <c r="S31" s="806"/>
      <c r="T31" s="806"/>
      <c r="U31" s="806"/>
      <c r="V31" s="806"/>
      <c r="W31" s="806"/>
      <c r="X31" s="806"/>
    </row>
    <row r="32" spans="1:24" x14ac:dyDescent="0.25">
      <c r="R32" s="806"/>
      <c r="S32" s="806"/>
      <c r="T32" s="806"/>
      <c r="U32" s="806"/>
      <c r="V32" s="806"/>
      <c r="W32" s="806"/>
      <c r="X32" s="806"/>
    </row>
    <row r="33" spans="1:19" ht="15" customHeight="1" x14ac:dyDescent="0.25">
      <c r="A33" s="672" t="s">
        <v>556</v>
      </c>
      <c r="B33" s="672"/>
      <c r="C33" s="672"/>
      <c r="M33" s="388"/>
      <c r="S33" s="35"/>
    </row>
    <row r="34" spans="1:19" x14ac:dyDescent="0.25">
      <c r="A34" s="672"/>
      <c r="B34" s="672"/>
      <c r="C34" s="672"/>
      <c r="K34" s="10"/>
      <c r="L34" s="388"/>
      <c r="M34" s="405"/>
      <c r="N34" s="405"/>
      <c r="O34" s="565"/>
      <c r="P34" s="566"/>
      <c r="S34" s="35"/>
    </row>
    <row r="35" spans="1:19" x14ac:dyDescent="0.25">
      <c r="A35" s="672"/>
      <c r="B35" s="672"/>
      <c r="C35" s="672"/>
      <c r="K35" s="10"/>
      <c r="L35" s="388"/>
      <c r="M35" s="405"/>
      <c r="N35" s="405"/>
      <c r="O35" s="565"/>
      <c r="P35" s="566"/>
      <c r="S35" s="35"/>
    </row>
    <row r="36" spans="1:19" x14ac:dyDescent="0.25">
      <c r="A36" s="672"/>
      <c r="B36" s="672"/>
      <c r="C36" s="672"/>
      <c r="N36" s="405"/>
      <c r="S36" s="35"/>
    </row>
    <row r="37" spans="1:19" ht="15" customHeight="1" x14ac:dyDescent="0.25">
      <c r="A37" s="672" t="s">
        <v>557</v>
      </c>
      <c r="B37" s="672"/>
      <c r="C37" s="672"/>
      <c r="I37" s="10"/>
      <c r="J37" s="10"/>
      <c r="M37" s="388"/>
      <c r="S37" s="35"/>
    </row>
    <row r="38" spans="1:19" x14ac:dyDescent="0.25">
      <c r="A38" s="672"/>
      <c r="B38" s="672"/>
      <c r="C38" s="672"/>
      <c r="H38" s="388"/>
      <c r="J38" s="563"/>
      <c r="M38" s="35"/>
      <c r="S38" s="35"/>
    </row>
    <row r="39" spans="1:19" x14ac:dyDescent="0.25">
      <c r="A39" s="672"/>
      <c r="B39" s="672"/>
      <c r="C39" s="672"/>
      <c r="M39" s="35"/>
      <c r="S39" s="35"/>
    </row>
    <row r="40" spans="1:19" x14ac:dyDescent="0.25">
      <c r="A40" s="672"/>
      <c r="B40" s="672"/>
      <c r="C40" s="672"/>
      <c r="H40" s="388"/>
      <c r="J40" s="563"/>
      <c r="M40" s="564"/>
      <c r="S40" s="35"/>
    </row>
    <row r="41" spans="1:19" x14ac:dyDescent="0.25">
      <c r="A41" s="672"/>
      <c r="B41" s="672"/>
      <c r="C41" s="672"/>
      <c r="S41" s="35"/>
    </row>
    <row r="42" spans="1:19" x14ac:dyDescent="0.25">
      <c r="A42" s="672"/>
      <c r="B42" s="672"/>
      <c r="C42" s="672"/>
      <c r="S42" s="35"/>
    </row>
    <row r="43" spans="1:19" x14ac:dyDescent="0.25">
      <c r="A43" s="672"/>
      <c r="B43" s="672"/>
      <c r="C43" s="672"/>
      <c r="S43" s="35"/>
    </row>
    <row r="44" spans="1:19" x14ac:dyDescent="0.25">
      <c r="A44" s="672"/>
      <c r="B44" s="672"/>
      <c r="C44" s="672"/>
      <c r="S44" s="35"/>
    </row>
    <row r="45" spans="1:19" x14ac:dyDescent="0.25">
      <c r="A45" s="672"/>
      <c r="B45" s="672"/>
      <c r="C45" s="672"/>
      <c r="S45" s="35"/>
    </row>
    <row r="46" spans="1:19" ht="15" customHeight="1" x14ac:dyDescent="0.25">
      <c r="A46" s="672" t="s">
        <v>558</v>
      </c>
      <c r="B46" s="672"/>
      <c r="C46" s="672"/>
      <c r="S46" s="35"/>
    </row>
    <row r="47" spans="1:19" x14ac:dyDescent="0.25">
      <c r="A47" s="672"/>
      <c r="B47" s="672"/>
      <c r="C47" s="672"/>
      <c r="S47" s="35"/>
    </row>
    <row r="48" spans="1:19" x14ac:dyDescent="0.25">
      <c r="A48" s="672"/>
      <c r="B48" s="672"/>
      <c r="C48" s="672"/>
      <c r="S48" s="35"/>
    </row>
    <row r="49" spans="1:19" x14ac:dyDescent="0.25">
      <c r="A49" s="672"/>
      <c r="B49" s="672"/>
      <c r="C49" s="672"/>
      <c r="S49" s="35"/>
    </row>
    <row r="50" spans="1:19" x14ac:dyDescent="0.25">
      <c r="A50" s="672"/>
      <c r="B50" s="672"/>
      <c r="C50" s="672"/>
      <c r="S50" s="35"/>
    </row>
    <row r="51" spans="1:19" x14ac:dyDescent="0.25">
      <c r="A51" s="672" t="s">
        <v>559</v>
      </c>
      <c r="B51" s="672"/>
      <c r="C51" s="672"/>
      <c r="S51" s="35"/>
    </row>
    <row r="52" spans="1:19" x14ac:dyDescent="0.25">
      <c r="A52" s="672"/>
      <c r="B52" s="672"/>
      <c r="C52" s="672"/>
    </row>
    <row r="53" spans="1:19" x14ac:dyDescent="0.25">
      <c r="A53" s="672"/>
      <c r="B53" s="672"/>
      <c r="C53" s="672"/>
    </row>
    <row r="54" spans="1:19" x14ac:dyDescent="0.25">
      <c r="A54" s="672"/>
      <c r="B54" s="672"/>
      <c r="C54" s="672"/>
    </row>
    <row r="55" spans="1:19" x14ac:dyDescent="0.25">
      <c r="A55" s="672"/>
      <c r="B55" s="672"/>
      <c r="C55" s="672"/>
    </row>
    <row r="56" spans="1:19" x14ac:dyDescent="0.25">
      <c r="A56" s="672"/>
      <c r="B56" s="672"/>
      <c r="C56" s="672"/>
    </row>
    <row r="57" spans="1:19" x14ac:dyDescent="0.25">
      <c r="A57" s="672"/>
      <c r="B57" s="672"/>
      <c r="C57" s="672"/>
    </row>
    <row r="58" spans="1:19" x14ac:dyDescent="0.25">
      <c r="A58" s="672"/>
      <c r="B58" s="672"/>
      <c r="C58" s="672"/>
    </row>
    <row r="59" spans="1:19" x14ac:dyDescent="0.25">
      <c r="A59" s="672"/>
      <c r="B59" s="672"/>
      <c r="C59" s="672"/>
    </row>
    <row r="60" spans="1:19" x14ac:dyDescent="0.25">
      <c r="A60" s="672" t="s">
        <v>560</v>
      </c>
      <c r="B60" s="672"/>
      <c r="C60" s="672"/>
    </row>
    <row r="61" spans="1:19" x14ac:dyDescent="0.25">
      <c r="A61" s="672"/>
      <c r="B61" s="672"/>
      <c r="C61" s="672"/>
    </row>
    <row r="62" spans="1:19" x14ac:dyDescent="0.25">
      <c r="A62" s="672"/>
      <c r="B62" s="672"/>
      <c r="C62" s="672"/>
    </row>
    <row r="63" spans="1:19" x14ac:dyDescent="0.25">
      <c r="A63" s="672"/>
      <c r="B63" s="672"/>
      <c r="C63" s="672"/>
    </row>
    <row r="64" spans="1:19" x14ac:dyDescent="0.25">
      <c r="A64" s="672"/>
      <c r="B64" s="672"/>
      <c r="C64" s="672"/>
    </row>
    <row r="65" spans="1:3" x14ac:dyDescent="0.25">
      <c r="A65" s="672"/>
      <c r="B65" s="672"/>
      <c r="C65" s="672"/>
    </row>
    <row r="66" spans="1:3" x14ac:dyDescent="0.25">
      <c r="A66" s="672"/>
      <c r="B66" s="672"/>
      <c r="C66" s="672"/>
    </row>
    <row r="67" spans="1:3" x14ac:dyDescent="0.25">
      <c r="A67" s="672"/>
      <c r="B67" s="672"/>
      <c r="C67" s="672"/>
    </row>
    <row r="68" spans="1:3" ht="15" customHeight="1" x14ac:dyDescent="0.25">
      <c r="A68" s="672" t="s">
        <v>561</v>
      </c>
      <c r="B68" s="672"/>
      <c r="C68" s="672"/>
    </row>
    <row r="69" spans="1:3" x14ac:dyDescent="0.25">
      <c r="A69" s="672"/>
      <c r="B69" s="672"/>
      <c r="C69" s="672"/>
    </row>
    <row r="70" spans="1:3" x14ac:dyDescent="0.25">
      <c r="A70" s="672"/>
      <c r="B70" s="672"/>
      <c r="C70" s="672"/>
    </row>
    <row r="71" spans="1:3" x14ac:dyDescent="0.25">
      <c r="A71" s="672"/>
      <c r="B71" s="672"/>
      <c r="C71" s="672"/>
    </row>
    <row r="72" spans="1:3" x14ac:dyDescent="0.25">
      <c r="A72" s="672"/>
      <c r="B72" s="672"/>
      <c r="C72" s="672"/>
    </row>
    <row r="73" spans="1:3" x14ac:dyDescent="0.25">
      <c r="A73" s="672" t="s">
        <v>562</v>
      </c>
      <c r="B73" s="672"/>
      <c r="C73" s="672"/>
    </row>
    <row r="74" spans="1:3" x14ac:dyDescent="0.25">
      <c r="A74" s="672"/>
      <c r="B74" s="672"/>
      <c r="C74" s="672"/>
    </row>
    <row r="75" spans="1:3" x14ac:dyDescent="0.25">
      <c r="A75" s="672"/>
      <c r="B75" s="672"/>
      <c r="C75" s="672"/>
    </row>
    <row r="76" spans="1:3" x14ac:dyDescent="0.25">
      <c r="A76" s="672"/>
      <c r="B76" s="672"/>
      <c r="C76" s="672"/>
    </row>
    <row r="77" spans="1:3" x14ac:dyDescent="0.25">
      <c r="A77" s="672"/>
      <c r="B77" s="672"/>
      <c r="C77" s="672"/>
    </row>
    <row r="78" spans="1:3" ht="15" customHeight="1" x14ac:dyDescent="0.25">
      <c r="A78" s="672" t="s">
        <v>563</v>
      </c>
      <c r="B78" s="672"/>
      <c r="C78" s="672"/>
    </row>
    <row r="79" spans="1:3" x14ac:dyDescent="0.25">
      <c r="A79" s="672"/>
      <c r="B79" s="672"/>
      <c r="C79" s="672"/>
    </row>
    <row r="80" spans="1:3" x14ac:dyDescent="0.25">
      <c r="A80" s="672"/>
      <c r="B80" s="672"/>
      <c r="C80" s="672"/>
    </row>
    <row r="81" spans="1:3" x14ac:dyDescent="0.25">
      <c r="A81" s="672"/>
      <c r="B81" s="672"/>
      <c r="C81" s="672"/>
    </row>
    <row r="82" spans="1:3" x14ac:dyDescent="0.25">
      <c r="A82" s="672"/>
      <c r="B82" s="672"/>
      <c r="C82" s="672"/>
    </row>
    <row r="83" spans="1:3" x14ac:dyDescent="0.25">
      <c r="A83" s="672"/>
      <c r="B83" s="672"/>
      <c r="C83" s="672"/>
    </row>
    <row r="84" spans="1:3" x14ac:dyDescent="0.25">
      <c r="A84" s="672"/>
      <c r="B84" s="672"/>
      <c r="C84" s="672"/>
    </row>
    <row r="85" spans="1:3" x14ac:dyDescent="0.25">
      <c r="A85" s="672"/>
      <c r="B85" s="672"/>
      <c r="C85" s="672"/>
    </row>
    <row r="86" spans="1:3" x14ac:dyDescent="0.25">
      <c r="A86" s="672"/>
      <c r="B86" s="672"/>
      <c r="C86" s="672"/>
    </row>
    <row r="87" spans="1:3" x14ac:dyDescent="0.25">
      <c r="A87" s="672"/>
      <c r="B87" s="672"/>
      <c r="C87" s="672"/>
    </row>
    <row r="88" spans="1:3" x14ac:dyDescent="0.25">
      <c r="A88" s="672" t="s">
        <v>564</v>
      </c>
      <c r="B88" s="672"/>
      <c r="C88" s="672"/>
    </row>
    <row r="89" spans="1:3" x14ac:dyDescent="0.25">
      <c r="A89" s="672"/>
      <c r="B89" s="672"/>
      <c r="C89" s="672"/>
    </row>
    <row r="90" spans="1:3" x14ac:dyDescent="0.25">
      <c r="A90" s="672"/>
      <c r="B90" s="672"/>
      <c r="C90" s="672"/>
    </row>
    <row r="91" spans="1:3" x14ac:dyDescent="0.25">
      <c r="A91" s="672"/>
      <c r="B91" s="672"/>
      <c r="C91" s="672"/>
    </row>
    <row r="92" spans="1:3" x14ac:dyDescent="0.25">
      <c r="A92" s="672"/>
      <c r="B92" s="672"/>
      <c r="C92" s="672"/>
    </row>
    <row r="93" spans="1:3" ht="15" customHeight="1" x14ac:dyDescent="0.25">
      <c r="A93" s="672" t="s">
        <v>565</v>
      </c>
      <c r="B93" s="672"/>
      <c r="C93" s="672"/>
    </row>
    <row r="94" spans="1:3" x14ac:dyDescent="0.25">
      <c r="A94" s="672"/>
      <c r="B94" s="672"/>
      <c r="C94" s="672"/>
    </row>
    <row r="95" spans="1:3" x14ac:dyDescent="0.25">
      <c r="A95" s="672"/>
      <c r="B95" s="672"/>
      <c r="C95" s="672"/>
    </row>
    <row r="96" spans="1:3" x14ac:dyDescent="0.25">
      <c r="A96" s="672"/>
      <c r="B96" s="672"/>
      <c r="C96" s="672"/>
    </row>
    <row r="97" spans="1:3" x14ac:dyDescent="0.25">
      <c r="A97" s="672"/>
      <c r="B97" s="672"/>
      <c r="C97" s="672"/>
    </row>
    <row r="98" spans="1:3" x14ac:dyDescent="0.25">
      <c r="A98" s="672"/>
      <c r="B98" s="672"/>
      <c r="C98" s="672"/>
    </row>
    <row r="99" spans="1:3" x14ac:dyDescent="0.25">
      <c r="A99" s="672"/>
      <c r="B99" s="672"/>
      <c r="C99" s="672"/>
    </row>
    <row r="100" spans="1:3" x14ac:dyDescent="0.25">
      <c r="A100" s="672"/>
      <c r="B100" s="672"/>
      <c r="C100" s="672"/>
    </row>
    <row r="101" spans="1:3" x14ac:dyDescent="0.25">
      <c r="A101" s="672"/>
      <c r="B101" s="672"/>
      <c r="C101" s="672"/>
    </row>
    <row r="102" spans="1:3" x14ac:dyDescent="0.25">
      <c r="A102" s="672"/>
      <c r="B102" s="672"/>
      <c r="C102" s="672"/>
    </row>
    <row r="103" spans="1:3" x14ac:dyDescent="0.25">
      <c r="A103" s="672" t="s">
        <v>566</v>
      </c>
      <c r="B103" s="672"/>
      <c r="C103" s="672"/>
    </row>
    <row r="104" spans="1:3" x14ac:dyDescent="0.25">
      <c r="A104" s="672"/>
      <c r="B104" s="672"/>
      <c r="C104" s="672"/>
    </row>
    <row r="105" spans="1:3" x14ac:dyDescent="0.25">
      <c r="A105" s="672"/>
      <c r="B105" s="672"/>
      <c r="C105" s="672"/>
    </row>
    <row r="106" spans="1:3" x14ac:dyDescent="0.25">
      <c r="A106" s="672"/>
      <c r="B106" s="672"/>
      <c r="C106" s="672"/>
    </row>
    <row r="107" spans="1:3" x14ac:dyDescent="0.25">
      <c r="A107" s="672"/>
      <c r="B107" s="672"/>
      <c r="C107" s="672"/>
    </row>
    <row r="108" spans="1:3" x14ac:dyDescent="0.25">
      <c r="A108" s="672"/>
      <c r="B108" s="672"/>
      <c r="C108" s="672"/>
    </row>
    <row r="109" spans="1:3" x14ac:dyDescent="0.25">
      <c r="A109" s="672"/>
      <c r="B109" s="672"/>
      <c r="C109" s="672"/>
    </row>
    <row r="110" spans="1:3" x14ac:dyDescent="0.25">
      <c r="A110" s="672" t="s">
        <v>567</v>
      </c>
      <c r="B110" s="672"/>
      <c r="C110" s="672"/>
    </row>
    <row r="111" spans="1:3" x14ac:dyDescent="0.25">
      <c r="A111" s="672"/>
      <c r="B111" s="672"/>
      <c r="C111" s="672"/>
    </row>
    <row r="112" spans="1:3" x14ac:dyDescent="0.25">
      <c r="A112" s="672"/>
      <c r="B112" s="672"/>
      <c r="C112" s="672"/>
    </row>
    <row r="113" spans="1:3" x14ac:dyDescent="0.25">
      <c r="A113" s="672"/>
      <c r="B113" s="672"/>
      <c r="C113" s="672"/>
    </row>
    <row r="114" spans="1:3" x14ac:dyDescent="0.25">
      <c r="A114" s="672"/>
      <c r="B114" s="672"/>
      <c r="C114" s="672"/>
    </row>
    <row r="115" spans="1:3" x14ac:dyDescent="0.25">
      <c r="A115" s="672"/>
      <c r="B115" s="672"/>
      <c r="C115" s="672"/>
    </row>
    <row r="116" spans="1:3" x14ac:dyDescent="0.25">
      <c r="A116" s="672"/>
      <c r="B116" s="672"/>
      <c r="C116" s="672"/>
    </row>
    <row r="117" spans="1:3" x14ac:dyDescent="0.25">
      <c r="A117" s="672"/>
      <c r="B117" s="672"/>
      <c r="C117" s="672"/>
    </row>
  </sheetData>
  <mergeCells count="31">
    <mergeCell ref="E1:E2"/>
    <mergeCell ref="F1:F2"/>
    <mergeCell ref="D1:D2"/>
    <mergeCell ref="A37:C45"/>
    <mergeCell ref="G1:G2"/>
    <mergeCell ref="H1:H2"/>
    <mergeCell ref="L1:L2"/>
    <mergeCell ref="P1:P2"/>
    <mergeCell ref="R28:X32"/>
    <mergeCell ref="S1:U1"/>
    <mergeCell ref="V1:X1"/>
    <mergeCell ref="R1:R2"/>
    <mergeCell ref="O1:O2"/>
    <mergeCell ref="J1:J2"/>
    <mergeCell ref="K1:K2"/>
    <mergeCell ref="M1:M2"/>
    <mergeCell ref="N1:N2"/>
    <mergeCell ref="I1:I2"/>
    <mergeCell ref="A46:C50"/>
    <mergeCell ref="A51:C59"/>
    <mergeCell ref="A60:C67"/>
    <mergeCell ref="B1:B2"/>
    <mergeCell ref="A1:A2"/>
    <mergeCell ref="A33:C36"/>
    <mergeCell ref="A103:C109"/>
    <mergeCell ref="A110:C117"/>
    <mergeCell ref="A88:C92"/>
    <mergeCell ref="A93:C102"/>
    <mergeCell ref="A68:C72"/>
    <mergeCell ref="A73:C77"/>
    <mergeCell ref="A78:C87"/>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750089-FFFB-42BF-84D5-A30068297A83}">
  <dimension ref="B2:T54"/>
  <sheetViews>
    <sheetView showGridLines="0" topLeftCell="A33" zoomScale="115" zoomScaleNormal="115" workbookViewId="0">
      <selection activeCell="E28" sqref="E28"/>
    </sheetView>
  </sheetViews>
  <sheetFormatPr defaultRowHeight="15" x14ac:dyDescent="0.25"/>
  <cols>
    <col min="2" max="2" width="29.7109375" bestFit="1" customWidth="1"/>
    <col min="3" max="3" width="19.42578125" bestFit="1" customWidth="1"/>
    <col min="4" max="4" width="19.140625" bestFit="1" customWidth="1"/>
    <col min="5" max="5" width="13.5703125" bestFit="1" customWidth="1"/>
    <col min="6" max="6" width="18.5703125" bestFit="1" customWidth="1"/>
    <col min="7" max="7" width="13.85546875" bestFit="1" customWidth="1"/>
    <col min="8" max="8" width="14.28515625" bestFit="1" customWidth="1"/>
    <col min="9" max="9" width="12.7109375" bestFit="1" customWidth="1"/>
    <col min="10" max="10" width="27.140625" bestFit="1" customWidth="1"/>
    <col min="11" max="11" width="16.140625" bestFit="1" customWidth="1"/>
    <col min="12" max="12" width="11.28515625" bestFit="1" customWidth="1"/>
    <col min="17" max="17" width="11.140625" bestFit="1" customWidth="1"/>
    <col min="18" max="18" width="10.140625" bestFit="1" customWidth="1"/>
  </cols>
  <sheetData>
    <row r="2" spans="2:20" ht="15.75" thickBot="1" x14ac:dyDescent="0.3"/>
    <row r="3" spans="2:20" x14ac:dyDescent="0.25">
      <c r="B3" s="516"/>
      <c r="C3" s="517" t="s">
        <v>48</v>
      </c>
    </row>
    <row r="4" spans="2:20" x14ac:dyDescent="0.25">
      <c r="B4" s="518" t="s">
        <v>49</v>
      </c>
      <c r="C4" s="519">
        <f>'BCA Summary'!C51</f>
        <v>68100000</v>
      </c>
      <c r="P4" s="10"/>
      <c r="Q4" s="10"/>
      <c r="R4" s="10"/>
      <c r="S4" s="10"/>
      <c r="T4" s="10"/>
    </row>
    <row r="5" spans="2:20" x14ac:dyDescent="0.25">
      <c r="B5" s="518" t="s">
        <v>50</v>
      </c>
      <c r="C5" s="519">
        <f>'BCA Summary'!C52</f>
        <v>39000000</v>
      </c>
      <c r="J5" s="10" t="str">
        <f>'Crash Cost Savings'!Q4</f>
        <v>No Build</v>
      </c>
      <c r="K5" s="10" t="s">
        <v>2</v>
      </c>
    </row>
    <row r="6" spans="2:20" x14ac:dyDescent="0.25">
      <c r="B6" s="518" t="s">
        <v>51</v>
      </c>
      <c r="C6" s="520">
        <f>'BCA Summary'!C53</f>
        <v>1.7461538461538462</v>
      </c>
      <c r="J6" s="108">
        <f>-'Crash Cost Savings'!Q5</f>
        <v>-113623.34353806337</v>
      </c>
      <c r="K6" s="108">
        <f>-'Crash Cost Savings'!R5</f>
        <v>-44793.392046354136</v>
      </c>
    </row>
    <row r="7" spans="2:20" ht="15.75" thickBot="1" x14ac:dyDescent="0.3">
      <c r="B7" s="521" t="s">
        <v>52</v>
      </c>
      <c r="C7" s="120">
        <f>'BCA Summary'!C54</f>
        <v>29100000</v>
      </c>
      <c r="J7" s="108">
        <f>-'Crash Cost Savings'!Q6</f>
        <v>-115782.18706528658</v>
      </c>
      <c r="K7" s="108">
        <f>-'Crash Cost Savings'!R6</f>
        <v>-45644.466495234861</v>
      </c>
    </row>
    <row r="8" spans="2:20" ht="15.75" thickBot="1" x14ac:dyDescent="0.3">
      <c r="J8" s="108">
        <f>-'Crash Cost Savings'!Q7</f>
        <v>-117982.04861952706</v>
      </c>
      <c r="K8" s="108">
        <f>-'Crash Cost Savings'!R7</f>
        <v>-46511.71135864433</v>
      </c>
    </row>
    <row r="9" spans="2:20" x14ac:dyDescent="0.25">
      <c r="B9" s="511" t="s">
        <v>390</v>
      </c>
      <c r="C9" s="512" t="s">
        <v>146</v>
      </c>
      <c r="D9" s="512" t="s">
        <v>147</v>
      </c>
      <c r="E9" s="512" t="s">
        <v>148</v>
      </c>
      <c r="F9" s="512" t="s">
        <v>149</v>
      </c>
      <c r="G9" s="513" t="s">
        <v>150</v>
      </c>
      <c r="J9" s="108">
        <f>-'Crash Cost Savings'!Q8</f>
        <v>-120223.70754329803</v>
      </c>
      <c r="K9" s="108">
        <f>-'Crash Cost Savings'!R8</f>
        <v>-47395.433874458562</v>
      </c>
    </row>
    <row r="10" spans="2:20" x14ac:dyDescent="0.25">
      <c r="B10" s="510" t="s">
        <v>1</v>
      </c>
      <c r="C10" s="524">
        <f>SUM('Crash Cost Savings'!G5:G24)</f>
        <v>0</v>
      </c>
      <c r="D10" s="524">
        <f>SUM('Crash Cost Savings'!H5:H24)</f>
        <v>0</v>
      </c>
      <c r="E10" s="524">
        <f>SUM('Crash Cost Savings'!I5:I24)</f>
        <v>4.4689303945153807</v>
      </c>
      <c r="F10" s="524">
        <f>SUM('Crash Cost Savings'!J5:J24)</f>
        <v>13.018188540544804</v>
      </c>
      <c r="G10" s="525">
        <f>SUM('Crash Cost Savings'!K5:K24)</f>
        <v>46.891385588828051</v>
      </c>
      <c r="J10" s="108">
        <f>-'Crash Cost Savings'!Q9</f>
        <v>-122507.95798662068</v>
      </c>
      <c r="K10" s="108">
        <f>-'Crash Cost Savings'!R9</f>
        <v>-48295.947118073265</v>
      </c>
    </row>
    <row r="11" spans="2:20" x14ac:dyDescent="0.25">
      <c r="B11" s="510" t="s">
        <v>2</v>
      </c>
      <c r="C11" s="524">
        <f>SUM('Crash Cost Savings'!L5:L24)</f>
        <v>0</v>
      </c>
      <c r="D11" s="524">
        <f>SUM('Crash Cost Savings'!M5:M24)</f>
        <v>0</v>
      </c>
      <c r="E11" s="524">
        <f>SUM('Crash Cost Savings'!N5:N24)</f>
        <v>1.6141906119203888</v>
      </c>
      <c r="F11" s="524">
        <f>SUM('Crash Cost Savings'!O5:O24)</f>
        <v>4.6605762646222066</v>
      </c>
      <c r="G11" s="525">
        <f>SUM('Crash Cost Savings'!P5:P24)</f>
        <v>35.921132976900303</v>
      </c>
      <c r="J11" s="108">
        <f>-'Crash Cost Savings'!Q10</f>
        <v>-124835.60918836648</v>
      </c>
      <c r="K11" s="108">
        <f>-'Crash Cost Savings'!R10</f>
        <v>-49213.570113316673</v>
      </c>
    </row>
    <row r="12" spans="2:20" ht="15.75" thickBot="1" x14ac:dyDescent="0.3">
      <c r="B12" s="523" t="s">
        <v>392</v>
      </c>
      <c r="C12" s="526">
        <f>C10-C11</f>
        <v>0</v>
      </c>
      <c r="D12" s="526">
        <f t="shared" ref="D12:G12" si="0">D10-D11</f>
        <v>0</v>
      </c>
      <c r="E12" s="526">
        <f t="shared" si="0"/>
        <v>2.8547397825949918</v>
      </c>
      <c r="F12" s="526">
        <f t="shared" si="0"/>
        <v>8.3576122759225981</v>
      </c>
      <c r="G12" s="527">
        <f t="shared" si="0"/>
        <v>10.970252611927748</v>
      </c>
      <c r="J12" s="108">
        <f>-'Crash Cost Savings'!Q11</f>
        <v>-127207.48576294545</v>
      </c>
      <c r="K12" s="108">
        <f>-'Crash Cost Savings'!R11</f>
        <v>-50148.627945469685</v>
      </c>
    </row>
    <row r="13" spans="2:20" x14ac:dyDescent="0.25">
      <c r="B13" s="10"/>
      <c r="C13" s="531"/>
      <c r="D13" s="531"/>
      <c r="E13" s="531"/>
      <c r="F13" s="531"/>
      <c r="G13" s="531"/>
      <c r="J13" s="108">
        <f>-'Crash Cost Savings'!Q12</f>
        <v>-129624.4279924414</v>
      </c>
      <c r="K13" s="108">
        <f>-'Crash Cost Savings'!R12</f>
        <v>-51101.45187643361</v>
      </c>
    </row>
    <row r="14" spans="2:20" ht="15.75" thickBot="1" x14ac:dyDescent="0.3">
      <c r="B14" s="20" t="s">
        <v>393</v>
      </c>
      <c r="J14" s="108">
        <f>-'Crash Cost Savings'!Q13</f>
        <v>-132087.29212429779</v>
      </c>
      <c r="K14" s="108">
        <f>-'Crash Cost Savings'!R13</f>
        <v>-52072.379462085846</v>
      </c>
    </row>
    <row r="15" spans="2:20" x14ac:dyDescent="0.25">
      <c r="B15" s="511" t="s">
        <v>1</v>
      </c>
      <c r="C15" s="512" t="s">
        <v>2</v>
      </c>
      <c r="D15" s="513" t="s">
        <v>383</v>
      </c>
      <c r="J15" s="108">
        <f>-'Crash Cost Savings'!Q14</f>
        <v>-134596.95067465943</v>
      </c>
      <c r="K15" s="108">
        <f>-'Crash Cost Savings'!R14</f>
        <v>-53061.754671865463</v>
      </c>
    </row>
    <row r="16" spans="2:20" ht="15.75" thickBot="1" x14ac:dyDescent="0.3">
      <c r="B16" s="514">
        <f>ROUND(SUM(J6:J25)/100000,0)*100000</f>
        <v>-2700000</v>
      </c>
      <c r="C16" s="515">
        <f>ROUND(SUM(K6:K25)/100000,0)*100000</f>
        <v>-1100000</v>
      </c>
      <c r="D16" s="120">
        <f>C16-B16</f>
        <v>1600000</v>
      </c>
      <c r="J16" s="108">
        <f>-'Crash Cost Savings'!Q15</f>
        <v>-137154.29273747795</v>
      </c>
      <c r="K16" s="108">
        <f>-'Crash Cost Savings'!R15</f>
        <v>-54069.928010630916</v>
      </c>
    </row>
    <row r="17" spans="2:11" ht="15.75" thickBot="1" x14ac:dyDescent="0.3">
      <c r="J17" s="108">
        <f>-'Crash Cost Savings'!Q16</f>
        <v>-139760.22429949002</v>
      </c>
      <c r="K17" s="108">
        <f>-'Crash Cost Savings'!R16</f>
        <v>-55097.256642832886</v>
      </c>
    </row>
    <row r="18" spans="2:11" ht="18" x14ac:dyDescent="0.25">
      <c r="B18" s="511" t="s">
        <v>384</v>
      </c>
      <c r="C18" s="416" t="s">
        <v>385</v>
      </c>
      <c r="D18" s="416" t="s">
        <v>386</v>
      </c>
      <c r="E18" s="416" t="s">
        <v>387</v>
      </c>
      <c r="F18" s="529" t="s">
        <v>388</v>
      </c>
      <c r="J18" s="108">
        <f>-'Crash Cost Savings'!Q17</f>
        <v>-142415.66856118033</v>
      </c>
      <c r="K18" s="108">
        <f>-'Crash Cost Savings'!R17</f>
        <v>-56144.104519046712</v>
      </c>
    </row>
    <row r="19" spans="2:11" x14ac:dyDescent="0.25">
      <c r="B19" s="510" t="s">
        <v>389</v>
      </c>
      <c r="C19" s="522">
        <f>SUM('Air Quality'!C5:C24)</f>
        <v>-932.83967545921939</v>
      </c>
      <c r="D19" s="524">
        <f>SUM('Air Quality'!G5:G24)</f>
        <v>-10.078949058661262</v>
      </c>
      <c r="E19" s="524">
        <f>SUM('Air Quality'!H5:H24)*907.185</f>
        <v>-46.867877801614398</v>
      </c>
      <c r="F19" s="530">
        <f>SUM('Air Quality'!I5:I24)*907.185</f>
        <v>-179.9955469995347</v>
      </c>
      <c r="J19" s="108">
        <f>-'Crash Cost Savings'!Q18</f>
        <v>-145121.56626384277</v>
      </c>
      <c r="K19" s="108">
        <f>-'Crash Cost Savings'!R18</f>
        <v>-57210.842504908607</v>
      </c>
    </row>
    <row r="20" spans="2:11" ht="15.75" thickBot="1" x14ac:dyDescent="0.3">
      <c r="B20" s="523" t="s">
        <v>338</v>
      </c>
      <c r="C20" s="515">
        <f>MROUND(-SUM('Air Quality'!E5:E24),100000)</f>
        <v>200000</v>
      </c>
      <c r="D20" s="515" cm="1">
        <f t="array" ref="D20">MROUND(-SUM('Air Quality'!J5:J24*(1+Assumptions!$D$13)^-('Air Quality'!B5:B24-Assumptions!$D$4)),10000)</f>
        <v>120000</v>
      </c>
      <c r="E20" s="515" cm="1">
        <f t="array" ref="E20">MROUND(-SUM('Air Quality'!K5:K24*(1+Assumptions!$D$13)^-('Air Quality'!B5:B24-Assumptions!$D$4)),1000)</f>
        <v>2000</v>
      </c>
      <c r="F20" s="120" cm="1">
        <f t="array" ref="F20">MROUND(-SUM('Air Quality'!L5:L24*(1+Assumptions!$D$13)^-('Air Quality'!B5:B24-Assumptions!$D$4)),1000)</f>
        <v>119000</v>
      </c>
      <c r="J20" s="108">
        <f>-'Crash Cost Savings'!Q19</f>
        <v>-147878.87602285578</v>
      </c>
      <c r="K20" s="108">
        <f>-'Crash Cost Savings'!R19</f>
        <v>-58297.848512501863</v>
      </c>
    </row>
    <row r="21" spans="2:11" x14ac:dyDescent="0.25">
      <c r="J21" s="108">
        <f>-'Crash Cost Savings'!Q20</f>
        <v>-150688.57466729003</v>
      </c>
      <c r="K21" s="108">
        <f>-'Crash Cost Savings'!R20</f>
        <v>-59405.507634239395</v>
      </c>
    </row>
    <row r="22" spans="2:11" x14ac:dyDescent="0.25">
      <c r="J22" s="108">
        <f>-'Crash Cost Savings'!Q21</f>
        <v>-153551.6575859685</v>
      </c>
      <c r="K22" s="108">
        <f>-'Crash Cost Savings'!R21</f>
        <v>-60534.212279289932</v>
      </c>
    </row>
    <row r="23" spans="2:11" x14ac:dyDescent="0.25">
      <c r="B23" s="26" t="str" cm="1">
        <f t="array" ref="B23:B27">TRANSPOSE(C33:G33)</f>
        <v>Air Quality: CO2 (2%)</v>
      </c>
      <c r="C23" s="532" cm="1">
        <f t="array" ref="C23:C27">TRANSPOSE(C54:G54)</f>
        <v>193808.72965839013</v>
      </c>
      <c r="J23" s="108">
        <f>-'Crash Cost Savings'!Q22</f>
        <v>-156469.13908010192</v>
      </c>
      <c r="K23" s="108">
        <f>-'Crash Cost Savings'!R22</f>
        <v>-61684.362312596451</v>
      </c>
    </row>
    <row r="24" spans="2:11" x14ac:dyDescent="0.25">
      <c r="B24" s="26" t="str">
        <v>Air Quality Sans CO2</v>
      </c>
      <c r="C24" s="532">
        <v>245368.18102081108</v>
      </c>
      <c r="J24" s="108">
        <f>-'Crash Cost Savings'!Q23</f>
        <v>-159442.05272262383</v>
      </c>
      <c r="K24" s="108">
        <f>-'Crash Cost Savings'!R23</f>
        <v>-62856.365196535771</v>
      </c>
    </row>
    <row r="25" spans="2:11" x14ac:dyDescent="0.25">
      <c r="B25" s="26" t="str">
        <v>Safety Savings</v>
      </c>
      <c r="C25" s="532">
        <v>966996.13187336759</v>
      </c>
      <c r="J25" s="108">
        <f>-'Crash Cost Savings'!Q24</f>
        <v>-162471.45172435365</v>
      </c>
      <c r="K25" s="108">
        <f>-'Crash Cost Savings'!R24</f>
        <v>-64050.636135269939</v>
      </c>
    </row>
    <row r="26" spans="2:11" x14ac:dyDescent="0.25">
      <c r="B26" s="26" t="str">
        <v>Travel Time Savings</v>
      </c>
      <c r="C26" s="532">
        <v>58839063.175776102</v>
      </c>
    </row>
    <row r="27" spans="2:11" x14ac:dyDescent="0.25">
      <c r="B27" s="26" t="str">
        <v>Operations and Maintenance</v>
      </c>
      <c r="C27" s="532">
        <v>3964343.9281782121</v>
      </c>
    </row>
    <row r="28" spans="2:11" x14ac:dyDescent="0.25">
      <c r="B28" s="26" t="s">
        <v>57</v>
      </c>
      <c r="C28" s="532">
        <f>'Capital Costs'!F34</f>
        <v>4782369.8193392875</v>
      </c>
    </row>
    <row r="29" spans="2:11" x14ac:dyDescent="0.25">
      <c r="B29" s="26" t="s">
        <v>396</v>
      </c>
      <c r="C29" s="532">
        <f>SUM(C23:C28)</f>
        <v>68991949.965846166</v>
      </c>
    </row>
    <row r="33" spans="2:7" ht="39" customHeight="1" x14ac:dyDescent="0.25">
      <c r="C33" s="34" t="s">
        <v>130</v>
      </c>
      <c r="D33" s="34" t="s">
        <v>129</v>
      </c>
      <c r="E33" s="34" t="s">
        <v>156</v>
      </c>
      <c r="F33" s="34" t="s">
        <v>371</v>
      </c>
      <c r="G33" s="34" t="s">
        <v>290</v>
      </c>
    </row>
    <row r="34" spans="2:7" x14ac:dyDescent="0.25">
      <c r="B34">
        <f>'Air Quality'!B5</f>
        <v>2030</v>
      </c>
      <c r="C34" s="87">
        <f>'Air Quality'!E5</f>
        <v>-4766.0107348685187</v>
      </c>
      <c r="D34" s="87">
        <f>'Air Quality'!N5</f>
        <v>-7973.4057035176738</v>
      </c>
      <c r="E34" s="108">
        <f>'Crash Cost Savings'!T5</f>
        <v>53914.817715976264</v>
      </c>
      <c r="F34" s="108">
        <f>'Travel Time Delay Savings'!G7</f>
        <v>1912015.3231097998</v>
      </c>
      <c r="G34" s="108">
        <f>'Ops and Main'!M6</f>
        <v>0</v>
      </c>
    </row>
    <row r="35" spans="2:7" x14ac:dyDescent="0.25">
      <c r="B35">
        <f>'Air Quality'!B6</f>
        <v>2031</v>
      </c>
      <c r="C35" s="87">
        <f>'Air Quality'!E6</f>
        <v>-5338.397068313182</v>
      </c>
      <c r="D35" s="87">
        <f>'Air Quality'!N6</f>
        <v>-8667.0850455517448</v>
      </c>
      <c r="E35" s="108">
        <f>'Crash Cost Savings'!T6</f>
        <v>53287.293164480914</v>
      </c>
      <c r="F35" s="108">
        <f>'Travel Time Delay Savings'!G8</f>
        <v>2078358.9886163378</v>
      </c>
      <c r="G35" s="108">
        <f>'Ops and Main'!M7</f>
        <v>12382.518645678107</v>
      </c>
    </row>
    <row r="36" spans="2:7" x14ac:dyDescent="0.25">
      <c r="B36">
        <f>'Air Quality'!B7</f>
        <v>2032</v>
      </c>
      <c r="C36" s="87">
        <f>'Air Quality'!E7</f>
        <v>-5863.7633689096283</v>
      </c>
      <c r="D36" s="87">
        <f>'Air Quality'!N7</f>
        <v>-9311.8408487330398</v>
      </c>
      <c r="E36" s="108">
        <f>'Crash Cost Savings'!T7</f>
        <v>52667.072487493766</v>
      </c>
      <c r="F36" s="108">
        <f>'Travel Time Delay Savings'!G9</f>
        <v>2232970.8346939469</v>
      </c>
      <c r="G36" s="108">
        <f>'Ops and Main'!M8</f>
        <v>0</v>
      </c>
    </row>
    <row r="37" spans="2:7" x14ac:dyDescent="0.25">
      <c r="B37">
        <f>'Air Quality'!B8</f>
        <v>2033</v>
      </c>
      <c r="C37" s="87">
        <f>'Air Quality'!E8</f>
        <v>-6426.7351833982657</v>
      </c>
      <c r="D37" s="87">
        <f>'Air Quality'!N8</f>
        <v>-9909.9880282867307</v>
      </c>
      <c r="E37" s="108">
        <f>'Crash Cost Savings'!T8</f>
        <v>52054.070673866285</v>
      </c>
      <c r="F37" s="108">
        <f>'Travel Time Delay Savings'!G10</f>
        <v>2376405.9758754629</v>
      </c>
      <c r="G37" s="108">
        <f>'Ops and Main'!M9</f>
        <v>3954459.145874464</v>
      </c>
    </row>
    <row r="38" spans="2:7" x14ac:dyDescent="0.25">
      <c r="B38">
        <f>'Air Quality'!B9</f>
        <v>2034</v>
      </c>
      <c r="C38" s="87">
        <f>'Air Quality'!E9</f>
        <v>-6960.6496959297692</v>
      </c>
      <c r="D38" s="87">
        <f>'Air Quality'!N9</f>
        <v>-10463.746520892295</v>
      </c>
      <c r="E38" s="108">
        <f>'Crash Cost Savings'!T9</f>
        <v>51448.203701910505</v>
      </c>
      <c r="F38" s="108">
        <f>'Travel Time Delay Savings'!G11</f>
        <v>2509196.7509261933</v>
      </c>
      <c r="G38" s="108">
        <f>'Ops and Main'!M10</f>
        <v>-11298.817522130836</v>
      </c>
    </row>
    <row r="39" spans="2:7" x14ac:dyDescent="0.25">
      <c r="B39">
        <f>'Air Quality'!B10</f>
        <v>2035</v>
      </c>
      <c r="C39" s="87">
        <f>'Air Quality'!E10</f>
        <v>-7487.3737736487856</v>
      </c>
      <c r="D39" s="87">
        <f>'Air Quality'!N10</f>
        <v>-10975.244903428513</v>
      </c>
      <c r="E39" s="108">
        <f>'Crash Cost Savings'!T10</f>
        <v>50849.388527882445</v>
      </c>
      <c r="F39" s="108">
        <f>'Travel Time Delay Savings'!G12</f>
        <v>2631853.5906156194</v>
      </c>
      <c r="G39" s="108">
        <f>'Ops and Main'!M11</f>
        <v>0</v>
      </c>
    </row>
    <row r="40" spans="2:7" x14ac:dyDescent="0.25">
      <c r="B40">
        <f>'Air Quality'!B11</f>
        <v>2036</v>
      </c>
      <c r="C40" s="87">
        <f>'Air Quality'!E11</f>
        <v>-8006.6661165062751</v>
      </c>
      <c r="D40" s="87">
        <f>'Air Quality'!N11</f>
        <v>-11446.523879970064</v>
      </c>
      <c r="E40" s="108">
        <f>'Crash Cost Savings'!T11</f>
        <v>50257.543074599642</v>
      </c>
      <c r="F40" s="108">
        <f>'Travel Time Delay Savings'!G13</f>
        <v>2744865.8538959646</v>
      </c>
      <c r="G40" s="108">
        <f>'Ops and Main'!M12</f>
        <v>0</v>
      </c>
    </row>
    <row r="41" spans="2:7" x14ac:dyDescent="0.25">
      <c r="B41">
        <f>'Air Quality'!B12</f>
        <v>2037</v>
      </c>
      <c r="C41" s="87">
        <f>'Air Quality'!E12</f>
        <v>-8548.088166409314</v>
      </c>
      <c r="D41" s="87">
        <f>'Air Quality'!N12</f>
        <v>-11879.539641689753</v>
      </c>
      <c r="E41" s="108">
        <f>'Crash Cost Savings'!T12</f>
        <v>49672.5862201911</v>
      </c>
      <c r="F41" s="108">
        <f>'Travel Time Delay Savings'!G14</f>
        <v>2848702.6336036436</v>
      </c>
      <c r="G41" s="108">
        <f>'Ops and Main'!M13</f>
        <v>10309.960441123128</v>
      </c>
    </row>
    <row r="42" spans="2:7" x14ac:dyDescent="0.25">
      <c r="B42">
        <f>'Air Quality'!B13</f>
        <v>2038</v>
      </c>
      <c r="C42" s="87">
        <f>'Air Quality'!E13</f>
        <v>-9022.0819570765834</v>
      </c>
      <c r="D42" s="87">
        <f>'Air Quality'!N13</f>
        <v>-12276.167104149748</v>
      </c>
      <c r="E42" s="108">
        <f>'Crash Cost Savings'!T13</f>
        <v>49094.4377869784</v>
      </c>
      <c r="F42" s="108">
        <f>'Travel Time Delay Savings'!G15</f>
        <v>2943813.5327587062</v>
      </c>
      <c r="G42" s="108">
        <f>'Ops and Main'!M14</f>
        <v>0</v>
      </c>
    </row>
    <row r="43" spans="2:7" x14ac:dyDescent="0.25">
      <c r="B43">
        <f>'Air Quality'!B14</f>
        <v>2039</v>
      </c>
      <c r="C43" s="87">
        <f>'Air Quality'!E14</f>
        <v>-9517.812178627808</v>
      </c>
      <c r="D43" s="87">
        <f>'Air Quality'!N14</f>
        <v>-12638.203026326568</v>
      </c>
      <c r="E43" s="108">
        <f>'Crash Cost Savings'!T14</f>
        <v>48523.018530485919</v>
      </c>
      <c r="F43" s="108">
        <f>'Travel Time Delay Savings'!G16</f>
        <v>3030629.4125041547</v>
      </c>
      <c r="G43" s="108">
        <f>'Ops and Main'!M15</f>
        <v>0</v>
      </c>
    </row>
    <row r="44" spans="2:7" x14ac:dyDescent="0.25">
      <c r="B44">
        <f>'Air Quality'!B15</f>
        <v>2040</v>
      </c>
      <c r="C44" s="87">
        <f>'Air Quality'!E15</f>
        <v>-10038.897588100015</v>
      </c>
      <c r="D44" s="87">
        <f>'Air Quality'!N15</f>
        <v>-12967.369015547662</v>
      </c>
      <c r="E44" s="108">
        <f>'Crash Cost Savings'!T15</f>
        <v>47958.250128579202</v>
      </c>
      <c r="F44" s="108">
        <f>'Travel Time Delay Savings'!G17</f>
        <v>3109563.1126869591</v>
      </c>
      <c r="G44" s="108">
        <f>'Ops and Main'!M16</f>
        <v>-9407.6467815614069</v>
      </c>
    </row>
    <row r="45" spans="2:7" x14ac:dyDescent="0.25">
      <c r="B45">
        <f>'Air Quality'!B16</f>
        <v>2041</v>
      </c>
      <c r="C45" s="87">
        <f>'Air Quality'!E16</f>
        <v>-10519.173928963646</v>
      </c>
      <c r="D45" s="87">
        <f>'Air Quality'!N16</f>
        <v>-13265.314422384719</v>
      </c>
      <c r="E45" s="108">
        <f>'Crash Cost Savings'!T16</f>
        <v>47400.055170729589</v>
      </c>
      <c r="F45" s="108">
        <f>'Travel Time Delay Savings'!G18</f>
        <v>3181010.1460507954</v>
      </c>
      <c r="G45" s="108">
        <f>'Ops and Main'!M17</f>
        <v>0</v>
      </c>
    </row>
    <row r="46" spans="2:7" x14ac:dyDescent="0.25">
      <c r="B46">
        <f>'Air Quality'!B17</f>
        <v>2042</v>
      </c>
      <c r="C46" s="87">
        <f>'Air Quality'!E17</f>
        <v>-11026.676141505979</v>
      </c>
      <c r="D46" s="87">
        <f>'Air Quality'!N17</f>
        <v>-13533.619129403472</v>
      </c>
      <c r="E46" s="108">
        <f>'Crash Cost Savings'!T17</f>
        <v>46848.357147403935</v>
      </c>
      <c r="F46" s="108">
        <f>'Travel Time Delay Savings'!G19</f>
        <v>3245349.3669756791</v>
      </c>
      <c r="G46" s="108">
        <f>'Ops and Main'!M18</f>
        <v>0</v>
      </c>
    </row>
    <row r="47" spans="2:7" x14ac:dyDescent="0.25">
      <c r="B47">
        <f>'Air Quality'!B18</f>
        <v>2043</v>
      </c>
      <c r="C47" s="87">
        <f>'Air Quality'!E18</f>
        <v>-11490.705502599094</v>
      </c>
      <c r="D47" s="87">
        <f>'Air Quality'!N18</f>
        <v>-13773.796237533943</v>
      </c>
      <c r="E47" s="108">
        <f>'Crash Cost Savings'!T18</f>
        <v>46303.080439577709</v>
      </c>
      <c r="F47" s="108">
        <f>'Travel Time Delay Savings'!G20</f>
        <v>3302943.6156670577</v>
      </c>
      <c r="G47" s="108">
        <f>'Ops and Main'!M19</f>
        <v>8584.3023813757172</v>
      </c>
    </row>
    <row r="48" spans="2:7" x14ac:dyDescent="0.25">
      <c r="B48">
        <f>'Air Quality'!B19</f>
        <v>2044</v>
      </c>
      <c r="C48" s="87">
        <f>'Air Quality'!E19</f>
        <v>-11983.67233239023</v>
      </c>
      <c r="D48" s="87">
        <f>'Air Quality'!N19</f>
        <v>-13987.294653699852</v>
      </c>
      <c r="E48" s="108">
        <f>'Crash Cost Savings'!T19</f>
        <v>45764.150308370212</v>
      </c>
      <c r="F48" s="108">
        <f>'Travel Time Delay Savings'!G21</f>
        <v>3354140.3386669667</v>
      </c>
      <c r="G48" s="108">
        <f>'Ops and Main'!M20</f>
        <v>0</v>
      </c>
    </row>
    <row r="49" spans="2:7" x14ac:dyDescent="0.25">
      <c r="B49">
        <f>'Air Quality'!B20</f>
        <v>2045</v>
      </c>
      <c r="C49" s="87">
        <f>'Air Quality'!E20</f>
        <v>-12430.794886586598</v>
      </c>
      <c r="D49" s="87">
        <f>'Air Quality'!N20</f>
        <v>-14175.501583214449</v>
      </c>
      <c r="E49" s="108">
        <f>'Crash Cost Savings'!T20</f>
        <v>45231.492884800427</v>
      </c>
      <c r="F49" s="108">
        <f>'Travel Time Delay Savings'!G22</f>
        <v>3399272.1865282389</v>
      </c>
      <c r="G49" s="108">
        <f>'Ops and Main'!M21</f>
        <v>0</v>
      </c>
    </row>
    <row r="50" spans="2:7" x14ac:dyDescent="0.25">
      <c r="B50">
        <f>'Air Quality'!B21</f>
        <v>2046</v>
      </c>
      <c r="C50" s="87">
        <f>'Air Quality'!E21</f>
        <v>-12908.416005549057</v>
      </c>
      <c r="D50" s="87">
        <f>'Air Quality'!N21</f>
        <v>-14339.744930329543</v>
      </c>
      <c r="E50" s="108">
        <f>'Crash Cost Savings'!T21</f>
        <v>44705.035159662104</v>
      </c>
      <c r="F50" s="108">
        <f>'Travel Time Delay Savings'!G23</f>
        <v>3438657.589463945</v>
      </c>
      <c r="G50" s="108">
        <f>'Ops and Main'!M22</f>
        <v>-7833.0159588179486</v>
      </c>
    </row>
    <row r="51" spans="2:7" x14ac:dyDescent="0.25">
      <c r="B51">
        <f>'Air Quality'!B22</f>
        <v>2047</v>
      </c>
      <c r="C51" s="87">
        <f>'Air Quality'!E22</f>
        <v>-13378.51263202267</v>
      </c>
      <c r="D51" s="87">
        <f>'Air Quality'!N22</f>
        <v>-14481.295610210896</v>
      </c>
      <c r="E51" s="108">
        <f>'Crash Cost Savings'!T22</f>
        <v>44184.704973516666</v>
      </c>
      <c r="F51" s="108">
        <f>'Travel Time Delay Savings'!G24</f>
        <v>3472601.311756961</v>
      </c>
      <c r="G51" s="108">
        <f>'Ops and Main'!M23</f>
        <v>0</v>
      </c>
    </row>
    <row r="52" spans="2:7" x14ac:dyDescent="0.25">
      <c r="B52">
        <f>'Air Quality'!B23</f>
        <v>2048</v>
      </c>
      <c r="C52" s="87">
        <f>'Air Quality'!E23</f>
        <v>-13840.882783276507</v>
      </c>
      <c r="D52" s="87">
        <f>'Air Quality'!N23</f>
        <v>-14601.369775490602</v>
      </c>
      <c r="E52" s="108">
        <f>'Crash Cost Savings'!T23</f>
        <v>43670.43100680261</v>
      </c>
      <c r="F52" s="108">
        <f>'Travel Time Delay Savings'!G25</f>
        <v>3501394.9856851706</v>
      </c>
      <c r="G52" s="108">
        <f>'Ops and Main'!M24</f>
        <v>0</v>
      </c>
    </row>
    <row r="53" spans="2:7" x14ac:dyDescent="0.25">
      <c r="B53">
        <f>'Air Quality'!B24</f>
        <v>2049</v>
      </c>
      <c r="C53" s="87">
        <f>'Air Quality'!E24</f>
        <v>-14253.419613708227</v>
      </c>
      <c r="D53" s="87">
        <f>'Air Quality'!N24</f>
        <v>-14701.130960449833</v>
      </c>
      <c r="E53" s="108">
        <f>'Crash Cost Savings'!T24</f>
        <v>43162.142770059989</v>
      </c>
      <c r="F53" s="108">
        <f>'Travel Time Delay Savings'!G26</f>
        <v>3525317.6256945077</v>
      </c>
      <c r="G53" s="108">
        <f>'Ops and Main'!M25</f>
        <v>7147.4810980812335</v>
      </c>
    </row>
    <row r="54" spans="2:7" x14ac:dyDescent="0.25">
      <c r="B54" t="s">
        <v>395</v>
      </c>
      <c r="C54" s="87">
        <f>-SUM(C34:C53)</f>
        <v>193808.72965839013</v>
      </c>
      <c r="D54" s="87">
        <f t="shared" ref="D54" si="1">-SUM(D34:D53)</f>
        <v>245368.18102081108</v>
      </c>
      <c r="E54" s="87">
        <f>SUM(E34:E53)</f>
        <v>966996.13187336759</v>
      </c>
      <c r="F54" s="87">
        <f t="shared" ref="F54:G54" si="2">SUM(F34:F53)</f>
        <v>58839063.175776102</v>
      </c>
      <c r="G54" s="87">
        <f t="shared" si="2"/>
        <v>3964343.9281782121</v>
      </c>
    </row>
  </sheetData>
  <pageMargins left="0.7" right="0.7" top="0.75" bottom="0.75" header="0.3" footer="0.3"/>
  <pageSetup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13</vt:i4>
      </vt:variant>
      <vt:variant>
        <vt:lpstr>Named Ranges</vt:lpstr>
      </vt:variant>
      <vt:variant>
        <vt:i4>7</vt:i4>
      </vt:variant>
    </vt:vector>
  </HeadingPairs>
  <TitlesOfParts>
    <vt:vector size="20" baseType="lpstr">
      <vt:lpstr>Assumptions</vt:lpstr>
      <vt:lpstr>BCA Summary</vt:lpstr>
      <vt:lpstr>Annualized Operations</vt:lpstr>
      <vt:lpstr>Air Quality</vt:lpstr>
      <vt:lpstr>Travel Time Delay Savings</vt:lpstr>
      <vt:lpstr>Crash Cost Savings</vt:lpstr>
      <vt:lpstr>Capital Costs</vt:lpstr>
      <vt:lpstr>Ops and Main</vt:lpstr>
      <vt:lpstr>Construction Disbenefits</vt:lpstr>
      <vt:lpstr>Crash Data</vt:lpstr>
      <vt:lpstr>Cost Data</vt:lpstr>
      <vt:lpstr>Delay Calcs</vt:lpstr>
      <vt:lpstr>Tables</vt:lpstr>
      <vt:lpstr>'Air Quality'!Print_Area</vt:lpstr>
      <vt:lpstr>'Annualized Operations'!Print_Area</vt:lpstr>
      <vt:lpstr>Assumptions!Print_Area</vt:lpstr>
      <vt:lpstr>'Capital Costs'!Print_Area</vt:lpstr>
      <vt:lpstr>'Crash Cost Savings'!Print_Area</vt:lpstr>
      <vt:lpstr>'Ops and Main'!Print_Area</vt:lpstr>
      <vt:lpstr>'Travel Time Delay Savings'!Print_Area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Erik Kappelman</dc:creator>
  <cp:lastModifiedBy>Erik Kappelman</cp:lastModifiedBy>
  <dcterms:created xsi:type="dcterms:W3CDTF">2024-01-25T17:21:34Z</dcterms:created>
  <dcterms:modified xsi:type="dcterms:W3CDTF">2024-07-26T20:04:13Z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Folder_Number">
    <vt:lpwstr/>
  </property>
  <property fmtid="{D5CDD505-2E9C-101B-9397-08002B2CF9AE}" pid="3" name="Folder_Code">
    <vt:lpwstr/>
  </property>
  <property fmtid="{D5CDD505-2E9C-101B-9397-08002B2CF9AE}" pid="4" name="Folder_Name">
    <vt:lpwstr/>
  </property>
  <property fmtid="{D5CDD505-2E9C-101B-9397-08002B2CF9AE}" pid="5" name="Folder_Description">
    <vt:lpwstr/>
  </property>
  <property fmtid="{D5CDD505-2E9C-101B-9397-08002B2CF9AE}" pid="6" name="/Folder_Name/">
    <vt:lpwstr/>
  </property>
  <property fmtid="{D5CDD505-2E9C-101B-9397-08002B2CF9AE}" pid="7" name="/Folder_Description/">
    <vt:lpwstr/>
  </property>
  <property fmtid="{D5CDD505-2E9C-101B-9397-08002B2CF9AE}" pid="8" name="Folder_Version">
    <vt:lpwstr/>
  </property>
  <property fmtid="{D5CDD505-2E9C-101B-9397-08002B2CF9AE}" pid="9" name="Folder_VersionSeq">
    <vt:lpwstr/>
  </property>
  <property fmtid="{D5CDD505-2E9C-101B-9397-08002B2CF9AE}" pid="10" name="Folder_Manager">
    <vt:lpwstr/>
  </property>
  <property fmtid="{D5CDD505-2E9C-101B-9397-08002B2CF9AE}" pid="11" name="Folder_ManagerDesc">
    <vt:lpwstr/>
  </property>
  <property fmtid="{D5CDD505-2E9C-101B-9397-08002B2CF9AE}" pid="12" name="Folder_Storage">
    <vt:lpwstr/>
  </property>
  <property fmtid="{D5CDD505-2E9C-101B-9397-08002B2CF9AE}" pid="13" name="Folder_StorageDesc">
    <vt:lpwstr/>
  </property>
  <property fmtid="{D5CDD505-2E9C-101B-9397-08002B2CF9AE}" pid="14" name="Folder_Creator">
    <vt:lpwstr/>
  </property>
  <property fmtid="{D5CDD505-2E9C-101B-9397-08002B2CF9AE}" pid="15" name="Folder_CreatorDesc">
    <vt:lpwstr/>
  </property>
  <property fmtid="{D5CDD505-2E9C-101B-9397-08002B2CF9AE}" pid="16" name="Folder_CreateDate">
    <vt:lpwstr/>
  </property>
  <property fmtid="{D5CDD505-2E9C-101B-9397-08002B2CF9AE}" pid="17" name="Folder_Updater">
    <vt:lpwstr/>
  </property>
  <property fmtid="{D5CDD505-2E9C-101B-9397-08002B2CF9AE}" pid="18" name="Folder_UpdaterDesc">
    <vt:lpwstr/>
  </property>
  <property fmtid="{D5CDD505-2E9C-101B-9397-08002B2CF9AE}" pid="19" name="Folder_UpdateDate">
    <vt:lpwstr/>
  </property>
  <property fmtid="{D5CDD505-2E9C-101B-9397-08002B2CF9AE}" pid="20" name="Document_Number">
    <vt:lpwstr/>
  </property>
  <property fmtid="{D5CDD505-2E9C-101B-9397-08002B2CF9AE}" pid="21" name="Document_Name">
    <vt:lpwstr/>
  </property>
  <property fmtid="{D5CDD505-2E9C-101B-9397-08002B2CF9AE}" pid="22" name="Document_FileName">
    <vt:lpwstr/>
  </property>
  <property fmtid="{D5CDD505-2E9C-101B-9397-08002B2CF9AE}" pid="23" name="Document_Version">
    <vt:lpwstr/>
  </property>
  <property fmtid="{D5CDD505-2E9C-101B-9397-08002B2CF9AE}" pid="24" name="Document_VersionSeq">
    <vt:lpwstr/>
  </property>
  <property fmtid="{D5CDD505-2E9C-101B-9397-08002B2CF9AE}" pid="25" name="Document_Creator">
    <vt:lpwstr/>
  </property>
  <property fmtid="{D5CDD505-2E9C-101B-9397-08002B2CF9AE}" pid="26" name="Document_CreatorDesc">
    <vt:lpwstr/>
  </property>
  <property fmtid="{D5CDD505-2E9C-101B-9397-08002B2CF9AE}" pid="27" name="Document_CreateDate">
    <vt:lpwstr/>
  </property>
  <property fmtid="{D5CDD505-2E9C-101B-9397-08002B2CF9AE}" pid="28" name="Document_Updater">
    <vt:lpwstr/>
  </property>
  <property fmtid="{D5CDD505-2E9C-101B-9397-08002B2CF9AE}" pid="29" name="Document_UpdaterDesc">
    <vt:lpwstr/>
  </property>
  <property fmtid="{D5CDD505-2E9C-101B-9397-08002B2CF9AE}" pid="30" name="Document_UpdateDate">
    <vt:lpwstr/>
  </property>
  <property fmtid="{D5CDD505-2E9C-101B-9397-08002B2CF9AE}" pid="31" name="Document_Size">
    <vt:lpwstr/>
  </property>
  <property fmtid="{D5CDD505-2E9C-101B-9397-08002B2CF9AE}" pid="32" name="Document_Storage">
    <vt:lpwstr/>
  </property>
  <property fmtid="{D5CDD505-2E9C-101B-9397-08002B2CF9AE}" pid="33" name="Document_StorageDesc">
    <vt:lpwstr/>
  </property>
  <property fmtid="{D5CDD505-2E9C-101B-9397-08002B2CF9AE}" pid="34" name="Document_Department">
    <vt:lpwstr/>
  </property>
  <property fmtid="{D5CDD505-2E9C-101B-9397-08002B2CF9AE}" pid="35" name="Document_DepartmentDesc">
    <vt:lpwstr/>
  </property>
</Properties>
</file>