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theme/themeOverride1.xml" ContentType="application/vnd.openxmlformats-officedocument.themeOverride+xml"/>
  <Override PartName="/xl/drawings/drawing5.xml" ContentType="application/vnd.openxmlformats-officedocument.drawing+xml"/>
  <Override PartName="/xl/drawings/drawing6.xml" ContentType="application/vnd.openxmlformats-officedocument.drawing+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726"/>
  <workbookPr defaultThemeVersion="202300"/>
  <mc:AlternateContent xmlns:mc="http://schemas.openxmlformats.org/markup-compatibility/2006">
    <mc:Choice Requires="x15">
      <x15ac:absPath xmlns:x15ac="http://schemas.microsoft.com/office/spreadsheetml/2010/11/ac" url="K:\Trans\Grant Applications\2023 Grants\BIP\NDDOT\JULY REVISIONS\Sunset Dr - Mandan\BCA\"/>
    </mc:Choice>
  </mc:AlternateContent>
  <xr:revisionPtr revIDLastSave="0" documentId="13_ncr:1_{8F65D266-079A-4810-B51E-E118E432A031}" xr6:coauthVersionLast="47" xr6:coauthVersionMax="47" xr10:uidLastSave="{00000000-0000-0000-0000-000000000000}"/>
  <bookViews>
    <workbookView xWindow="28680" yWindow="-285" windowWidth="29040" windowHeight="15840" tabRatio="822" activeTab="1" xr2:uid="{88788EEE-4819-4C57-AE82-D7BA1B93AB53}"/>
  </bookViews>
  <sheets>
    <sheet name="Assumptions" sheetId="3" r:id="rId1"/>
    <sheet name="BCA Summary" sheetId="5" r:id="rId2"/>
    <sheet name="Annualized Operations" sheetId="2" r:id="rId3"/>
    <sheet name="Air Quality" sheetId="8" r:id="rId4"/>
    <sheet name="Travel Time" sheetId="4" r:id="rId5"/>
    <sheet name="Safety" sheetId="12" r:id="rId6"/>
    <sheet name="Capital Costs" sheetId="6" r:id="rId7"/>
    <sheet name="Ops and Main" sheetId="11" r:id="rId8"/>
    <sheet name="Construction Disbenefits" sheetId="18" r:id="rId9"/>
    <sheet name="Traffic Delay" sheetId="15" r:id="rId10"/>
    <sheet name="Cost Data" sheetId="16" r:id="rId11"/>
    <sheet name="TTC Ops Delay" sheetId="19" r:id="rId12"/>
    <sheet name="Tables" sheetId="14" r:id="rId13"/>
  </sheets>
  <definedNames>
    <definedName name="_Fill" localSheetId="3" hidden="1">#REF!</definedName>
    <definedName name="_Fill" localSheetId="1" hidden="1">#REF!</definedName>
    <definedName name="_Fill" localSheetId="6" hidden="1">#REF!</definedName>
    <definedName name="_Fill" hidden="1">#REF!</definedName>
    <definedName name="_Key1" localSheetId="3" hidden="1">#REF!</definedName>
    <definedName name="_Key1" localSheetId="1" hidden="1">#REF!</definedName>
    <definedName name="_Key1" localSheetId="6" hidden="1">#REF!</definedName>
    <definedName name="_Key1" hidden="1">#REF!</definedName>
    <definedName name="_Key2" localSheetId="3" hidden="1">#REF!</definedName>
    <definedName name="_Key2" localSheetId="1" hidden="1">#REF!</definedName>
    <definedName name="_Key2" localSheetId="6" hidden="1">#REF!</definedName>
    <definedName name="_Key2" hidden="1">#REF!</definedName>
    <definedName name="_Order1" hidden="1">255</definedName>
    <definedName name="_Order2" hidden="1">255</definedName>
    <definedName name="BEx3O85IKWARA6NCJOLRBRJFMEWW" localSheetId="3" hidden="1">#REF!</definedName>
    <definedName name="BEx3O85IKWARA6NCJOLRBRJFMEWW" localSheetId="1" hidden="1">#REF!</definedName>
    <definedName name="BEx3O85IKWARA6NCJOLRBRJFMEWW" localSheetId="6" hidden="1">#REF!</definedName>
    <definedName name="BEx3O85IKWARA6NCJOLRBRJFMEWW" hidden="1">#REF!</definedName>
    <definedName name="BEx5MLQZM68YQSKARVWTTPINFQ2C" localSheetId="3" hidden="1">#REF!</definedName>
    <definedName name="BEx5MLQZM68YQSKARVWTTPINFQ2C" localSheetId="1" hidden="1">#REF!</definedName>
    <definedName name="BEx5MLQZM68YQSKARVWTTPINFQ2C" localSheetId="6" hidden="1">#REF!</definedName>
    <definedName name="BEx5MLQZM68YQSKARVWTTPINFQ2C" hidden="1">#REF!</definedName>
    <definedName name="BExERWCEBKQRYWRQLYJ4UCMMKTHG" localSheetId="3" hidden="1">#REF!</definedName>
    <definedName name="BExERWCEBKQRYWRQLYJ4UCMMKTHG" hidden="1">#REF!</definedName>
    <definedName name="BExMBYPQDG9AYDQ5E8IECVFREPO6" localSheetId="3" hidden="1">#REF!</definedName>
    <definedName name="BExMBYPQDG9AYDQ5E8IECVFREPO6" hidden="1">#REF!</definedName>
    <definedName name="BExQ9ZLYHWABXAA9NJDW8ZS0UQ9P" localSheetId="3" hidden="1">#REF!</definedName>
    <definedName name="BExQ9ZLYHWABXAA9NJDW8ZS0UQ9P" hidden="1">#REF!</definedName>
    <definedName name="BExTUY9WNSJ91GV8CP0SKJTEIV82" localSheetId="3" hidden="1">#REF!</definedName>
    <definedName name="BExTUY9WNSJ91GV8CP0SKJTEIV82" hidden="1">#REF!</definedName>
    <definedName name="_xlnm.Print_Area" localSheetId="3">'Air Quality'!$B$1:$O$28</definedName>
    <definedName name="_xlnm.Print_Area" localSheetId="2">'Annualized Operations'!$B$9:$J$33</definedName>
    <definedName name="_xlnm.Print_Area" localSheetId="0">Assumptions!$B$2:$E$23</definedName>
    <definedName name="_xlnm.Print_Area" localSheetId="6">'Capital Costs'!$B$2:$H$35</definedName>
    <definedName name="_xlnm.Print_Area" localSheetId="8">'Construction Disbenefits'!$B$2:$V$47</definedName>
    <definedName name="_xlnm.Print_Area" localSheetId="7">'Ops and Main'!$B$2:$L$25</definedName>
    <definedName name="_xlnm.Print_Area" localSheetId="5">Safety!$B$2:$K$25</definedName>
    <definedName name="_xlnm.Print_Area" localSheetId="4">'Travel Time'!$B$2:$H$27</definedName>
    <definedName name="SAPBEXhrIndnt" hidden="1">"Wide"</definedName>
    <definedName name="SAPsysID" hidden="1">"708C5W7SBKP804JT78WJ0JNKI"</definedName>
    <definedName name="SAPwbID" hidden="1">"ARS"</definedName>
    <definedName name="solver_adj" localSheetId="9" hidden="1">'Traffic Delay'!$J$26:$J$28</definedName>
    <definedName name="solver_cvg" localSheetId="9" hidden="1">0.0000001</definedName>
    <definedName name="solver_drv" localSheetId="9" hidden="1">1</definedName>
    <definedName name="solver_eng" localSheetId="9" hidden="1">1</definedName>
    <definedName name="solver_est" localSheetId="9" hidden="1">1</definedName>
    <definedName name="solver_itr" localSheetId="9" hidden="1">2147483647</definedName>
    <definedName name="solver_lhs1" localSheetId="9" hidden="1">'Traffic Delay'!$J$26</definedName>
    <definedName name="solver_lhs2" localSheetId="9" hidden="1">'Traffic Delay'!$J$29</definedName>
    <definedName name="solver_mip" localSheetId="9" hidden="1">2147483647</definedName>
    <definedName name="solver_mni" localSheetId="9" hidden="1">30</definedName>
    <definedName name="solver_mrt" localSheetId="9" hidden="1">0.075</definedName>
    <definedName name="solver_msl" localSheetId="9" hidden="1">2</definedName>
    <definedName name="solver_neg" localSheetId="9" hidden="1">2</definedName>
    <definedName name="solver_nod" localSheetId="9" hidden="1">2147483647</definedName>
    <definedName name="solver_num" localSheetId="9" hidden="1">2</definedName>
    <definedName name="solver_nwt" localSheetId="9" hidden="1">1</definedName>
    <definedName name="solver_opt" localSheetId="9" hidden="1">'Traffic Delay'!$J$31</definedName>
    <definedName name="solver_pre" localSheetId="9" hidden="1">0.00000001</definedName>
    <definedName name="solver_rbv" localSheetId="9" hidden="1">2</definedName>
    <definedName name="solver_rel1" localSheetId="9" hidden="1">1</definedName>
    <definedName name="solver_rel2" localSheetId="9" hidden="1">2</definedName>
    <definedName name="solver_rhs1" localSheetId="9" hidden="1">10</definedName>
    <definedName name="solver_rhs2" localSheetId="9" hidden="1">0</definedName>
    <definedName name="solver_rlx" localSheetId="9" hidden="1">2</definedName>
    <definedName name="solver_rsd" localSheetId="9" hidden="1">0</definedName>
    <definedName name="solver_scl" localSheetId="9" hidden="1">1</definedName>
    <definedName name="solver_sho" localSheetId="9" hidden="1">2</definedName>
    <definedName name="solver_ssz" localSheetId="9" hidden="1">100</definedName>
    <definedName name="solver_tim" localSheetId="9" hidden="1">2147483647</definedName>
    <definedName name="solver_tol" localSheetId="9" hidden="1">0.01</definedName>
    <definedName name="solver_typ" localSheetId="9" hidden="1">2</definedName>
    <definedName name="solver_val" localSheetId="9" hidden="1">0</definedName>
    <definedName name="solver_ver" localSheetId="9" hidden="1">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29" i="5" l="1"/>
  <c r="D41" i="5"/>
  <c r="N33" i="12"/>
  <c r="C11" i="15"/>
  <c r="D12" i="15"/>
  <c r="J31" i="15"/>
  <c r="J25" i="15"/>
  <c r="D23" i="3"/>
  <c r="K34" i="15"/>
  <c r="L34" i="15" s="1"/>
  <c r="K35" i="15"/>
  <c r="L35" i="15" s="1"/>
  <c r="B6" i="18"/>
  <c r="O17" i="6"/>
  <c r="O14" i="6"/>
  <c r="N5" i="12"/>
  <c r="N18" i="12"/>
  <c r="M4" i="15"/>
  <c r="E12" i="15"/>
  <c r="N19" i="12"/>
  <c r="N20" i="12"/>
  <c r="J30" i="15"/>
  <c r="J19" i="15"/>
  <c r="J20" i="15"/>
  <c r="J12" i="15"/>
  <c r="O13" i="6"/>
  <c r="C6" i="2"/>
  <c r="C7" i="2" a="1"/>
  <c r="C7" i="2" s="1"/>
  <c r="C5" i="2"/>
  <c r="M5" i="2"/>
  <c r="D7" i="2" a="1"/>
  <c r="D7" i="2" s="1"/>
  <c r="O22" i="2"/>
  <c r="O23" i="2"/>
  <c r="O24" i="2"/>
  <c r="O21" i="2"/>
  <c r="D5" i="2" s="1"/>
  <c r="J9" i="15"/>
  <c r="J11" i="15" s="1"/>
  <c r="R9" i="18"/>
  <c r="S9" i="18"/>
  <c r="O9" i="18"/>
  <c r="Q9" i="18" s="1"/>
  <c r="K9" i="18"/>
  <c r="P7" i="18" s="1"/>
  <c r="O32" i="18"/>
  <c r="O33" i="18"/>
  <c r="O31" i="18"/>
  <c r="O8" i="18"/>
  <c r="Q8" i="18" s="1"/>
  <c r="O7" i="18"/>
  <c r="O6" i="18"/>
  <c r="Q6" i="18" s="1"/>
  <c r="O5" i="18"/>
  <c r="O4" i="18"/>
  <c r="Q4" i="18" s="1"/>
  <c r="Q27" i="15"/>
  <c r="Q26" i="15"/>
  <c r="Q25" i="15"/>
  <c r="Q24" i="15"/>
  <c r="Q23" i="15"/>
  <c r="Q22" i="15"/>
  <c r="Q21" i="15"/>
  <c r="Q20" i="15"/>
  <c r="Q19" i="15"/>
  <c r="Q18" i="15"/>
  <c r="Q17" i="15"/>
  <c r="Q16" i="15"/>
  <c r="Q15" i="15"/>
  <c r="Q14" i="15"/>
  <c r="Q13" i="15"/>
  <c r="Q12" i="15"/>
  <c r="Q11" i="15"/>
  <c r="Q10" i="15"/>
  <c r="Q9" i="15"/>
  <c r="Q8" i="15"/>
  <c r="Q7" i="15"/>
  <c r="Q6" i="15"/>
  <c r="Q5" i="15"/>
  <c r="C4" i="15" l="1"/>
  <c r="D4" i="15" s="1"/>
  <c r="AA78" i="15"/>
  <c r="AB82" i="15"/>
  <c r="AA75" i="15"/>
  <c r="AA79" i="15"/>
  <c r="AB79" i="15"/>
  <c r="AA84" i="15"/>
  <c r="AA74" i="15"/>
  <c r="AA80" i="15"/>
  <c r="AB85" i="15"/>
  <c r="AA81" i="15"/>
  <c r="AB84" i="15"/>
  <c r="AB81" i="15"/>
  <c r="AB78" i="15"/>
  <c r="AB83" i="15"/>
  <c r="AB80" i="15"/>
  <c r="AB77" i="15"/>
  <c r="C7" i="15"/>
  <c r="AB74" i="15"/>
  <c r="AB75" i="15"/>
  <c r="AB76" i="15"/>
  <c r="C40" i="15"/>
  <c r="C10" i="15"/>
  <c r="C5" i="15"/>
  <c r="C34" i="15"/>
  <c r="F12" i="15"/>
  <c r="C56" i="15"/>
  <c r="C16" i="15"/>
  <c r="C17" i="15"/>
  <c r="C23" i="15"/>
  <c r="C46" i="15"/>
  <c r="C52" i="15"/>
  <c r="C22" i="15"/>
  <c r="C33" i="15"/>
  <c r="C39" i="15"/>
  <c r="C45" i="15"/>
  <c r="C51" i="15"/>
  <c r="C6" i="15"/>
  <c r="C12" i="15"/>
  <c r="C18" i="15"/>
  <c r="C24" i="15"/>
  <c r="C35" i="15"/>
  <c r="C41" i="15"/>
  <c r="C47" i="15"/>
  <c r="C53" i="15"/>
  <c r="C13" i="15"/>
  <c r="C19" i="15"/>
  <c r="C25" i="15"/>
  <c r="C36" i="15"/>
  <c r="C42" i="15"/>
  <c r="C48" i="15"/>
  <c r="C54" i="15"/>
  <c r="C8" i="15"/>
  <c r="C14" i="15"/>
  <c r="C20" i="15"/>
  <c r="C26" i="15"/>
  <c r="C37" i="15"/>
  <c r="C43" i="15"/>
  <c r="C49" i="15"/>
  <c r="C55" i="15"/>
  <c r="C9" i="15"/>
  <c r="C15" i="15"/>
  <c r="C21" i="15"/>
  <c r="C27" i="15"/>
  <c r="C38" i="15"/>
  <c r="C44" i="15"/>
  <c r="C50" i="15"/>
  <c r="P5" i="18"/>
  <c r="Q5" i="18" s="1"/>
  <c r="Q7" i="18"/>
  <c r="K3" i="18"/>
  <c r="AA76" i="15" l="1"/>
  <c r="AA82" i="15"/>
  <c r="AA85" i="15"/>
  <c r="AA83" i="15"/>
  <c r="AA77" i="15"/>
  <c r="J29" i="15" a="1"/>
  <c r="J29" i="15" s="1"/>
  <c r="Q21" i="18"/>
  <c r="Q25" i="18" s="1"/>
  <c r="P21" i="18"/>
  <c r="P25" i="18" s="1"/>
  <c r="O21" i="18"/>
  <c r="O25" i="18" s="1"/>
  <c r="N21" i="18"/>
  <c r="N25" i="18" s="1"/>
  <c r="Q20" i="18"/>
  <c r="Q24" i="18" s="1"/>
  <c r="P20" i="18"/>
  <c r="P24" i="18" s="1"/>
  <c r="O20" i="18"/>
  <c r="O24" i="18" s="1"/>
  <c r="N20" i="18"/>
  <c r="N24" i="18" s="1"/>
  <c r="Q19" i="18"/>
  <c r="Q23" i="18" s="1"/>
  <c r="P19" i="18"/>
  <c r="P23" i="18" s="1"/>
  <c r="O19" i="18"/>
  <c r="O23" i="18" s="1"/>
  <c r="N19" i="18"/>
  <c r="N23" i="18" s="1"/>
  <c r="Q18" i="18"/>
  <c r="Q22" i="18" s="1"/>
  <c r="P18" i="18"/>
  <c r="P22" i="18" s="1"/>
  <c r="O18" i="18"/>
  <c r="O22" i="18" s="1"/>
  <c r="N18" i="18"/>
  <c r="N22" i="18" s="1"/>
  <c r="K6" i="18"/>
  <c r="K4" i="18"/>
  <c r="O4" i="15"/>
  <c r="N4" i="15"/>
  <c r="K17" i="18"/>
  <c r="K16" i="18"/>
  <c r="K21" i="18"/>
  <c r="R6" i="18" s="1"/>
  <c r="P4" i="15"/>
  <c r="K30" i="18"/>
  <c r="K29" i="18" s="1"/>
  <c r="K5" i="18"/>
  <c r="G9" i="14" a="1"/>
  <c r="G9" i="14"/>
  <c r="U5" i="11"/>
  <c r="L12" i="6"/>
  <c r="L34" i="6"/>
  <c r="K34" i="6"/>
  <c r="L37" i="6"/>
  <c r="K37" i="6"/>
  <c r="P15" i="11"/>
  <c r="P14" i="11"/>
  <c r="U13" i="11"/>
  <c r="Q4" i="15" l="1"/>
  <c r="E4" i="15" s="1"/>
  <c r="F4" i="15" s="1"/>
  <c r="R4" i="18"/>
  <c r="S4" i="18"/>
  <c r="R8" i="18"/>
  <c r="S8" i="18"/>
  <c r="S5" i="18"/>
  <c r="R7" i="18"/>
  <c r="S6" i="18"/>
  <c r="R5" i="18"/>
  <c r="S7" i="18"/>
  <c r="K19" i="18"/>
  <c r="K18" i="18" s="1"/>
  <c r="K20" i="18" s="1"/>
  <c r="P26" i="18"/>
  <c r="Q26" i="18"/>
  <c r="N26" i="18"/>
  <c r="O26" i="18"/>
  <c r="E34" i="15"/>
  <c r="F34" i="15" s="1"/>
  <c r="E5" i="15"/>
  <c r="F5" i="15" s="1"/>
  <c r="E35" i="15"/>
  <c r="F35" i="15" s="1"/>
  <c r="E6" i="15"/>
  <c r="F6" i="15" s="1"/>
  <c r="E36" i="15"/>
  <c r="F36" i="15" s="1"/>
  <c r="E7" i="15"/>
  <c r="F7" i="15" s="1"/>
  <c r="E37" i="15"/>
  <c r="F37" i="15" s="1"/>
  <c r="E8" i="15"/>
  <c r="F8" i="15" s="1"/>
  <c r="E38" i="15"/>
  <c r="F38" i="15" s="1"/>
  <c r="E9" i="15"/>
  <c r="F9" i="15" s="1"/>
  <c r="E39" i="15"/>
  <c r="F39" i="15" s="1"/>
  <c r="E10" i="15"/>
  <c r="F10" i="15" s="1"/>
  <c r="E40" i="15"/>
  <c r="F40" i="15" s="1"/>
  <c r="E11" i="15"/>
  <c r="F11" i="15" s="1"/>
  <c r="E41" i="15"/>
  <c r="F41" i="15" s="1"/>
  <c r="E42" i="15"/>
  <c r="F42" i="15" s="1"/>
  <c r="E13" i="15"/>
  <c r="F13" i="15" s="1"/>
  <c r="E43" i="15"/>
  <c r="F43" i="15" s="1"/>
  <c r="E14" i="15"/>
  <c r="F14" i="15" s="1"/>
  <c r="E44" i="15"/>
  <c r="F44" i="15" s="1"/>
  <c r="E15" i="15"/>
  <c r="F15" i="15" s="1"/>
  <c r="E45" i="15"/>
  <c r="F45" i="15" s="1"/>
  <c r="E16" i="15"/>
  <c r="F16" i="15" s="1"/>
  <c r="E46" i="15"/>
  <c r="F46" i="15" s="1"/>
  <c r="E17" i="15"/>
  <c r="F17" i="15" s="1"/>
  <c r="E47" i="15"/>
  <c r="F47" i="15" s="1"/>
  <c r="E18" i="15"/>
  <c r="F18" i="15" s="1"/>
  <c r="E48" i="15"/>
  <c r="F48" i="15" s="1"/>
  <c r="E19" i="15"/>
  <c r="F19" i="15" s="1"/>
  <c r="E49" i="15"/>
  <c r="F49" i="15" s="1"/>
  <c r="E20" i="15"/>
  <c r="F20" i="15" s="1"/>
  <c r="E50" i="15"/>
  <c r="F50" i="15" s="1"/>
  <c r="E21" i="15"/>
  <c r="F21" i="15" s="1"/>
  <c r="E51" i="15"/>
  <c r="F51" i="15" s="1"/>
  <c r="E22" i="15"/>
  <c r="F22" i="15" s="1"/>
  <c r="E52" i="15"/>
  <c r="F52" i="15" s="1"/>
  <c r="E23" i="15"/>
  <c r="F23" i="15" s="1"/>
  <c r="E53" i="15"/>
  <c r="F53" i="15" s="1"/>
  <c r="E24" i="15"/>
  <c r="F24" i="15" s="1"/>
  <c r="E54" i="15"/>
  <c r="F54" i="15" s="1"/>
  <c r="E25" i="15"/>
  <c r="F25" i="15" s="1"/>
  <c r="E55" i="15"/>
  <c r="F55" i="15" s="1"/>
  <c r="E26" i="15"/>
  <c r="F26" i="15" s="1"/>
  <c r="E56" i="15"/>
  <c r="F56" i="15" s="1"/>
  <c r="E27" i="15"/>
  <c r="F27" i="15" s="1"/>
  <c r="K31" i="18"/>
  <c r="O22" i="11"/>
  <c r="O21" i="11"/>
  <c r="P23" i="11"/>
  <c r="T4" i="18" l="1"/>
  <c r="N27" i="18"/>
  <c r="U5" i="18"/>
  <c r="T8" i="18"/>
  <c r="T5" i="18"/>
  <c r="U4" i="18"/>
  <c r="V4" i="18" s="1"/>
  <c r="T6" i="18"/>
  <c r="U7" i="18"/>
  <c r="U6" i="18"/>
  <c r="T9" i="18"/>
  <c r="U9" i="18"/>
  <c r="V9" i="18" s="1"/>
  <c r="U8" i="18"/>
  <c r="T7" i="18"/>
  <c r="P27" i="18"/>
  <c r="E33" i="15"/>
  <c r="F33" i="15" s="1"/>
  <c r="V5" i="12"/>
  <c r="V6" i="12" s="1"/>
  <c r="V10" i="12" s="1"/>
  <c r="W5" i="12"/>
  <c r="W6" i="12" s="1"/>
  <c r="W7" i="12" s="1"/>
  <c r="X5" i="12"/>
  <c r="X6" i="12" s="1"/>
  <c r="X7" i="12" s="1"/>
  <c r="Y5" i="12"/>
  <c r="Y6" i="12" s="1"/>
  <c r="U5" i="12"/>
  <c r="U6" i="12" s="1"/>
  <c r="U20" i="12"/>
  <c r="V20" i="12"/>
  <c r="X20" i="12"/>
  <c r="W20" i="12"/>
  <c r="Y20" i="12"/>
  <c r="Y19" i="12"/>
  <c r="X19" i="12"/>
  <c r="W19" i="12"/>
  <c r="V19" i="12"/>
  <c r="U19" i="12"/>
  <c r="L17" i="6"/>
  <c r="L13" i="6"/>
  <c r="L14" i="6"/>
  <c r="L15" i="6"/>
  <c r="L16" i="6"/>
  <c r="N37" i="18" l="1"/>
  <c r="C4" i="18" s="1"/>
  <c r="N38" i="18"/>
  <c r="C5" i="18" s="1"/>
  <c r="N39" i="18"/>
  <c r="C6" i="18" s="1"/>
  <c r="L18" i="6"/>
  <c r="W8" i="12"/>
  <c r="W9" i="12" s="1"/>
  <c r="W10" i="12"/>
  <c r="Y7" i="12"/>
  <c r="Y8" i="12" s="1"/>
  <c r="Y9" i="12" s="1"/>
  <c r="Y10" i="12"/>
  <c r="X8" i="12"/>
  <c r="X9" i="12" s="1"/>
  <c r="X10" i="12"/>
  <c r="U10" i="12"/>
  <c r="U7" i="12"/>
  <c r="U8" i="12" s="1"/>
  <c r="U9" i="12"/>
  <c r="V7" i="12"/>
  <c r="V8" i="12" s="1"/>
  <c r="V7" i="18"/>
  <c r="O39" i="18"/>
  <c r="D6" i="18" s="1"/>
  <c r="D6" i="2"/>
  <c r="O37" i="18"/>
  <c r="D4" i="18" s="1"/>
  <c r="O38" i="18"/>
  <c r="D5" i="18" s="1"/>
  <c r="V5" i="18"/>
  <c r="V6" i="18"/>
  <c r="V8" i="18"/>
  <c r="V9" i="12" l="1"/>
  <c r="N23" i="11"/>
  <c r="K26" i="6"/>
  <c r="K27" i="6"/>
  <c r="K28" i="6"/>
  <c r="K25" i="6"/>
  <c r="C8" i="6" l="1"/>
  <c r="N7" i="11" l="1"/>
  <c r="N15" i="11"/>
  <c r="K35" i="6"/>
  <c r="L35" i="6"/>
  <c r="K36" i="6"/>
  <c r="L36" i="6"/>
  <c r="P8" i="11"/>
  <c r="O14" i="11"/>
  <c r="O15" i="11"/>
  <c r="O8" i="11"/>
  <c r="O23" i="11"/>
  <c r="U12" i="11"/>
  <c r="U11" i="11"/>
  <c r="U10" i="11"/>
  <c r="U9" i="11"/>
  <c r="U8" i="11"/>
  <c r="U7" i="11"/>
  <c r="U6" i="11"/>
  <c r="N8" i="11"/>
  <c r="O28" i="14"/>
  <c r="O27" i="14"/>
  <c r="O15" i="14"/>
  <c r="Q10" i="14"/>
  <c r="Q8" i="14"/>
  <c r="Q7" i="14"/>
  <c r="Q9" i="14" s="1"/>
  <c r="Q11" i="14" s="1"/>
  <c r="P24" i="11"/>
  <c r="P22" i="11"/>
  <c r="P21" i="11"/>
  <c r="O29" i="14" l="1"/>
  <c r="L38" i="6"/>
  <c r="K38" i="6"/>
  <c r="O16" i="14"/>
  <c r="P22" i="14" s="1"/>
  <c r="P24" i="14" s="1"/>
  <c r="J9" i="3"/>
  <c r="D14" i="3" s="1"/>
  <c r="J12" i="4" s="1"/>
  <c r="I9" i="3"/>
  <c r="N21" i="11"/>
  <c r="N22" i="11" s="1"/>
  <c r="N24" i="11" s="1"/>
  <c r="N14" i="11"/>
  <c r="T25" i="14"/>
  <c r="U25" i="14"/>
  <c r="S25" i="14"/>
  <c r="Q5" i="12"/>
  <c r="P5" i="12"/>
  <c r="O5" i="12"/>
  <c r="P25" i="14" l="1"/>
  <c r="X32" i="8"/>
  <c r="X27" i="8"/>
  <c r="X35" i="8"/>
  <c r="AA24" i="8" l="1"/>
  <c r="AA23" i="8"/>
  <c r="X23" i="8"/>
  <c r="R7" i="8"/>
  <c r="X24" i="8" l="1"/>
  <c r="D8" i="3"/>
  <c r="B5" i="11" l="1"/>
  <c r="C5" i="11" s="1"/>
  <c r="Z24" i="8"/>
  <c r="Y24" i="8"/>
  <c r="Z23" i="8"/>
  <c r="Y23" i="8"/>
  <c r="U8" i="8"/>
  <c r="T8" i="8"/>
  <c r="S8" i="8"/>
  <c r="R8" i="8"/>
  <c r="R9" i="8" s="1"/>
  <c r="U7" i="8"/>
  <c r="T7" i="8"/>
  <c r="S7" i="8"/>
  <c r="B5" i="18" l="1"/>
  <c r="B38" i="5"/>
  <c r="K6" i="6"/>
  <c r="K5" i="6"/>
  <c r="L29" i="6"/>
  <c r="L28" i="6"/>
  <c r="L27" i="6"/>
  <c r="L26" i="6"/>
  <c r="L25" i="6"/>
  <c r="J16" i="4"/>
  <c r="J15" i="4"/>
  <c r="J8" i="4"/>
  <c r="J7" i="4"/>
  <c r="J11" i="4"/>
  <c r="B4" i="18" l="1"/>
  <c r="J19" i="4"/>
  <c r="L24" i="6"/>
  <c r="D8" i="6"/>
  <c r="E8" i="6" s="1"/>
  <c r="D9" i="3"/>
  <c r="F8" i="6" s="1"/>
  <c r="G8" i="6" s="1"/>
  <c r="C5" i="12"/>
  <c r="B8" i="8"/>
  <c r="B7" i="8" s="1"/>
  <c r="B6" i="8" s="1"/>
  <c r="B5" i="8" s="1"/>
  <c r="B10" i="5"/>
  <c r="B14" i="2"/>
  <c r="B7" i="4"/>
  <c r="B8" i="4" s="1"/>
  <c r="S9" i="8"/>
  <c r="T9" i="8"/>
  <c r="U9" i="8"/>
  <c r="C9" i="6"/>
  <c r="D9" i="6" s="1"/>
  <c r="B39" i="5"/>
  <c r="B40" i="5" s="1"/>
  <c r="B11" i="5" l="1"/>
  <c r="B9" i="5"/>
  <c r="B25" i="14"/>
  <c r="S26" i="14"/>
  <c r="B9" i="8"/>
  <c r="C6" i="12"/>
  <c r="F9" i="6"/>
  <c r="G9" i="6" s="1"/>
  <c r="C10" i="6"/>
  <c r="D10" i="6" s="1"/>
  <c r="E9" i="6"/>
  <c r="B12" i="5"/>
  <c r="B9" i="4"/>
  <c r="B15" i="2"/>
  <c r="B8" i="5" l="1"/>
  <c r="B26" i="14"/>
  <c r="S27" i="14"/>
  <c r="H5" i="11"/>
  <c r="G5" i="11"/>
  <c r="F5" i="11"/>
  <c r="E5" i="11"/>
  <c r="D5" i="11"/>
  <c r="B6" i="11"/>
  <c r="B10" i="8"/>
  <c r="C7" i="12"/>
  <c r="F10" i="6"/>
  <c r="G10" i="6" s="1"/>
  <c r="C11" i="6"/>
  <c r="D11" i="6" s="1"/>
  <c r="E10" i="6"/>
  <c r="B13" i="5"/>
  <c r="B10" i="4"/>
  <c r="B16" i="2"/>
  <c r="B7" i="5" l="1"/>
  <c r="B27" i="14"/>
  <c r="S28" i="14"/>
  <c r="E6" i="11"/>
  <c r="C6" i="11"/>
  <c r="I5" i="11"/>
  <c r="J5" i="11"/>
  <c r="B7" i="11"/>
  <c r="H6" i="11"/>
  <c r="G6" i="11"/>
  <c r="F6" i="11"/>
  <c r="D6" i="11"/>
  <c r="B11" i="8"/>
  <c r="C8" i="12"/>
  <c r="F11" i="6"/>
  <c r="G11" i="6" s="1"/>
  <c r="C12" i="6"/>
  <c r="D12" i="6" s="1"/>
  <c r="B14" i="5"/>
  <c r="B11" i="4"/>
  <c r="B17" i="2"/>
  <c r="B28" i="14" l="1"/>
  <c r="S29" i="14"/>
  <c r="K5" i="11"/>
  <c r="I6" i="11"/>
  <c r="K6" i="11" s="1"/>
  <c r="J6" i="11"/>
  <c r="B8" i="11"/>
  <c r="H7" i="11"/>
  <c r="G7" i="11"/>
  <c r="F7" i="11"/>
  <c r="E7" i="11"/>
  <c r="C7" i="11"/>
  <c r="D7" i="11"/>
  <c r="B12" i="8"/>
  <c r="C9" i="12"/>
  <c r="F12" i="6"/>
  <c r="G12" i="6" s="1"/>
  <c r="C13" i="6"/>
  <c r="D13" i="6" s="1"/>
  <c r="L30" i="6"/>
  <c r="B15" i="5"/>
  <c r="B12" i="4"/>
  <c r="B18" i="2"/>
  <c r="B29" i="14" l="1"/>
  <c r="S30" i="14"/>
  <c r="L6" i="11"/>
  <c r="G26" i="14" s="1"/>
  <c r="G11" i="5"/>
  <c r="L5" i="11"/>
  <c r="G25" i="14" s="1"/>
  <c r="G10" i="5"/>
  <c r="I7" i="11"/>
  <c r="J7" i="11"/>
  <c r="K7" i="11"/>
  <c r="B9" i="11"/>
  <c r="H8" i="11"/>
  <c r="G8" i="11"/>
  <c r="F8" i="11"/>
  <c r="E8" i="11"/>
  <c r="C8" i="11"/>
  <c r="D8" i="11"/>
  <c r="B13" i="8"/>
  <c r="C10" i="12"/>
  <c r="F13" i="6"/>
  <c r="G13" i="6" s="1"/>
  <c r="C14" i="6"/>
  <c r="D14" i="6" s="1"/>
  <c r="E13" i="6"/>
  <c r="B16" i="5"/>
  <c r="B13" i="4"/>
  <c r="B19" i="2"/>
  <c r="B30" i="14" l="1"/>
  <c r="S31" i="14"/>
  <c r="L7" i="11"/>
  <c r="G27" i="14" s="1"/>
  <c r="G12" i="5"/>
  <c r="I8" i="11"/>
  <c r="J8" i="11"/>
  <c r="K8" i="11" s="1"/>
  <c r="B10" i="11"/>
  <c r="H9" i="11"/>
  <c r="G9" i="11"/>
  <c r="F9" i="11"/>
  <c r="E9" i="11"/>
  <c r="C9" i="11"/>
  <c r="D9" i="11"/>
  <c r="B14" i="8"/>
  <c r="C11" i="12"/>
  <c r="F14" i="6"/>
  <c r="G14" i="6" s="1"/>
  <c r="E12" i="6"/>
  <c r="C39" i="5"/>
  <c r="D39" i="5" s="1"/>
  <c r="E11" i="6"/>
  <c r="C38" i="5"/>
  <c r="D38" i="5" s="1"/>
  <c r="C15" i="6"/>
  <c r="D15" i="6" s="1"/>
  <c r="B17" i="5"/>
  <c r="B14" i="4"/>
  <c r="B20" i="2"/>
  <c r="B31" i="14" l="1"/>
  <c r="S32" i="14"/>
  <c r="L8" i="11"/>
  <c r="G28" i="14" s="1"/>
  <c r="G13" i="5"/>
  <c r="I9" i="11"/>
  <c r="J9" i="11"/>
  <c r="B11" i="11"/>
  <c r="H10" i="11"/>
  <c r="G10" i="11"/>
  <c r="F10" i="11"/>
  <c r="E10" i="11"/>
  <c r="C10" i="11"/>
  <c r="D10" i="11"/>
  <c r="B15" i="8"/>
  <c r="E14" i="6"/>
  <c r="C40" i="5"/>
  <c r="D40" i="5" s="1"/>
  <c r="C47" i="5" s="1"/>
  <c r="C54" i="5" s="1"/>
  <c r="C12" i="12"/>
  <c r="F15" i="6"/>
  <c r="G15" i="6" s="1"/>
  <c r="H25" i="14" s="1"/>
  <c r="C16" i="6"/>
  <c r="D16" i="6" s="1"/>
  <c r="E15" i="6"/>
  <c r="B18" i="5"/>
  <c r="B15" i="4"/>
  <c r="B21" i="2"/>
  <c r="K9" i="11" l="1"/>
  <c r="B32" i="14"/>
  <c r="S33" i="14"/>
  <c r="C60" i="5"/>
  <c r="C13" i="14"/>
  <c r="L9" i="11"/>
  <c r="G29" i="14" s="1"/>
  <c r="G14" i="5"/>
  <c r="I10" i="11"/>
  <c r="J10" i="11"/>
  <c r="B12" i="11"/>
  <c r="H11" i="11"/>
  <c r="G11" i="11"/>
  <c r="F11" i="11"/>
  <c r="E11" i="11"/>
  <c r="C11" i="11"/>
  <c r="D11" i="11"/>
  <c r="B16" i="8"/>
  <c r="C13" i="12"/>
  <c r="F16" i="6"/>
  <c r="G16" i="6" s="1"/>
  <c r="C17" i="6"/>
  <c r="D17" i="6" s="1"/>
  <c r="E16" i="6"/>
  <c r="B19" i="5"/>
  <c r="B16" i="4"/>
  <c r="B22" i="2"/>
  <c r="K10" i="11" l="1"/>
  <c r="B33" i="14"/>
  <c r="S34" i="14"/>
  <c r="I10" i="5"/>
  <c r="H26" i="14"/>
  <c r="L10" i="11"/>
  <c r="G30" i="14" s="1"/>
  <c r="G15" i="5"/>
  <c r="I11" i="11"/>
  <c r="J11" i="11"/>
  <c r="B13" i="11"/>
  <c r="H12" i="11"/>
  <c r="G12" i="11"/>
  <c r="F12" i="11"/>
  <c r="E12" i="11"/>
  <c r="C12" i="11"/>
  <c r="D12" i="11"/>
  <c r="B17" i="8"/>
  <c r="C14" i="12"/>
  <c r="F17" i="6"/>
  <c r="G17" i="6" s="1"/>
  <c r="C18" i="6"/>
  <c r="D18" i="6" s="1"/>
  <c r="E17" i="6"/>
  <c r="B20" i="5"/>
  <c r="B17" i="4"/>
  <c r="B23" i="2"/>
  <c r="I11" i="5" l="1"/>
  <c r="H27" i="14"/>
  <c r="B34" i="14"/>
  <c r="S35" i="14"/>
  <c r="I12" i="11"/>
  <c r="J12" i="11"/>
  <c r="K11" i="11"/>
  <c r="B14" i="11"/>
  <c r="H13" i="11"/>
  <c r="G13" i="11"/>
  <c r="F13" i="11"/>
  <c r="E13" i="11"/>
  <c r="C13" i="11"/>
  <c r="D13" i="11"/>
  <c r="B18" i="8"/>
  <c r="C15" i="12"/>
  <c r="F18" i="6"/>
  <c r="G18" i="6" s="1"/>
  <c r="C19" i="6"/>
  <c r="D19" i="6" s="1"/>
  <c r="E18" i="6"/>
  <c r="B21" i="5"/>
  <c r="B18" i="4"/>
  <c r="B24" i="2"/>
  <c r="K12" i="11" l="1"/>
  <c r="I12" i="5"/>
  <c r="H28" i="14"/>
  <c r="B35" i="14"/>
  <c r="S36" i="14"/>
  <c r="L12" i="11"/>
  <c r="G32" i="14" s="1"/>
  <c r="G17" i="5"/>
  <c r="L11" i="11"/>
  <c r="G31" i="14" s="1"/>
  <c r="G16" i="5"/>
  <c r="I13" i="11"/>
  <c r="J13" i="11"/>
  <c r="B15" i="11"/>
  <c r="H14" i="11"/>
  <c r="G14" i="11"/>
  <c r="F14" i="11"/>
  <c r="E14" i="11"/>
  <c r="C14" i="11"/>
  <c r="D14" i="11"/>
  <c r="B19" i="8"/>
  <c r="C16" i="12"/>
  <c r="F19" i="6"/>
  <c r="G19" i="6" s="1"/>
  <c r="C20" i="6"/>
  <c r="D20" i="6" s="1"/>
  <c r="E19" i="6"/>
  <c r="B22" i="5"/>
  <c r="B19" i="4"/>
  <c r="B25" i="2"/>
  <c r="K13" i="11" l="1"/>
  <c r="B36" i="14"/>
  <c r="S37" i="14"/>
  <c r="I13" i="5"/>
  <c r="H29" i="14"/>
  <c r="L13" i="11"/>
  <c r="G33" i="14" s="1"/>
  <c r="G18" i="5"/>
  <c r="I14" i="11"/>
  <c r="J14" i="11"/>
  <c r="K14" i="11" s="1"/>
  <c r="B16" i="11"/>
  <c r="H15" i="11"/>
  <c r="G15" i="11"/>
  <c r="F15" i="11"/>
  <c r="E15" i="11"/>
  <c r="C15" i="11"/>
  <c r="D15" i="11"/>
  <c r="B20" i="8"/>
  <c r="C17" i="12"/>
  <c r="F20" i="6"/>
  <c r="G20" i="6" s="1"/>
  <c r="C21" i="6"/>
  <c r="D21" i="6" s="1"/>
  <c r="E20" i="6"/>
  <c r="B23" i="5"/>
  <c r="B20" i="4"/>
  <c r="B26" i="2"/>
  <c r="I14" i="5" l="1"/>
  <c r="H30" i="14"/>
  <c r="B37" i="14"/>
  <c r="S38" i="14"/>
  <c r="L14" i="11"/>
  <c r="G34" i="14" s="1"/>
  <c r="G19" i="5"/>
  <c r="I15" i="11"/>
  <c r="J15" i="11"/>
  <c r="K15" i="11"/>
  <c r="B17" i="11"/>
  <c r="D17" i="11" s="1"/>
  <c r="H16" i="11"/>
  <c r="G16" i="11"/>
  <c r="F16" i="11"/>
  <c r="E16" i="11"/>
  <c r="C16" i="11"/>
  <c r="D16" i="11"/>
  <c r="B21" i="8"/>
  <c r="C18" i="12"/>
  <c r="F21" i="6"/>
  <c r="G21" i="6" s="1"/>
  <c r="C22" i="6"/>
  <c r="D22" i="6" s="1"/>
  <c r="E21" i="6"/>
  <c r="B24" i="5"/>
  <c r="B21" i="4"/>
  <c r="B27" i="2"/>
  <c r="B38" i="14" l="1"/>
  <c r="S39" i="14"/>
  <c r="I15" i="5"/>
  <c r="H31" i="14"/>
  <c r="L15" i="11"/>
  <c r="G35" i="14" s="1"/>
  <c r="G20" i="5"/>
  <c r="I16" i="11"/>
  <c r="J16" i="11"/>
  <c r="K16" i="11" s="1"/>
  <c r="B18" i="11"/>
  <c r="H17" i="11"/>
  <c r="G17" i="11"/>
  <c r="F17" i="11"/>
  <c r="E17" i="11"/>
  <c r="C17" i="11"/>
  <c r="B22" i="8"/>
  <c r="C19" i="12"/>
  <c r="F22" i="6"/>
  <c r="G22" i="6" s="1"/>
  <c r="C23" i="6"/>
  <c r="D23" i="6" s="1"/>
  <c r="E22" i="6"/>
  <c r="B25" i="5"/>
  <c r="B22" i="4"/>
  <c r="B28" i="2"/>
  <c r="B39" i="14" l="1"/>
  <c r="S40" i="14"/>
  <c r="I16" i="5"/>
  <c r="H32" i="14"/>
  <c r="J17" i="11"/>
  <c r="L16" i="11"/>
  <c r="G36" i="14" s="1"/>
  <c r="G21" i="5"/>
  <c r="I17" i="11"/>
  <c r="B19" i="11"/>
  <c r="H18" i="11"/>
  <c r="G18" i="11"/>
  <c r="F18" i="11"/>
  <c r="E18" i="11"/>
  <c r="C18" i="11"/>
  <c r="D18" i="11"/>
  <c r="B23" i="8"/>
  <c r="C20" i="12"/>
  <c r="F23" i="6"/>
  <c r="G23" i="6" s="1"/>
  <c r="C24" i="6"/>
  <c r="D24" i="6" s="1"/>
  <c r="E23" i="6"/>
  <c r="B26" i="5"/>
  <c r="B23" i="4"/>
  <c r="B29" i="2"/>
  <c r="I17" i="5" l="1"/>
  <c r="H33" i="14"/>
  <c r="B40" i="14"/>
  <c r="S41" i="14"/>
  <c r="I18" i="11"/>
  <c r="J18" i="11"/>
  <c r="K17" i="11"/>
  <c r="B20" i="11"/>
  <c r="H19" i="11"/>
  <c r="G19" i="11"/>
  <c r="F19" i="11"/>
  <c r="E19" i="11"/>
  <c r="C19" i="11"/>
  <c r="D19" i="11"/>
  <c r="B24" i="8"/>
  <c r="C21" i="12"/>
  <c r="F24" i="6"/>
  <c r="G24" i="6" s="1"/>
  <c r="C25" i="6"/>
  <c r="D25" i="6" s="1"/>
  <c r="E24" i="6"/>
  <c r="B27" i="5"/>
  <c r="B24" i="4"/>
  <c r="B30" i="2"/>
  <c r="K18" i="11" l="1"/>
  <c r="I18" i="5"/>
  <c r="H34" i="14"/>
  <c r="B41" i="14"/>
  <c r="S42" i="14"/>
  <c r="L18" i="11"/>
  <c r="G38" i="14" s="1"/>
  <c r="G23" i="5"/>
  <c r="L17" i="11"/>
  <c r="G37" i="14" s="1"/>
  <c r="G22" i="5"/>
  <c r="I19" i="11"/>
  <c r="J19" i="11"/>
  <c r="B21" i="11"/>
  <c r="H20" i="11"/>
  <c r="G20" i="11"/>
  <c r="F20" i="11"/>
  <c r="E20" i="11"/>
  <c r="C20" i="11"/>
  <c r="D20" i="11"/>
  <c r="B25" i="8"/>
  <c r="C22" i="12"/>
  <c r="F25" i="6"/>
  <c r="G25" i="6" s="1"/>
  <c r="C26" i="6"/>
  <c r="D26" i="6" s="1"/>
  <c r="E25" i="6"/>
  <c r="B28" i="5"/>
  <c r="B25" i="4"/>
  <c r="B31" i="2"/>
  <c r="B42" i="14" l="1"/>
  <c r="S43" i="14"/>
  <c r="I19" i="5"/>
  <c r="H35" i="14"/>
  <c r="I20" i="11"/>
  <c r="J20" i="11"/>
  <c r="K19" i="11"/>
  <c r="B22" i="11"/>
  <c r="H21" i="11"/>
  <c r="G21" i="11"/>
  <c r="F21" i="11"/>
  <c r="E21" i="11"/>
  <c r="C21" i="11"/>
  <c r="D21" i="11"/>
  <c r="B26" i="8"/>
  <c r="C23" i="12"/>
  <c r="F26" i="6"/>
  <c r="G26" i="6" s="1"/>
  <c r="C27" i="6"/>
  <c r="D27" i="6" s="1"/>
  <c r="E26" i="6"/>
  <c r="B29" i="5"/>
  <c r="B26" i="4"/>
  <c r="B32" i="2"/>
  <c r="K20" i="11" l="1"/>
  <c r="I20" i="5"/>
  <c r="H36" i="14"/>
  <c r="B43" i="14"/>
  <c r="S44" i="14"/>
  <c r="L20" i="11"/>
  <c r="G40" i="14" s="1"/>
  <c r="G25" i="5"/>
  <c r="L19" i="11"/>
  <c r="G39" i="14" s="1"/>
  <c r="G24" i="5"/>
  <c r="I21" i="11"/>
  <c r="J21" i="11"/>
  <c r="K21" i="11"/>
  <c r="B23" i="11"/>
  <c r="H22" i="11"/>
  <c r="G22" i="11"/>
  <c r="F22" i="11"/>
  <c r="E22" i="11"/>
  <c r="C22" i="11"/>
  <c r="D22" i="11"/>
  <c r="B27" i="8"/>
  <c r="C24" i="12"/>
  <c r="F27" i="6"/>
  <c r="G27" i="6" s="1"/>
  <c r="C28" i="6"/>
  <c r="D28" i="6" s="1"/>
  <c r="E27" i="6"/>
  <c r="B33" i="2"/>
  <c r="B44" i="14" l="1"/>
  <c r="S45" i="14"/>
  <c r="I21" i="5"/>
  <c r="H37" i="14"/>
  <c r="L21" i="11"/>
  <c r="G41" i="14" s="1"/>
  <c r="G26" i="5"/>
  <c r="I22" i="11"/>
  <c r="J22" i="11"/>
  <c r="K22" i="11" s="1"/>
  <c r="B24" i="11"/>
  <c r="H23" i="11"/>
  <c r="G23" i="11"/>
  <c r="F23" i="11"/>
  <c r="E23" i="11"/>
  <c r="C23" i="11"/>
  <c r="D23" i="11"/>
  <c r="F28" i="6"/>
  <c r="G28" i="6" s="1"/>
  <c r="C29" i="6"/>
  <c r="D29" i="6" s="1"/>
  <c r="E28" i="6"/>
  <c r="I22" i="5" l="1"/>
  <c r="H38" i="14"/>
  <c r="L22" i="11"/>
  <c r="G42" i="14" s="1"/>
  <c r="G27" i="5"/>
  <c r="I23" i="11"/>
  <c r="J23" i="11"/>
  <c r="H24" i="11"/>
  <c r="G24" i="11"/>
  <c r="F24" i="11"/>
  <c r="E24" i="11"/>
  <c r="C24" i="11"/>
  <c r="D24" i="11"/>
  <c r="F29" i="6"/>
  <c r="G29" i="6" s="1"/>
  <c r="C30" i="6"/>
  <c r="D30" i="6" s="1"/>
  <c r="E29" i="6"/>
  <c r="K23" i="11" l="1"/>
  <c r="I23" i="5"/>
  <c r="H39" i="14"/>
  <c r="L23" i="11"/>
  <c r="G43" i="14" s="1"/>
  <c r="G28" i="5"/>
  <c r="I24" i="11"/>
  <c r="J24" i="11"/>
  <c r="F30" i="6"/>
  <c r="G30" i="6" s="1"/>
  <c r="C31" i="6"/>
  <c r="D31" i="6" s="1"/>
  <c r="E30" i="6"/>
  <c r="K24" i="11" l="1"/>
  <c r="I24" i="5"/>
  <c r="H40" i="14"/>
  <c r="L24" i="11"/>
  <c r="G29" i="5"/>
  <c r="F31" i="6"/>
  <c r="G31" i="6" s="1"/>
  <c r="C32" i="6"/>
  <c r="D32" i="6" s="1"/>
  <c r="E31" i="6"/>
  <c r="I25" i="5" l="1"/>
  <c r="H41" i="14"/>
  <c r="L25" i="11"/>
  <c r="G44" i="14"/>
  <c r="G45" i="14" s="1"/>
  <c r="F32" i="6"/>
  <c r="G32" i="6" s="1"/>
  <c r="C33" i="6"/>
  <c r="E32" i="6"/>
  <c r="I26" i="5" l="1"/>
  <c r="H42" i="14"/>
  <c r="F33" i="6"/>
  <c r="G33" i="6" s="1"/>
  <c r="H43" i="14" s="1"/>
  <c r="D33" i="6"/>
  <c r="E33" i="6" s="1"/>
  <c r="I27" i="5"/>
  <c r="C34" i="6"/>
  <c r="F34" i="6" l="1"/>
  <c r="D34" i="6"/>
  <c r="I28" i="5"/>
  <c r="E34" i="6"/>
  <c r="G34" i="6" l="1"/>
  <c r="H44" i="14" s="1"/>
  <c r="H45" i="14" s="1"/>
  <c r="G35" i="6"/>
  <c r="E35" i="6" l="1"/>
  <c r="E41" i="5" s="1"/>
  <c r="G4" i="15"/>
  <c r="G33" i="15"/>
  <c r="D20" i="15"/>
  <c r="D26" i="15"/>
  <c r="D37" i="15"/>
  <c r="D25" i="15"/>
  <c r="D48" i="15"/>
  <c r="D54" i="15"/>
  <c r="D44" i="15"/>
  <c r="G42" i="15"/>
  <c r="G7" i="15"/>
  <c r="D43" i="15"/>
  <c r="D7" i="15"/>
  <c r="G49" i="15"/>
  <c r="G8" i="15"/>
  <c r="G26" i="15"/>
  <c r="G44" i="15"/>
  <c r="G15" i="15"/>
  <c r="G24" i="15"/>
  <c r="D38" i="15"/>
  <c r="G13" i="15"/>
  <c r="D10" i="15"/>
  <c r="D50" i="15"/>
  <c r="G19" i="15"/>
  <c r="G14" i="15"/>
  <c r="G35" i="15"/>
  <c r="G50" i="15"/>
  <c r="G27" i="15"/>
  <c r="D41" i="15"/>
  <c r="D55" i="15"/>
  <c r="G52" i="15"/>
  <c r="G21" i="15"/>
  <c r="D56" i="15"/>
  <c r="D9" i="15"/>
  <c r="G25" i="15"/>
  <c r="G38" i="15"/>
  <c r="G17" i="15"/>
  <c r="G53" i="15"/>
  <c r="D33" i="15"/>
  <c r="D5" i="15"/>
  <c r="D49" i="15"/>
  <c r="G47" i="15"/>
  <c r="D21" i="15"/>
  <c r="D15" i="15"/>
  <c r="G34" i="15"/>
  <c r="D16" i="15"/>
  <c r="D45" i="15"/>
  <c r="G10" i="15"/>
  <c r="G22" i="15"/>
  <c r="D23" i="15"/>
  <c r="G12" i="15"/>
  <c r="G54" i="15"/>
  <c r="D42" i="15"/>
  <c r="G43" i="15"/>
  <c r="D40" i="15"/>
  <c r="G20" i="15"/>
  <c r="D39" i="15"/>
  <c r="G56" i="15"/>
  <c r="G9" i="15"/>
  <c r="D14" i="15"/>
  <c r="G45" i="15"/>
  <c r="G11" i="15"/>
  <c r="D35" i="15"/>
  <c r="D27" i="15"/>
  <c r="G48" i="15"/>
  <c r="G16" i="15"/>
  <c r="G55" i="15"/>
  <c r="D22" i="15"/>
  <c r="D51" i="15"/>
  <c r="G51" i="15"/>
  <c r="G40" i="15"/>
  <c r="G41" i="15"/>
  <c r="D17" i="15"/>
  <c r="D46" i="15"/>
  <c r="D52" i="15"/>
  <c r="G36" i="15"/>
  <c r="D6" i="15"/>
  <c r="D18" i="15"/>
  <c r="D24" i="15"/>
  <c r="D47" i="15"/>
  <c r="D53" i="15"/>
  <c r="G39" i="15"/>
  <c r="D8" i="15"/>
  <c r="G37" i="15"/>
  <c r="D36" i="15"/>
  <c r="G46" i="15"/>
  <c r="G5" i="15"/>
  <c r="G23" i="15"/>
  <c r="D34" i="15"/>
  <c r="G6" i="15"/>
  <c r="G18" i="15"/>
  <c r="D13" i="15"/>
  <c r="J14" i="15" l="1"/>
  <c r="D19" i="15"/>
  <c r="J22" i="15" s="1"/>
  <c r="D11" i="15"/>
  <c r="J21" i="15" s="1"/>
  <c r="J5" i="15"/>
  <c r="J4" i="15" l="1"/>
  <c r="J6" i="15" s="1"/>
  <c r="J7" i="15" s="1"/>
  <c r="J8" i="15" s="1"/>
  <c r="M4" i="2" s="1"/>
  <c r="J13" i="15"/>
  <c r="J15" i="15" s="1"/>
  <c r="J16" i="15" s="1"/>
  <c r="M3" i="2" l="1"/>
  <c r="D12" i="3"/>
  <c r="E6" i="2"/>
  <c r="F6" i="2"/>
  <c r="H5" i="2"/>
  <c r="E5" i="2"/>
  <c r="H6" i="2"/>
  <c r="I7" i="2"/>
  <c r="F7" i="2"/>
  <c r="I6" i="2"/>
  <c r="H7" i="2"/>
  <c r="K7" i="18"/>
  <c r="E7" i="2"/>
  <c r="G7" i="2" l="1"/>
  <c r="P33" i="18"/>
  <c r="R33" i="18" s="1"/>
  <c r="Q33" i="18"/>
  <c r="P32" i="18"/>
  <c r="R32" i="18" s="1"/>
  <c r="Q31" i="18"/>
  <c r="Q32" i="18"/>
  <c r="P31" i="18"/>
  <c r="R31" i="18" s="1"/>
  <c r="E16" i="2" a="1"/>
  <c r="E16" i="2" s="1"/>
  <c r="E25" i="2" a="1"/>
  <c r="E25" i="2" s="1"/>
  <c r="E29" i="2" a="1"/>
  <c r="E29" i="2" s="1"/>
  <c r="E15" i="2" a="1"/>
  <c r="E15" i="2" s="1"/>
  <c r="E21" i="2" a="1"/>
  <c r="E21" i="2" s="1"/>
  <c r="E31" i="2" a="1"/>
  <c r="E31" i="2" s="1"/>
  <c r="E28" i="2" a="1"/>
  <c r="E28" i="2" s="1"/>
  <c r="E22" i="2" a="1"/>
  <c r="E22" i="2" s="1"/>
  <c r="E19" i="2" a="1"/>
  <c r="E19" i="2" s="1"/>
  <c r="E33" i="2" a="1"/>
  <c r="E33" i="2" s="1"/>
  <c r="E32" i="2" a="1"/>
  <c r="E32" i="2" s="1"/>
  <c r="E27" i="2" a="1"/>
  <c r="E27" i="2" s="1"/>
  <c r="E26" i="2" a="1"/>
  <c r="E26" i="2" s="1"/>
  <c r="E20" i="2" a="1"/>
  <c r="E20" i="2" s="1"/>
  <c r="E17" i="2" a="1"/>
  <c r="E17" i="2" s="1"/>
  <c r="E23" i="2" a="1"/>
  <c r="E23" i="2" s="1"/>
  <c r="E24" i="2" a="1"/>
  <c r="E24" i="2" s="1"/>
  <c r="E18" i="2" a="1"/>
  <c r="E18" i="2" s="1"/>
  <c r="E30" i="2" a="1"/>
  <c r="E30" i="2" s="1"/>
  <c r="E14" i="2" a="1"/>
  <c r="E14" i="2" s="1"/>
  <c r="F5" i="2"/>
  <c r="I5" i="2"/>
  <c r="H14" i="2" a="1"/>
  <c r="H14" i="2" s="1"/>
  <c r="I26" i="2" a="1"/>
  <c r="I26" i="2" s="1"/>
  <c r="I24" i="2" a="1"/>
  <c r="I24" i="2" s="1"/>
  <c r="I31" i="2" a="1"/>
  <c r="I31" i="2" s="1"/>
  <c r="I15" i="2" a="1"/>
  <c r="I15" i="2" s="1"/>
  <c r="I16" i="2" a="1"/>
  <c r="I16" i="2" s="1"/>
  <c r="I29" i="2" a="1"/>
  <c r="I29" i="2" s="1"/>
  <c r="I17" i="2" a="1"/>
  <c r="I17" i="2" s="1"/>
  <c r="I27" i="2" a="1"/>
  <c r="I27" i="2" s="1"/>
  <c r="I30" i="2" a="1"/>
  <c r="I30" i="2" s="1"/>
  <c r="I20" i="2" a="1"/>
  <c r="I20" i="2" s="1"/>
  <c r="I21" i="2" a="1"/>
  <c r="I21" i="2" s="1"/>
  <c r="I22" i="2" a="1"/>
  <c r="I22" i="2" s="1"/>
  <c r="J6" i="2"/>
  <c r="I25" i="2" a="1"/>
  <c r="I25" i="2" s="1"/>
  <c r="I32" i="2" a="1"/>
  <c r="I32" i="2" s="1"/>
  <c r="I18" i="2" a="1"/>
  <c r="I18" i="2" s="1"/>
  <c r="I33" i="2" a="1"/>
  <c r="I33" i="2" s="1"/>
  <c r="I19" i="2" a="1"/>
  <c r="I19" i="2" s="1"/>
  <c r="I28" i="2" a="1"/>
  <c r="I28" i="2" s="1"/>
  <c r="I23" i="2" a="1"/>
  <c r="I23" i="2" s="1"/>
  <c r="F20" i="2" a="1"/>
  <c r="F20" i="2" s="1"/>
  <c r="D13" i="4" s="1"/>
  <c r="F33" i="2" a="1"/>
  <c r="F33" i="2" s="1"/>
  <c r="D26" i="4" s="1"/>
  <c r="F30" i="2" a="1"/>
  <c r="F30" i="2" s="1"/>
  <c r="D23" i="4" s="1"/>
  <c r="F22" i="2" a="1"/>
  <c r="F22" i="2" s="1"/>
  <c r="D15" i="4" s="1"/>
  <c r="F23" i="2" a="1"/>
  <c r="F23" i="2" s="1"/>
  <c r="D16" i="4" s="1"/>
  <c r="F27" i="2" a="1"/>
  <c r="F27" i="2" s="1"/>
  <c r="D20" i="4" s="1"/>
  <c r="F16" i="2" a="1"/>
  <c r="F16" i="2" s="1"/>
  <c r="D9" i="4" s="1"/>
  <c r="F18" i="2" a="1"/>
  <c r="F18" i="2" s="1"/>
  <c r="D11" i="4" s="1"/>
  <c r="F21" i="2" a="1"/>
  <c r="F21" i="2" s="1"/>
  <c r="D14" i="4" s="1"/>
  <c r="F24" i="2" a="1"/>
  <c r="F24" i="2" s="1"/>
  <c r="D17" i="4" s="1"/>
  <c r="F25" i="2" a="1"/>
  <c r="F25" i="2" s="1"/>
  <c r="D18" i="4" s="1"/>
  <c r="F32" i="2" a="1"/>
  <c r="F32" i="2" s="1"/>
  <c r="D25" i="4" s="1"/>
  <c r="F28" i="2" a="1"/>
  <c r="F28" i="2" s="1"/>
  <c r="D21" i="4" s="1"/>
  <c r="F19" i="2" a="1"/>
  <c r="F19" i="2" s="1"/>
  <c r="D12" i="4" s="1"/>
  <c r="G6" i="2"/>
  <c r="F17" i="2" a="1"/>
  <c r="F17" i="2" s="1"/>
  <c r="D10" i="4" s="1"/>
  <c r="F29" i="2" a="1"/>
  <c r="F29" i="2" s="1"/>
  <c r="D22" i="4" s="1"/>
  <c r="F31" i="2" a="1"/>
  <c r="F31" i="2" s="1"/>
  <c r="D24" i="4" s="1"/>
  <c r="F15" i="2" a="1"/>
  <c r="F15" i="2" s="1"/>
  <c r="D8" i="4" s="1"/>
  <c r="F26" i="2" a="1"/>
  <c r="F26" i="2" s="1"/>
  <c r="D19" i="4" s="1"/>
  <c r="J7" i="2"/>
  <c r="H25" i="2" a="1"/>
  <c r="H25" i="2" s="1"/>
  <c r="H15" i="2" a="1"/>
  <c r="H15" i="2" s="1"/>
  <c r="H22" i="2" a="1"/>
  <c r="H22" i="2" s="1"/>
  <c r="H26" i="2" a="1"/>
  <c r="H26" i="2" s="1"/>
  <c r="H20" i="2" a="1"/>
  <c r="H20" i="2" s="1"/>
  <c r="H32" i="2" a="1"/>
  <c r="H32" i="2" s="1"/>
  <c r="H21" i="2" a="1"/>
  <c r="H21" i="2" s="1"/>
  <c r="H29" i="2" a="1"/>
  <c r="H29" i="2" s="1"/>
  <c r="H16" i="2" a="1"/>
  <c r="H16" i="2" s="1"/>
  <c r="H23" i="2" a="1"/>
  <c r="H23" i="2" s="1"/>
  <c r="H19" i="2" a="1"/>
  <c r="H19" i="2" s="1"/>
  <c r="H18" i="2" a="1"/>
  <c r="H18" i="2" s="1"/>
  <c r="H31" i="2" a="1"/>
  <c r="H31" i="2" s="1"/>
  <c r="H24" i="2" a="1"/>
  <c r="H24" i="2" s="1"/>
  <c r="H33" i="2" a="1"/>
  <c r="H33" i="2" s="1"/>
  <c r="H28" i="2" a="1"/>
  <c r="H28" i="2" s="1"/>
  <c r="H27" i="2" a="1"/>
  <c r="H27" i="2" s="1"/>
  <c r="H17" i="2" a="1"/>
  <c r="H17" i="2" s="1"/>
  <c r="H30" i="2" a="1"/>
  <c r="H30" i="2" s="1"/>
  <c r="C14" i="2" a="1"/>
  <c r="C14" i="2" s="1"/>
  <c r="C22" i="2" a="1"/>
  <c r="C22" i="2" s="1"/>
  <c r="C23" i="2" a="1"/>
  <c r="C23" i="2" s="1"/>
  <c r="C15" i="2" a="1"/>
  <c r="C15" i="2" s="1"/>
  <c r="C31" i="2" a="1"/>
  <c r="C31" i="2" s="1"/>
  <c r="C27" i="2" a="1"/>
  <c r="C27" i="2" s="1"/>
  <c r="C29" i="2" a="1"/>
  <c r="C29" i="2" s="1"/>
  <c r="C17" i="2" a="1"/>
  <c r="C17" i="2" s="1"/>
  <c r="K8" i="18"/>
  <c r="C25" i="2" a="1"/>
  <c r="C25" i="2" s="1"/>
  <c r="C16" i="2" a="1"/>
  <c r="C16" i="2" s="1"/>
  <c r="C28" i="2" a="1"/>
  <c r="C28" i="2" s="1"/>
  <c r="D17" i="2" a="1"/>
  <c r="D17" i="2" s="1"/>
  <c r="D18" i="2" a="1"/>
  <c r="D18" i="2" s="1"/>
  <c r="D24" i="2" a="1"/>
  <c r="D24" i="2" s="1"/>
  <c r="D29" i="2" a="1"/>
  <c r="D29" i="2" s="1"/>
  <c r="D22" i="2" a="1"/>
  <c r="D22" i="2" s="1"/>
  <c r="D16" i="2" a="1"/>
  <c r="D16" i="2" s="1"/>
  <c r="C21" i="2" a="1"/>
  <c r="C21" i="2" s="1"/>
  <c r="C26" i="2" a="1"/>
  <c r="C26" i="2" s="1"/>
  <c r="D32" i="2" a="1"/>
  <c r="D32" i="2" s="1"/>
  <c r="C24" i="2" a="1"/>
  <c r="C24" i="2" s="1"/>
  <c r="C32" i="2" a="1"/>
  <c r="C32" i="2" s="1"/>
  <c r="C19" i="2" a="1"/>
  <c r="C19" i="2" s="1"/>
  <c r="N11" i="12"/>
  <c r="D19" i="2" a="1"/>
  <c r="D19" i="2" s="1"/>
  <c r="D28" i="2" a="1"/>
  <c r="D28" i="2" s="1"/>
  <c r="D30" i="2" a="1"/>
  <c r="D30" i="2" s="1"/>
  <c r="D14" i="2" a="1"/>
  <c r="D14" i="2" s="1"/>
  <c r="D26" i="2" a="1"/>
  <c r="D26" i="2" s="1"/>
  <c r="D23" i="2" a="1"/>
  <c r="D23" i="2" s="1"/>
  <c r="C33" i="2" a="1"/>
  <c r="C33" i="2" s="1"/>
  <c r="D21" i="2" a="1"/>
  <c r="D21" i="2" s="1"/>
  <c r="D31" i="2" a="1"/>
  <c r="D31" i="2" s="1"/>
  <c r="C18" i="2" a="1"/>
  <c r="C18" i="2" s="1"/>
  <c r="C20" i="2" a="1"/>
  <c r="C20" i="2" s="1"/>
  <c r="N12" i="12"/>
  <c r="D33" i="2" a="1"/>
  <c r="D33" i="2" s="1"/>
  <c r="D27" i="2" a="1"/>
  <c r="D27" i="2" s="1"/>
  <c r="C30" i="2" a="1"/>
  <c r="C30" i="2" s="1"/>
  <c r="D15" i="2" a="1"/>
  <c r="D15" i="2" s="1"/>
  <c r="D25" i="2" a="1"/>
  <c r="D25" i="2" s="1"/>
  <c r="D20" i="2" a="1"/>
  <c r="D20" i="2" s="1"/>
  <c r="N7" i="12" l="1"/>
  <c r="O7" i="12"/>
  <c r="E4" i="18"/>
  <c r="J20" i="2"/>
  <c r="J17" i="2"/>
  <c r="J28" i="2"/>
  <c r="J26" i="2"/>
  <c r="J25" i="2"/>
  <c r="J32" i="2"/>
  <c r="J27" i="2"/>
  <c r="J23" i="2"/>
  <c r="J30" i="2"/>
  <c r="J31" i="2"/>
  <c r="J24" i="2"/>
  <c r="J18" i="2"/>
  <c r="J15" i="2"/>
  <c r="J21" i="2"/>
  <c r="C17" i="4"/>
  <c r="E17" i="4" s="1"/>
  <c r="F17" i="4" s="1"/>
  <c r="G24" i="2"/>
  <c r="F18" i="8" s="1"/>
  <c r="P7" i="12"/>
  <c r="Q7" i="12"/>
  <c r="P6" i="12"/>
  <c r="F9" i="12" s="1"/>
  <c r="Q6" i="12"/>
  <c r="G11" i="12" s="1"/>
  <c r="O6" i="12"/>
  <c r="E20" i="12" s="1"/>
  <c r="N6" i="12"/>
  <c r="D11" i="12" s="1"/>
  <c r="J29" i="2"/>
  <c r="C11" i="4"/>
  <c r="E11" i="4" s="1"/>
  <c r="F11" i="4" s="1"/>
  <c r="G18" i="2"/>
  <c r="F12" i="8" s="1"/>
  <c r="C20" i="4"/>
  <c r="E20" i="4" s="1"/>
  <c r="F20" i="4" s="1"/>
  <c r="G27" i="2"/>
  <c r="F21" i="8" s="1"/>
  <c r="C24" i="4"/>
  <c r="E24" i="4" s="1"/>
  <c r="F24" i="4" s="1"/>
  <c r="G31" i="2"/>
  <c r="F25" i="8" s="1"/>
  <c r="G32" i="2"/>
  <c r="F26" i="8" s="1"/>
  <c r="C25" i="4"/>
  <c r="E25" i="4" s="1"/>
  <c r="F25" i="4" s="1"/>
  <c r="G33" i="2"/>
  <c r="F27" i="8" s="1"/>
  <c r="C26" i="4"/>
  <c r="E26" i="4" s="1"/>
  <c r="F26" i="4" s="1"/>
  <c r="J19" i="2"/>
  <c r="F14" i="2" a="1"/>
  <c r="F14" i="2" s="1"/>
  <c r="D7" i="4" s="1"/>
  <c r="G5" i="2"/>
  <c r="G17" i="2"/>
  <c r="F11" i="8" s="1"/>
  <c r="C10" i="4"/>
  <c r="E10" i="4" s="1"/>
  <c r="F10" i="4" s="1"/>
  <c r="G19" i="2"/>
  <c r="F13" i="8" s="1"/>
  <c r="C12" i="4"/>
  <c r="E12" i="4" s="1"/>
  <c r="F12" i="4" s="1"/>
  <c r="C22" i="4"/>
  <c r="E22" i="4" s="1"/>
  <c r="F22" i="4" s="1"/>
  <c r="G29" i="2"/>
  <c r="F23" i="8" s="1"/>
  <c r="C14" i="4"/>
  <c r="E14" i="4" s="1"/>
  <c r="F14" i="4" s="1"/>
  <c r="G21" i="2"/>
  <c r="F15" i="8" s="1"/>
  <c r="I14" i="2" a="1"/>
  <c r="I14" i="2" s="1"/>
  <c r="J14" i="2" s="1"/>
  <c r="J5" i="2"/>
  <c r="C16" i="4"/>
  <c r="E16" i="4" s="1"/>
  <c r="F16" i="4" s="1"/>
  <c r="G23" i="2"/>
  <c r="F17" i="8" s="1"/>
  <c r="F5" i="8"/>
  <c r="S31" i="18"/>
  <c r="C7" i="4"/>
  <c r="G20" i="2"/>
  <c r="F14" i="8" s="1"/>
  <c r="C13" i="4"/>
  <c r="E13" i="4" s="1"/>
  <c r="F13" i="4" s="1"/>
  <c r="G22" i="2"/>
  <c r="F16" i="8" s="1"/>
  <c r="C15" i="4"/>
  <c r="E15" i="4" s="1"/>
  <c r="F15" i="4" s="1"/>
  <c r="G25" i="2"/>
  <c r="F19" i="8" s="1"/>
  <c r="C18" i="4"/>
  <c r="E18" i="4" s="1"/>
  <c r="F18" i="4" s="1"/>
  <c r="S33" i="18"/>
  <c r="F7" i="8"/>
  <c r="F6" i="8"/>
  <c r="S32" i="18"/>
  <c r="C8" i="4"/>
  <c r="E8" i="4" s="1"/>
  <c r="F8" i="4" s="1"/>
  <c r="G15" i="2"/>
  <c r="F9" i="8" s="1"/>
  <c r="J33" i="2"/>
  <c r="J16" i="2"/>
  <c r="J22" i="2"/>
  <c r="C23" i="4"/>
  <c r="E23" i="4" s="1"/>
  <c r="F23" i="4" s="1"/>
  <c r="G30" i="2"/>
  <c r="F24" i="8" s="1"/>
  <c r="C19" i="4"/>
  <c r="E19" i="4" s="1"/>
  <c r="F19" i="4" s="1"/>
  <c r="G26" i="2"/>
  <c r="F20" i="8" s="1"/>
  <c r="G28" i="2"/>
  <c r="F22" i="8" s="1"/>
  <c r="C21" i="4"/>
  <c r="E21" i="4" s="1"/>
  <c r="F21" i="4" s="1"/>
  <c r="G16" i="2"/>
  <c r="F10" i="8" s="1"/>
  <c r="C9" i="4"/>
  <c r="E9" i="4" s="1"/>
  <c r="F9" i="4" s="1"/>
  <c r="E6" i="18"/>
  <c r="E5" i="18"/>
  <c r="F12" i="12" l="1"/>
  <c r="F23" i="12"/>
  <c r="F14" i="12"/>
  <c r="F17" i="12"/>
  <c r="F24" i="12"/>
  <c r="F6" i="12"/>
  <c r="F15" i="12"/>
  <c r="F13" i="12"/>
  <c r="F21" i="12"/>
  <c r="F18" i="12"/>
  <c r="F8" i="12"/>
  <c r="G15" i="12"/>
  <c r="F22" i="12"/>
  <c r="F16" i="12"/>
  <c r="G17" i="12"/>
  <c r="D18" i="12"/>
  <c r="D15" i="12"/>
  <c r="D14" i="12"/>
  <c r="D17" i="12"/>
  <c r="D13" i="12"/>
  <c r="D6" i="12"/>
  <c r="D7" i="12"/>
  <c r="F10" i="12"/>
  <c r="E18" i="12"/>
  <c r="E16" i="12"/>
  <c r="D20" i="12"/>
  <c r="H20" i="12" s="1"/>
  <c r="E23" i="12"/>
  <c r="G12" i="12"/>
  <c r="D19" i="12"/>
  <c r="E13" i="12"/>
  <c r="D24" i="12"/>
  <c r="E17" i="12"/>
  <c r="E6" i="12"/>
  <c r="D21" i="12"/>
  <c r="D23" i="12"/>
  <c r="E10" i="12"/>
  <c r="F19" i="12"/>
  <c r="D5" i="12"/>
  <c r="D16" i="12"/>
  <c r="D22" i="12"/>
  <c r="D10" i="12"/>
  <c r="E12" i="12"/>
  <c r="E7" i="12"/>
  <c r="E22" i="12"/>
  <c r="D9" i="12"/>
  <c r="E11" i="12"/>
  <c r="E8" i="12"/>
  <c r="D8" i="12"/>
  <c r="E24" i="12"/>
  <c r="E15" i="12"/>
  <c r="E21" i="12"/>
  <c r="E14" i="12"/>
  <c r="D12" i="12"/>
  <c r="E9" i="12"/>
  <c r="G21" i="4"/>
  <c r="F39" i="14" s="1"/>
  <c r="F24" i="5"/>
  <c r="G9" i="4"/>
  <c r="F27" i="14" s="1"/>
  <c r="F12" i="5"/>
  <c r="I24" i="8"/>
  <c r="L24" i="8" s="1"/>
  <c r="H24" i="8"/>
  <c r="K24" i="8" s="1"/>
  <c r="G24" i="8"/>
  <c r="J24" i="8" s="1"/>
  <c r="C24" i="8"/>
  <c r="D24" i="8" s="1"/>
  <c r="E24" i="8" s="1"/>
  <c r="G7" i="8"/>
  <c r="J7" i="8" s="1"/>
  <c r="C7" i="8"/>
  <c r="D7" i="8" s="1"/>
  <c r="E7" i="8" s="1"/>
  <c r="E9" i="5" s="1"/>
  <c r="I7" i="8"/>
  <c r="L7" i="8" s="1"/>
  <c r="H7" i="8"/>
  <c r="K7" i="8" s="1"/>
  <c r="F16" i="5"/>
  <c r="G13" i="4"/>
  <c r="F31" i="14" s="1"/>
  <c r="G14" i="12"/>
  <c r="G15" i="8"/>
  <c r="J15" i="8" s="1"/>
  <c r="C15" i="8"/>
  <c r="D15" i="8" s="1"/>
  <c r="E15" i="8" s="1"/>
  <c r="H15" i="8"/>
  <c r="K15" i="8" s="1"/>
  <c r="I15" i="8"/>
  <c r="L15" i="8" s="1"/>
  <c r="G23" i="8"/>
  <c r="J23" i="8" s="1"/>
  <c r="C23" i="8"/>
  <c r="D23" i="8" s="1"/>
  <c r="E23" i="8" s="1"/>
  <c r="H23" i="8"/>
  <c r="K23" i="8" s="1"/>
  <c r="I23" i="8"/>
  <c r="L23" i="8" s="1"/>
  <c r="G20" i="4"/>
  <c r="F38" i="14" s="1"/>
  <c r="F23" i="5"/>
  <c r="G5" i="12"/>
  <c r="G7" i="12"/>
  <c r="G23" i="4"/>
  <c r="F41" i="14" s="1"/>
  <c r="F26" i="5"/>
  <c r="F4" i="18"/>
  <c r="G4" i="18" s="1"/>
  <c r="F5" i="18"/>
  <c r="G5" i="18" s="1"/>
  <c r="F6" i="18"/>
  <c r="G6" i="18" s="1"/>
  <c r="G14" i="4"/>
  <c r="F32" i="14" s="1"/>
  <c r="F17" i="5"/>
  <c r="C12" i="8"/>
  <c r="D12" i="8" s="1"/>
  <c r="E12" i="8" s="1"/>
  <c r="G12" i="8"/>
  <c r="J12" i="8" s="1"/>
  <c r="I12" i="8"/>
  <c r="L12" i="8" s="1"/>
  <c r="H12" i="8"/>
  <c r="K12" i="8" s="1"/>
  <c r="G18" i="4"/>
  <c r="F36" i="14" s="1"/>
  <c r="F21" i="5"/>
  <c r="G11" i="4"/>
  <c r="F29" i="14" s="1"/>
  <c r="F14" i="5"/>
  <c r="C22" i="8"/>
  <c r="D22" i="8" s="1"/>
  <c r="E22" i="8" s="1"/>
  <c r="I22" i="8"/>
  <c r="L22" i="8" s="1"/>
  <c r="G22" i="8"/>
  <c r="J22" i="8" s="1"/>
  <c r="H22" i="8"/>
  <c r="K22" i="8" s="1"/>
  <c r="G19" i="8"/>
  <c r="J19" i="8" s="1"/>
  <c r="H19" i="8"/>
  <c r="K19" i="8" s="1"/>
  <c r="C19" i="8"/>
  <c r="D19" i="8" s="1"/>
  <c r="E19" i="8" s="1"/>
  <c r="I19" i="8"/>
  <c r="L19" i="8" s="1"/>
  <c r="G14" i="2"/>
  <c r="F8" i="8" s="1"/>
  <c r="G16" i="4"/>
  <c r="F34" i="14" s="1"/>
  <c r="F19" i="5"/>
  <c r="G13" i="8"/>
  <c r="J13" i="8" s="1"/>
  <c r="C13" i="8"/>
  <c r="D13" i="8" s="1"/>
  <c r="E13" i="8" s="1"/>
  <c r="H13" i="8"/>
  <c r="K13" i="8" s="1"/>
  <c r="I13" i="8"/>
  <c r="L13" i="8" s="1"/>
  <c r="F29" i="5"/>
  <c r="G26" i="4"/>
  <c r="F44" i="14" s="1"/>
  <c r="G25" i="4"/>
  <c r="F43" i="14" s="1"/>
  <c r="F28" i="5"/>
  <c r="G25" i="8"/>
  <c r="J25" i="8" s="1"/>
  <c r="H25" i="8"/>
  <c r="K25" i="8" s="1"/>
  <c r="I25" i="8"/>
  <c r="L25" i="8" s="1"/>
  <c r="C25" i="8"/>
  <c r="D25" i="8" s="1"/>
  <c r="E25" i="8" s="1"/>
  <c r="G20" i="12"/>
  <c r="F7" i="12"/>
  <c r="F20" i="5"/>
  <c r="G17" i="4"/>
  <c r="F35" i="14" s="1"/>
  <c r="H11" i="12"/>
  <c r="H10" i="8"/>
  <c r="K10" i="8" s="1"/>
  <c r="G10" i="8"/>
  <c r="J10" i="8" s="1"/>
  <c r="C10" i="8"/>
  <c r="D10" i="8" s="1"/>
  <c r="E10" i="8" s="1"/>
  <c r="I10" i="8"/>
  <c r="L10" i="8" s="1"/>
  <c r="G14" i="8"/>
  <c r="J14" i="8" s="1"/>
  <c r="H14" i="8"/>
  <c r="K14" i="8" s="1"/>
  <c r="I14" i="8"/>
  <c r="L14" i="8" s="1"/>
  <c r="C14" i="8"/>
  <c r="D14" i="8" s="1"/>
  <c r="E14" i="8" s="1"/>
  <c r="G5" i="8"/>
  <c r="J5" i="8" s="1"/>
  <c r="H5" i="8"/>
  <c r="K5" i="8" s="1"/>
  <c r="C5" i="8"/>
  <c r="D5" i="8" s="1"/>
  <c r="E5" i="8" s="1"/>
  <c r="E7" i="5" s="1"/>
  <c r="I5" i="8"/>
  <c r="L5" i="8" s="1"/>
  <c r="I17" i="8"/>
  <c r="L17" i="8" s="1"/>
  <c r="G17" i="8"/>
  <c r="J17" i="8" s="1"/>
  <c r="C17" i="8"/>
  <c r="D17" i="8" s="1"/>
  <c r="E17" i="8" s="1"/>
  <c r="H17" i="8"/>
  <c r="K17" i="8" s="1"/>
  <c r="G12" i="4"/>
  <c r="F30" i="14" s="1"/>
  <c r="F15" i="5"/>
  <c r="G20" i="8"/>
  <c r="J20" i="8" s="1"/>
  <c r="I20" i="8"/>
  <c r="L20" i="8" s="1"/>
  <c r="H20" i="8"/>
  <c r="K20" i="8" s="1"/>
  <c r="C20" i="8"/>
  <c r="D20" i="8" s="1"/>
  <c r="E20" i="8" s="1"/>
  <c r="G8" i="4"/>
  <c r="F26" i="14" s="1"/>
  <c r="F11" i="5"/>
  <c r="G6" i="8"/>
  <c r="J6" i="8" s="1"/>
  <c r="I6" i="8"/>
  <c r="L6" i="8" s="1"/>
  <c r="C6" i="8"/>
  <c r="D6" i="8" s="1"/>
  <c r="E6" i="8" s="1"/>
  <c r="E8" i="5" s="1"/>
  <c r="H6" i="8"/>
  <c r="K6" i="8" s="1"/>
  <c r="G15" i="4"/>
  <c r="F33" i="14" s="1"/>
  <c r="F18" i="5"/>
  <c r="G16" i="12"/>
  <c r="F13" i="5"/>
  <c r="G10" i="4"/>
  <c r="F28" i="14" s="1"/>
  <c r="G27" i="8"/>
  <c r="J27" i="8" s="1"/>
  <c r="C27" i="8"/>
  <c r="D27" i="8" s="1"/>
  <c r="E27" i="8" s="1"/>
  <c r="H27" i="8"/>
  <c r="K27" i="8" s="1"/>
  <c r="I27" i="8"/>
  <c r="L27" i="8" s="1"/>
  <c r="C26" i="8"/>
  <c r="D26" i="8" s="1"/>
  <c r="E26" i="8" s="1"/>
  <c r="G26" i="8"/>
  <c r="J26" i="8" s="1"/>
  <c r="I26" i="8"/>
  <c r="L26" i="8" s="1"/>
  <c r="H26" i="8"/>
  <c r="K26" i="8" s="1"/>
  <c r="G24" i="4"/>
  <c r="F42" i="14" s="1"/>
  <c r="F27" i="5"/>
  <c r="F5" i="12"/>
  <c r="F20" i="12"/>
  <c r="G9" i="12"/>
  <c r="I9" i="12" s="1"/>
  <c r="U30" i="14" s="1"/>
  <c r="W30" i="14" s="1"/>
  <c r="E19" i="12"/>
  <c r="F11" i="12"/>
  <c r="I11" i="12" s="1"/>
  <c r="U32" i="14" s="1"/>
  <c r="W32" i="14" s="1"/>
  <c r="G22" i="4"/>
  <c r="F40" i="14" s="1"/>
  <c r="F25" i="5"/>
  <c r="E7" i="4"/>
  <c r="F7" i="4" s="1"/>
  <c r="G18" i="8"/>
  <c r="J18" i="8" s="1"/>
  <c r="C18" i="8"/>
  <c r="D18" i="8" s="1"/>
  <c r="E18" i="8" s="1"/>
  <c r="H18" i="8"/>
  <c r="K18" i="8" s="1"/>
  <c r="I18" i="8"/>
  <c r="L18" i="8" s="1"/>
  <c r="G8" i="12"/>
  <c r="C9" i="8"/>
  <c r="D9" i="8" s="1"/>
  <c r="E9" i="8" s="1"/>
  <c r="I9" i="8"/>
  <c r="L9" i="8" s="1"/>
  <c r="H9" i="8"/>
  <c r="K9" i="8" s="1"/>
  <c r="G9" i="8"/>
  <c r="J9" i="8" s="1"/>
  <c r="G6" i="12"/>
  <c r="F22" i="5"/>
  <c r="G19" i="4"/>
  <c r="F37" i="14" s="1"/>
  <c r="G13" i="12"/>
  <c r="I13" i="12" s="1"/>
  <c r="U34" i="14" s="1"/>
  <c r="W34" i="14" s="1"/>
  <c r="G24" i="12"/>
  <c r="G21" i="12"/>
  <c r="G23" i="12"/>
  <c r="G16" i="8"/>
  <c r="J16" i="8" s="1"/>
  <c r="H16" i="8"/>
  <c r="K16" i="8" s="1"/>
  <c r="I16" i="8"/>
  <c r="L16" i="8" s="1"/>
  <c r="C16" i="8"/>
  <c r="D16" i="8" s="1"/>
  <c r="E16" i="8" s="1"/>
  <c r="G18" i="12"/>
  <c r="G11" i="8"/>
  <c r="J11" i="8" s="1"/>
  <c r="H11" i="8"/>
  <c r="K11" i="8" s="1"/>
  <c r="I11" i="8"/>
  <c r="L11" i="8" s="1"/>
  <c r="C11" i="8"/>
  <c r="D11" i="8" s="1"/>
  <c r="E11" i="8" s="1"/>
  <c r="G22" i="12"/>
  <c r="G10" i="12"/>
  <c r="G21" i="8"/>
  <c r="J21" i="8" s="1"/>
  <c r="H21" i="8"/>
  <c r="K21" i="8" s="1"/>
  <c r="C21" i="8"/>
  <c r="D21" i="8" s="1"/>
  <c r="E21" i="8" s="1"/>
  <c r="I21" i="8"/>
  <c r="L21" i="8" s="1"/>
  <c r="E5" i="12"/>
  <c r="G19" i="12"/>
  <c r="I18" i="12" l="1"/>
  <c r="U39" i="14" s="1"/>
  <c r="W39" i="14" s="1"/>
  <c r="I19" i="12"/>
  <c r="U40" i="14" s="1"/>
  <c r="W40" i="14" s="1"/>
  <c r="I22" i="12"/>
  <c r="U43" i="14" s="1"/>
  <c r="W43" i="14" s="1"/>
  <c r="I21" i="12"/>
  <c r="U42" i="14" s="1"/>
  <c r="W42" i="14" s="1"/>
  <c r="I23" i="12"/>
  <c r="U44" i="14" s="1"/>
  <c r="W44" i="14" s="1"/>
  <c r="I14" i="12"/>
  <c r="U35" i="14" s="1"/>
  <c r="W35" i="14" s="1"/>
  <c r="I6" i="12"/>
  <c r="U27" i="14" s="1"/>
  <c r="W27" i="14" s="1"/>
  <c r="I15" i="12"/>
  <c r="U36" i="14" s="1"/>
  <c r="W36" i="14" s="1"/>
  <c r="I12" i="12"/>
  <c r="U33" i="14" s="1"/>
  <c r="W33" i="14" s="1"/>
  <c r="I8" i="12"/>
  <c r="U29" i="14" s="1"/>
  <c r="W29" i="14" s="1"/>
  <c r="H19" i="12"/>
  <c r="T40" i="14" s="1"/>
  <c r="V40" i="14" s="1"/>
  <c r="I17" i="12"/>
  <c r="U38" i="14" s="1"/>
  <c r="W38" i="14" s="1"/>
  <c r="I10" i="12"/>
  <c r="U31" i="14" s="1"/>
  <c r="W31" i="14" s="1"/>
  <c r="I24" i="12"/>
  <c r="U45" i="14" s="1"/>
  <c r="W45" i="14" s="1"/>
  <c r="I16" i="12"/>
  <c r="U37" i="14" s="1"/>
  <c r="W37" i="14" s="1"/>
  <c r="H8" i="12"/>
  <c r="T29" i="14" s="1"/>
  <c r="V29" i="14" s="1"/>
  <c r="H18" i="12"/>
  <c r="H15" i="12"/>
  <c r="H17" i="12"/>
  <c r="H6" i="12"/>
  <c r="H13" i="12"/>
  <c r="T34" i="14" s="1"/>
  <c r="V34" i="14" s="1"/>
  <c r="X34" i="14" s="1"/>
  <c r="C6" i="14"/>
  <c r="H23" i="12"/>
  <c r="T44" i="14" s="1"/>
  <c r="V44" i="14" s="1"/>
  <c r="H14" i="12"/>
  <c r="T35" i="14" s="1"/>
  <c r="V35" i="14" s="1"/>
  <c r="H12" i="12"/>
  <c r="H9" i="12"/>
  <c r="J9" i="12" s="1"/>
  <c r="H7" i="12"/>
  <c r="T28" i="14" s="1"/>
  <c r="V28" i="14" s="1"/>
  <c r="I20" i="12"/>
  <c r="U41" i="14" s="1"/>
  <c r="W41" i="14" s="1"/>
  <c r="H10" i="12"/>
  <c r="T31" i="14" s="1"/>
  <c r="V31" i="14" s="1"/>
  <c r="H22" i="12"/>
  <c r="T43" i="14" s="1"/>
  <c r="V43" i="14" s="1"/>
  <c r="I7" i="12"/>
  <c r="U28" i="14" s="1"/>
  <c r="W28" i="14" s="1"/>
  <c r="H24" i="12"/>
  <c r="T45" i="14" s="1"/>
  <c r="V45" i="14" s="1"/>
  <c r="H16" i="12"/>
  <c r="M9" i="8"/>
  <c r="N9" i="8" s="1"/>
  <c r="B6" i="14"/>
  <c r="M10" i="8"/>
  <c r="D12" i="5" s="1"/>
  <c r="H21" i="12"/>
  <c r="M25" i="8"/>
  <c r="D27" i="5" s="1"/>
  <c r="H7" i="5"/>
  <c r="H4" i="18"/>
  <c r="H8" i="5"/>
  <c r="H5" i="18"/>
  <c r="E27" i="14"/>
  <c r="E12" i="5"/>
  <c r="G7" i="4"/>
  <c r="F10" i="5"/>
  <c r="M16" i="8"/>
  <c r="H9" i="5"/>
  <c r="H6" i="18"/>
  <c r="I5" i="12"/>
  <c r="U26" i="14" s="1"/>
  <c r="W26" i="14" s="1"/>
  <c r="D6" i="14"/>
  <c r="E43" i="14"/>
  <c r="E28" i="5"/>
  <c r="E37" i="14"/>
  <c r="E22" i="5"/>
  <c r="E16" i="5"/>
  <c r="E31" i="14"/>
  <c r="M19" i="8"/>
  <c r="T41" i="14"/>
  <c r="V41" i="14" s="1"/>
  <c r="E13" i="5"/>
  <c r="E28" i="14"/>
  <c r="H5" i="12"/>
  <c r="E32" i="14"/>
  <c r="E17" i="5"/>
  <c r="E18" i="5"/>
  <c r="E33" i="14"/>
  <c r="E29" i="5"/>
  <c r="E44" i="14"/>
  <c r="M20" i="8"/>
  <c r="M14" i="8"/>
  <c r="M13" i="8"/>
  <c r="M22" i="8"/>
  <c r="E14" i="5"/>
  <c r="E29" i="14"/>
  <c r="M15" i="8"/>
  <c r="E26" i="5"/>
  <c r="E41" i="14"/>
  <c r="E15" i="5"/>
  <c r="E30" i="14"/>
  <c r="M12" i="8"/>
  <c r="E20" i="5"/>
  <c r="E35" i="14"/>
  <c r="E26" i="14"/>
  <c r="E11" i="5"/>
  <c r="M18" i="8"/>
  <c r="M27" i="8"/>
  <c r="E34" i="14"/>
  <c r="E19" i="5"/>
  <c r="J11" i="12"/>
  <c r="T32" i="14"/>
  <c r="V32" i="14" s="1"/>
  <c r="X32" i="14" s="1"/>
  <c r="E27" i="5"/>
  <c r="E42" i="14"/>
  <c r="E36" i="14"/>
  <c r="E21" i="5"/>
  <c r="E6" i="14"/>
  <c r="E25" i="5"/>
  <c r="E40" i="14"/>
  <c r="M7" i="8"/>
  <c r="M24" i="8"/>
  <c r="M6" i="8"/>
  <c r="G8" i="8"/>
  <c r="C8" i="8"/>
  <c r="H8" i="8"/>
  <c r="I8" i="8"/>
  <c r="E23" i="5"/>
  <c r="E38" i="14"/>
  <c r="M21" i="8"/>
  <c r="M11" i="8"/>
  <c r="M26" i="8"/>
  <c r="M17" i="8"/>
  <c r="M5" i="8"/>
  <c r="E24" i="5"/>
  <c r="E39" i="14"/>
  <c r="M23" i="8"/>
  <c r="H7" i="18" l="1"/>
  <c r="J18" i="12"/>
  <c r="C23" i="5" s="1"/>
  <c r="J21" i="12"/>
  <c r="K21" i="12" s="1"/>
  <c r="C41" i="14" s="1"/>
  <c r="X43" i="14"/>
  <c r="X40" i="14"/>
  <c r="X35" i="14"/>
  <c r="J16" i="12"/>
  <c r="C21" i="5" s="1"/>
  <c r="T39" i="14"/>
  <c r="V39" i="14" s="1"/>
  <c r="X39" i="14" s="1"/>
  <c r="J19" i="12"/>
  <c r="K19" i="12" s="1"/>
  <c r="C39" i="14" s="1"/>
  <c r="J8" i="12"/>
  <c r="K8" i="12" s="1"/>
  <c r="C28" i="14" s="1"/>
  <c r="J15" i="12"/>
  <c r="K15" i="12" s="1"/>
  <c r="C35" i="14" s="1"/>
  <c r="J6" i="12"/>
  <c r="C11" i="5" s="1"/>
  <c r="X29" i="14"/>
  <c r="G6" i="14"/>
  <c r="J12" i="12"/>
  <c r="C17" i="5" s="1"/>
  <c r="T36" i="14"/>
  <c r="V36" i="14" s="1"/>
  <c r="X36" i="14" s="1"/>
  <c r="J17" i="12"/>
  <c r="C22" i="5" s="1"/>
  <c r="J13" i="12"/>
  <c r="K13" i="12" s="1"/>
  <c r="C33" i="14" s="1"/>
  <c r="T38" i="14"/>
  <c r="V38" i="14" s="1"/>
  <c r="X38" i="14" s="1"/>
  <c r="T30" i="14"/>
  <c r="V30" i="14" s="1"/>
  <c r="X30" i="14" s="1"/>
  <c r="T37" i="14"/>
  <c r="V37" i="14" s="1"/>
  <c r="X37" i="14" s="1"/>
  <c r="J10" i="12"/>
  <c r="C15" i="5" s="1"/>
  <c r="J24" i="12"/>
  <c r="K24" i="12" s="1"/>
  <c r="C44" i="14" s="1"/>
  <c r="T27" i="14"/>
  <c r="V27" i="14" s="1"/>
  <c r="X27" i="14" s="1"/>
  <c r="N25" i="8"/>
  <c r="O25" i="8" s="1"/>
  <c r="J20" i="12"/>
  <c r="C25" i="5" s="1"/>
  <c r="D11" i="5"/>
  <c r="X31" i="14"/>
  <c r="J23" i="12"/>
  <c r="C28" i="5" s="1"/>
  <c r="X41" i="14"/>
  <c r="J22" i="12"/>
  <c r="C27" i="5" s="1"/>
  <c r="J27" i="5" s="1"/>
  <c r="K27" i="5" s="1"/>
  <c r="T33" i="14"/>
  <c r="V33" i="14" s="1"/>
  <c r="X33" i="14" s="1"/>
  <c r="J14" i="12"/>
  <c r="K14" i="12" s="1"/>
  <c r="C34" i="14" s="1"/>
  <c r="X44" i="14"/>
  <c r="X28" i="14"/>
  <c r="J7" i="12"/>
  <c r="K7" i="12" s="1"/>
  <c r="C27" i="14" s="1"/>
  <c r="X45" i="14"/>
  <c r="T42" i="14"/>
  <c r="V42" i="14" s="1"/>
  <c r="X42" i="14" s="1"/>
  <c r="N10" i="8"/>
  <c r="D27" i="14" s="1"/>
  <c r="F6" i="14"/>
  <c r="N6" i="8"/>
  <c r="O6" i="8" s="1"/>
  <c r="D8" i="5"/>
  <c r="J8" i="5" s="1"/>
  <c r="K8" i="5" s="1"/>
  <c r="N18" i="8"/>
  <c r="D20" i="5"/>
  <c r="N16" i="8"/>
  <c r="D18" i="5"/>
  <c r="N17" i="8"/>
  <c r="D19" i="5"/>
  <c r="C9" i="14"/>
  <c r="N12" i="8"/>
  <c r="D14" i="5"/>
  <c r="N13" i="8"/>
  <c r="D15" i="5"/>
  <c r="K9" i="12"/>
  <c r="C29" i="14" s="1"/>
  <c r="C14" i="5"/>
  <c r="F25" i="14"/>
  <c r="F45" i="14" s="1"/>
  <c r="G27" i="4"/>
  <c r="N23" i="8"/>
  <c r="D25" i="5"/>
  <c r="O9" i="8"/>
  <c r="D26" i="14"/>
  <c r="L8" i="8"/>
  <c r="F19" i="14" s="1" a="1"/>
  <c r="F19" i="14" s="1"/>
  <c r="F18" i="14"/>
  <c r="K8" i="8"/>
  <c r="E19" i="14" s="1" a="1"/>
  <c r="E19" i="14" s="1"/>
  <c r="E18" i="14"/>
  <c r="D16" i="5"/>
  <c r="N14" i="8"/>
  <c r="D9" i="5"/>
  <c r="J9" i="5" s="1"/>
  <c r="K9" i="5" s="1"/>
  <c r="N7" i="8"/>
  <c r="O7" i="8" s="1"/>
  <c r="J5" i="12"/>
  <c r="T26" i="14"/>
  <c r="V26" i="14" s="1"/>
  <c r="N5" i="8"/>
  <c r="O5" i="8" s="1"/>
  <c r="D7" i="5"/>
  <c r="J7" i="5" s="1"/>
  <c r="K7" i="5" s="1"/>
  <c r="D24" i="5"/>
  <c r="N22" i="8"/>
  <c r="N24" i="8"/>
  <c r="D26" i="5"/>
  <c r="C16" i="5"/>
  <c r="K11" i="12"/>
  <c r="C31" i="14" s="1"/>
  <c r="N26" i="8"/>
  <c r="D28" i="5"/>
  <c r="N15" i="8"/>
  <c r="D17" i="5"/>
  <c r="N11" i="8"/>
  <c r="D13" i="5"/>
  <c r="D8" i="8"/>
  <c r="E8" i="8" s="1"/>
  <c r="C18" i="14"/>
  <c r="N20" i="8"/>
  <c r="D22" i="5"/>
  <c r="D23" i="5"/>
  <c r="N21" i="8"/>
  <c r="D18" i="14"/>
  <c r="J8" i="8"/>
  <c r="N27" i="8"/>
  <c r="D29" i="5"/>
  <c r="N19" i="8"/>
  <c r="D21" i="5"/>
  <c r="K18" i="12" l="1"/>
  <c r="C38" i="14" s="1"/>
  <c r="C26" i="5"/>
  <c r="J26" i="5" s="1"/>
  <c r="K26" i="5" s="1"/>
  <c r="K16" i="12"/>
  <c r="C36" i="14" s="1"/>
  <c r="C13" i="5"/>
  <c r="J13" i="5" s="1"/>
  <c r="K13" i="5" s="1"/>
  <c r="C20" i="5"/>
  <c r="J20" i="5" s="1"/>
  <c r="K20" i="5" s="1"/>
  <c r="C24" i="5"/>
  <c r="J24" i="5" s="1"/>
  <c r="K24" i="5" s="1"/>
  <c r="K6" i="12"/>
  <c r="C26" i="14" s="1"/>
  <c r="K12" i="12"/>
  <c r="C32" i="14" s="1"/>
  <c r="K17" i="12"/>
  <c r="C37" i="14" s="1"/>
  <c r="C18" i="5"/>
  <c r="J18" i="5" s="1"/>
  <c r="K18" i="5" s="1"/>
  <c r="K20" i="12"/>
  <c r="C40" i="14" s="1"/>
  <c r="D42" i="14"/>
  <c r="C19" i="5"/>
  <c r="J19" i="5" s="1"/>
  <c r="K19" i="5" s="1"/>
  <c r="K23" i="12"/>
  <c r="C43" i="14" s="1"/>
  <c r="C29" i="5"/>
  <c r="J29" i="5" s="1"/>
  <c r="K29" i="5" s="1"/>
  <c r="K10" i="12"/>
  <c r="C30" i="14" s="1"/>
  <c r="J11" i="5"/>
  <c r="K11" i="5" s="1"/>
  <c r="O10" i="8"/>
  <c r="K22" i="12"/>
  <c r="C42" i="14" s="1"/>
  <c r="C12" i="5"/>
  <c r="J12" i="5" s="1"/>
  <c r="K12" i="5" s="1"/>
  <c r="J25" i="5"/>
  <c r="K25" i="5" s="1"/>
  <c r="B9" i="14"/>
  <c r="G18" i="14"/>
  <c r="J14" i="5"/>
  <c r="K14" i="5" s="1"/>
  <c r="J15" i="5"/>
  <c r="K15" i="5" s="1"/>
  <c r="J22" i="5"/>
  <c r="K22" i="5" s="1"/>
  <c r="J17" i="5"/>
  <c r="K17" i="5" s="1"/>
  <c r="J23" i="5"/>
  <c r="K23" i="5" s="1"/>
  <c r="J28" i="5"/>
  <c r="K28" i="5" s="1"/>
  <c r="O17" i="8"/>
  <c r="D34" i="14"/>
  <c r="O21" i="8"/>
  <c r="D38" i="14"/>
  <c r="D28" i="14"/>
  <c r="O11" i="8"/>
  <c r="O12" i="8"/>
  <c r="D29" i="14"/>
  <c r="D35" i="14"/>
  <c r="O18" i="8"/>
  <c r="M8" i="8"/>
  <c r="D19" i="14" a="1"/>
  <c r="D19" i="14" s="1"/>
  <c r="C19" i="14"/>
  <c r="E10" i="5"/>
  <c r="E25" i="14"/>
  <c r="E45" i="14" s="1"/>
  <c r="K5" i="12"/>
  <c r="C10" i="5"/>
  <c r="O23" i="8"/>
  <c r="D40" i="14"/>
  <c r="O22" i="8"/>
  <c r="D39" i="14"/>
  <c r="D36" i="14"/>
  <c r="O19" i="8"/>
  <c r="O26" i="8"/>
  <c r="D43" i="14"/>
  <c r="O13" i="8"/>
  <c r="D30" i="14"/>
  <c r="J16" i="5"/>
  <c r="K16" i="5" s="1"/>
  <c r="D44" i="14"/>
  <c r="O27" i="8"/>
  <c r="D37" i="14"/>
  <c r="O20" i="8"/>
  <c r="D32" i="14"/>
  <c r="O15" i="8"/>
  <c r="D41" i="14"/>
  <c r="O24" i="8"/>
  <c r="D31" i="14"/>
  <c r="O14" i="8"/>
  <c r="J21" i="5"/>
  <c r="K21" i="5" s="1"/>
  <c r="X26" i="14"/>
  <c r="D9" i="14" s="1"/>
  <c r="D33" i="14"/>
  <c r="O16" i="8"/>
  <c r="N8" i="8" l="1"/>
  <c r="D10" i="5"/>
  <c r="J10" i="5" s="1"/>
  <c r="K10" i="5" s="1"/>
  <c r="K30" i="5" s="1"/>
  <c r="G19" i="14"/>
  <c r="K25" i="12"/>
  <c r="C25" i="14"/>
  <c r="C45" i="14" s="1"/>
  <c r="C46" i="5" l="1"/>
  <c r="O8" i="8"/>
  <c r="O28" i="8" s="1"/>
  <c r="K31" i="5" s="1"/>
  <c r="K32" i="5" s="1"/>
  <c r="D25" i="14"/>
  <c r="D45" i="14" s="1"/>
  <c r="H9" i="14" s="1" a="1"/>
  <c r="H9" i="14" s="1"/>
  <c r="H15" i="14" s="1"/>
  <c r="C48" i="5" l="1"/>
  <c r="C49" i="5"/>
  <c r="C53" i="5"/>
  <c r="C59" i="5" l="1"/>
  <c r="C55" i="5"/>
  <c r="C56" i="5"/>
  <c r="C12" i="14"/>
  <c r="C62" i="5" l="1"/>
  <c r="C15" i="14"/>
  <c r="C14" i="14"/>
  <c r="C61"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tc={129AE93B-448B-4EE7-B18C-22E8343E35E6}</author>
    <author>tc={C60A13E1-5DFF-4FB9-8362-9AE6C08EA95E}</author>
    <author>tc={C520D5D6-8C85-4BC3-BB50-945AD1D2B901}</author>
  </authors>
  <commentList>
    <comment ref="B2" authorId="0" shapeId="0" xr:uid="{129AE93B-448B-4EE7-B18C-22E8343E35E6}">
      <text>
        <t>[Threaded comment]
Your version of Excel allows you to read this threaded comment; however, any edits to it will get removed if the file is opened in a newer version of Excel. Learn more: https://go.microsoft.com/fwlink/?linkid=870924
Comment:
    Where do these values come from. Looks like it is supposed to be v/c?</t>
      </text>
    </comment>
    <comment ref="D3" authorId="1" shapeId="0" xr:uid="{C60A13E1-5DFF-4FB9-8362-9AE6C08EA95E}">
      <text>
        <t>[Threaded comment]
Your version of Excel allows you to read this threaded comment; however, any edits to it will get removed if the file is opened in a newer version of Excel. Learn more: https://go.microsoft.com/fwlink/?linkid=870924
Comment:
    Wouldn’t the units on this be sec/capacity if column B is V/C?</t>
      </text>
    </comment>
    <comment ref="A31" authorId="2" shapeId="0" xr:uid="{C520D5D6-8C85-4BC3-BB50-945AD1D2B901}">
      <text>
        <t>[Threaded comment]
Your version of Excel allows you to read this threaded comment; however, any edits to it will get removed if the file is opened in a newer version of Excel. Learn more: https://go.microsoft.com/fwlink/?linkid=870924
Comment:
    What’s the purpose of this table compared to the one above?</t>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<sst xmlns="http://schemas.openxmlformats.org/spreadsheetml/2006/main" count="1012" uniqueCount="589">
  <si>
    <t>VMT</t>
  </si>
  <si>
    <t>No Build</t>
  </si>
  <si>
    <t>Build</t>
  </si>
  <si>
    <t>Difference</t>
  </si>
  <si>
    <t>Year</t>
  </si>
  <si>
    <t>Total</t>
  </si>
  <si>
    <t>Annual Growth</t>
  </si>
  <si>
    <t>Annualized Operations</t>
  </si>
  <si>
    <t>Analysis Year</t>
  </si>
  <si>
    <t>All-Purpose Travel Time Cost</t>
  </si>
  <si>
    <t>Differential</t>
  </si>
  <si>
    <t>Truck Travel Time Cost</t>
  </si>
  <si>
    <t>Auto Percentage</t>
  </si>
  <si>
    <t>Truck Percentage</t>
  </si>
  <si>
    <t>Auto Vehicle Occupancy</t>
  </si>
  <si>
    <t>Truck Vehicle Occupancy</t>
  </si>
  <si>
    <t>Aggregate Travel Time Cost</t>
  </si>
  <si>
    <t>AADT</t>
  </si>
  <si>
    <t>1)</t>
  </si>
  <si>
    <t>2)</t>
  </si>
  <si>
    <t>4)</t>
  </si>
  <si>
    <t>Network Wide Statistic</t>
  </si>
  <si>
    <t>Average Delay (s/veh)</t>
  </si>
  <si>
    <t>Total Travel Time (hr)</t>
  </si>
  <si>
    <t>Existing Conditions</t>
  </si>
  <si>
    <t>AM</t>
  </si>
  <si>
    <t>PM</t>
  </si>
  <si>
    <t>2045 No Build</t>
  </si>
  <si>
    <t>2045 SPUI</t>
  </si>
  <si>
    <t>Base Year</t>
  </si>
  <si>
    <t>Duration of Construction</t>
  </si>
  <si>
    <t>Years of Benefit-Cost Analysis Period</t>
  </si>
  <si>
    <t>Benefit-Cost First Year of Benefit</t>
  </si>
  <si>
    <t>Benefit-Cost Final Year of Benefit</t>
  </si>
  <si>
    <t>Discount Rate</t>
  </si>
  <si>
    <t>Auto Occupancy</t>
  </si>
  <si>
    <t>Truck Occupancy</t>
  </si>
  <si>
    <t>All Purpose Travel Time Costs</t>
  </si>
  <si>
    <t>Truck Travel Time Costs</t>
  </si>
  <si>
    <t>Per VMT Operating Costs: Auto</t>
  </si>
  <si>
    <t>Per VMT Operating Costs: Truck</t>
  </si>
  <si>
    <t>Crash Type</t>
  </si>
  <si>
    <t>Value (2022$)</t>
  </si>
  <si>
    <t>PDO Crash</t>
  </si>
  <si>
    <t>Injury Crash</t>
  </si>
  <si>
    <t>Fatal Crash</t>
  </si>
  <si>
    <t>ECONOMIC COMPETITIVENESS - USER BENEFIT CALCULATION OF CORRIDOR TRAVEL TIME SAVINGS</t>
  </si>
  <si>
    <t>Travel Time Savings Costs</t>
  </si>
  <si>
    <t>Travel Time Cost Savings</t>
  </si>
  <si>
    <t>3.1% Discount</t>
  </si>
  <si>
    <t>Table 4 - Per-mile Travel Time Cost</t>
  </si>
  <si>
    <t>Total Benefit</t>
  </si>
  <si>
    <t>NOTES:</t>
  </si>
  <si>
    <t>BENEFITS</t>
  </si>
  <si>
    <t>Remaining Capital Value (3.1%)</t>
  </si>
  <si>
    <t>Discount</t>
  </si>
  <si>
    <t>COSTS</t>
  </si>
  <si>
    <t>Capital Costs</t>
  </si>
  <si>
    <t>Total Cost</t>
  </si>
  <si>
    <t>SUMMARY</t>
  </si>
  <si>
    <t>Results</t>
  </si>
  <si>
    <t>Benefits</t>
  </si>
  <si>
    <t>Costs</t>
  </si>
  <si>
    <t>B/C Ratio</t>
  </si>
  <si>
    <t>NPV</t>
  </si>
  <si>
    <t>Benefits (millions)</t>
  </si>
  <si>
    <t>Costs (millions)</t>
  </si>
  <si>
    <t>Net Present Value (millions)</t>
  </si>
  <si>
    <t>CAPITAL COST AND RESIDUAL PROJECT VALUE</t>
  </si>
  <si>
    <r>
      <t xml:space="preserve">Table 1 - Years of Construction </t>
    </r>
    <r>
      <rPr>
        <b/>
        <vertAlign val="superscript"/>
        <sz val="9"/>
        <color theme="1"/>
        <rFont val="Arial"/>
        <family val="2"/>
      </rPr>
      <t>1</t>
    </r>
  </si>
  <si>
    <t>Remaining Capital Value</t>
  </si>
  <si>
    <t>Year(s)</t>
  </si>
  <si>
    <t>Construction Year</t>
  </si>
  <si>
    <t xml:space="preserve">Capital Cost </t>
  </si>
  <si>
    <r>
      <t>Present Value RCV in (3.1%)</t>
    </r>
    <r>
      <rPr>
        <vertAlign val="superscript"/>
        <sz val="9"/>
        <color theme="1"/>
        <rFont val="Arial"/>
        <family val="2"/>
      </rPr>
      <t>2</t>
    </r>
  </si>
  <si>
    <t>Years of Construction</t>
  </si>
  <si>
    <t>Table 2 - Construction Costs</t>
  </si>
  <si>
    <t xml:space="preserve">Cost Category </t>
  </si>
  <si>
    <t>Life (years)</t>
  </si>
  <si>
    <t>Capital Costs (2022$)</t>
  </si>
  <si>
    <t>Miscellaneous (Sunk)</t>
  </si>
  <si>
    <t>Right-of-Way</t>
  </si>
  <si>
    <t>Major Structures</t>
  </si>
  <si>
    <t>Grading and Drainage</t>
  </si>
  <si>
    <t>Sub Base and Base</t>
  </si>
  <si>
    <t>Surface</t>
  </si>
  <si>
    <t>n/a</t>
  </si>
  <si>
    <t>RCV  (3.1%)</t>
  </si>
  <si>
    <t>Total Remaining Capital Value</t>
  </si>
  <si>
    <t>ALTERNATIVE #1 SPUI WITH SIGNALS</t>
  </si>
  <si>
    <t>Truck</t>
  </si>
  <si>
    <t>Nominal RCV</t>
  </si>
  <si>
    <t>Network Wide Travel</t>
  </si>
  <si>
    <t>ENVIRONMENTAL SUSTAINABILITY - AIR QUALITY</t>
  </si>
  <si>
    <t>CO2 Savings Estimations</t>
  </si>
  <si>
    <t>Other Emissions Cost Savings</t>
  </si>
  <si>
    <t>Change in C02 (metric tons)</t>
  </si>
  <si>
    <t>CO2 Yearly Carbon Emissions Savings
(2% Discount)</t>
  </si>
  <si>
    <r>
      <t>Change in NOx 
(metric tons)</t>
    </r>
    <r>
      <rPr>
        <vertAlign val="superscript"/>
        <sz val="9"/>
        <color theme="1"/>
        <rFont val="Aptos Narrow"/>
        <family val="2"/>
        <scheme val="minor"/>
      </rPr>
      <t>1</t>
    </r>
  </si>
  <si>
    <r>
      <t>Change in SO2
(metric tons)</t>
    </r>
    <r>
      <rPr>
        <vertAlign val="superscript"/>
        <sz val="9"/>
        <color theme="1"/>
        <rFont val="Aptos Narrow"/>
        <family val="2"/>
        <scheme val="minor"/>
      </rPr>
      <t>1</t>
    </r>
  </si>
  <si>
    <r>
      <t>Change in PM
(metric tons)</t>
    </r>
    <r>
      <rPr>
        <vertAlign val="superscript"/>
        <sz val="9"/>
        <color theme="1"/>
        <rFont val="Aptos Narrow"/>
        <family val="2"/>
        <scheme val="minor"/>
      </rPr>
      <t>1</t>
    </r>
  </si>
  <si>
    <t>All Discounted</t>
  </si>
  <si>
    <t>Mode</t>
  </si>
  <si>
    <r>
      <t>NO</t>
    </r>
    <r>
      <rPr>
        <b/>
        <vertAlign val="subscript"/>
        <sz val="11"/>
        <color theme="1"/>
        <rFont val="Aptos Narrow"/>
        <family val="2"/>
        <scheme val="minor"/>
      </rPr>
      <t>X</t>
    </r>
  </si>
  <si>
    <r>
      <t>SO</t>
    </r>
    <r>
      <rPr>
        <b/>
        <vertAlign val="subscript"/>
        <sz val="11"/>
        <color theme="1"/>
        <rFont val="Aptos Narrow"/>
        <family val="2"/>
        <scheme val="minor"/>
      </rPr>
      <t>2</t>
    </r>
  </si>
  <si>
    <r>
      <t>PM</t>
    </r>
    <r>
      <rPr>
        <b/>
        <vertAlign val="subscript"/>
        <sz val="11"/>
        <color theme="1"/>
        <rFont val="Aptos Narrow"/>
        <family val="2"/>
        <scheme val="minor"/>
      </rPr>
      <t>2.5</t>
    </r>
  </si>
  <si>
    <r>
      <t>CO</t>
    </r>
    <r>
      <rPr>
        <b/>
        <vertAlign val="subscript"/>
        <sz val="11"/>
        <color theme="1"/>
        <rFont val="Aptos Narrow"/>
        <family val="2"/>
        <scheme val="minor"/>
      </rPr>
      <t>2</t>
    </r>
  </si>
  <si>
    <t>Source Type</t>
  </si>
  <si>
    <t>HPMS Description</t>
  </si>
  <si>
    <t>Auto/Truck</t>
  </si>
  <si>
    <t>Automobile</t>
  </si>
  <si>
    <t>Motorcycle</t>
  </si>
  <si>
    <t>Auto</t>
  </si>
  <si>
    <t>Trucks</t>
  </si>
  <si>
    <t>Light-Duty Vehicle</t>
  </si>
  <si>
    <t>Table 2 - Damage Costs for Emissions per metric ton</t>
  </si>
  <si>
    <t>Buses</t>
  </si>
  <si>
    <t>Single-Unit Truck</t>
  </si>
  <si>
    <t>Combination Truck</t>
  </si>
  <si>
    <t>NOX</t>
  </si>
  <si>
    <t>SO2</t>
  </si>
  <si>
    <t>PM2.5</t>
  </si>
  <si>
    <t>CO2</t>
  </si>
  <si>
    <t>Average emission rates per vehicle type were obtained from the Environmental Protection Agency’s Motor Vehicle Emission Simulator (MOVES) version 3. The change in VMT between No Build and Build conditions was applied to emission rates by vehicle type.</t>
  </si>
  <si>
    <t>Type</t>
  </si>
  <si>
    <t>Average MPG</t>
  </si>
  <si>
    <t>Vehicle Type</t>
  </si>
  <si>
    <t>Fuel Type</t>
  </si>
  <si>
    <t>Engine Size (liter)</t>
  </si>
  <si>
    <t>Gross Vehicle Weight (GVW) (lb)</t>
  </si>
  <si>
    <t>Idling fuel use (Gal/hr with no load)</t>
  </si>
  <si>
    <t>Tractor-Semitrailer</t>
  </si>
  <si>
    <t>Diesel</t>
  </si>
  <si>
    <t>-</t>
  </si>
  <si>
    <t>Bucket Truck</t>
  </si>
  <si>
    <t>Transit Bus</t>
  </si>
  <si>
    <t>Medium Heavy Truck</t>
  </si>
  <si>
    <t>6-10</t>
  </si>
  <si>
    <t>23,000-33,000</t>
  </si>
  <si>
    <t>Tow Truck</t>
  </si>
  <si>
    <t>Delivery Truck</t>
  </si>
  <si>
    <t>Gas</t>
  </si>
  <si>
    <t>5-7</t>
  </si>
  <si>
    <t>19,700-26,000</t>
  </si>
  <si>
    <t>Compact Sedan</t>
  </si>
  <si>
    <t>Large Sedan</t>
  </si>
  <si>
    <t>Air Quality Sans CO2</t>
  </si>
  <si>
    <t>Air Quality: CO2 (2%)</t>
  </si>
  <si>
    <t>EB Off</t>
  </si>
  <si>
    <t>WB Off</t>
  </si>
  <si>
    <t>EB On</t>
  </si>
  <si>
    <t>WB On</t>
  </si>
  <si>
    <t>Effective (tons)</t>
  </si>
  <si>
    <t>Fatal</t>
  </si>
  <si>
    <t>Length</t>
  </si>
  <si>
    <t>No Build Length</t>
  </si>
  <si>
    <r>
      <rPr>
        <sz val="9"/>
        <rFont val="Arial"/>
        <family val="2"/>
      </rPr>
      <t>I-94 WB Entrance
Ramp</t>
    </r>
  </si>
  <si>
    <t>I-94 WB Exit Ramp</t>
  </si>
  <si>
    <t>I-94 EB Exit Ramp</t>
  </si>
  <si>
    <t>I-94 EB Entrance Ramp</t>
  </si>
  <si>
    <t>Peak Hour Conversion Factor</t>
  </si>
  <si>
    <t>Interchange VMT</t>
  </si>
  <si>
    <r>
      <rPr>
        <b/>
        <sz val="10"/>
        <color rgb="FF231F20"/>
        <rFont val="Times New Roman"/>
        <family val="1"/>
      </rPr>
      <t>Total</t>
    </r>
    <r>
      <rPr>
        <sz val="10"/>
        <color rgb="FF231F20"/>
        <rFont val="Times New Roman"/>
        <family val="1"/>
      </rPr>
      <t xml:space="preserve"> </t>
    </r>
    <r>
      <rPr>
        <b/>
        <sz val="10"/>
        <color rgb="FF231F20"/>
        <rFont val="Times New Roman"/>
        <family val="1"/>
      </rPr>
      <t>Crashes</t>
    </r>
  </si>
  <si>
    <r>
      <rPr>
        <b/>
        <sz val="10"/>
        <color rgb="FF231F20"/>
        <rFont val="Times New Roman"/>
        <family val="1"/>
      </rPr>
      <t>FI</t>
    </r>
    <r>
      <rPr>
        <sz val="10"/>
        <color rgb="FF231F20"/>
        <rFont val="Times New Roman"/>
        <family val="1"/>
      </rPr>
      <t xml:space="preserve"> </t>
    </r>
    <r>
      <rPr>
        <b/>
        <sz val="10"/>
        <color rgb="FF231F20"/>
        <rFont val="Times New Roman"/>
        <family val="1"/>
      </rPr>
      <t>Crashes</t>
    </r>
  </si>
  <si>
    <r>
      <rPr>
        <b/>
        <sz val="10"/>
        <color rgb="FF231F20"/>
        <rFont val="Times New Roman"/>
        <family val="1"/>
      </rPr>
      <t>Percent</t>
    </r>
    <r>
      <rPr>
        <sz val="10"/>
        <color rgb="FF231F20"/>
        <rFont val="Times New Roman"/>
        <family val="1"/>
      </rPr>
      <t xml:space="preserve"> </t>
    </r>
    <r>
      <rPr>
        <b/>
        <sz val="10"/>
        <color rgb="FF231F20"/>
        <rFont val="Times New Roman"/>
        <family val="1"/>
      </rPr>
      <t>FI</t>
    </r>
    <r>
      <rPr>
        <sz val="10"/>
        <color rgb="FF231F20"/>
        <rFont val="Times New Roman"/>
        <family val="1"/>
      </rPr>
      <t xml:space="preserve"> </t>
    </r>
    <r>
      <rPr>
        <b/>
        <sz val="10"/>
        <color rgb="FF231F20"/>
        <rFont val="Times New Roman"/>
        <family val="1"/>
      </rPr>
      <t>(%)</t>
    </r>
  </si>
  <si>
    <r>
      <rPr>
        <b/>
        <sz val="10"/>
        <color rgb="FF231F20"/>
        <rFont val="Times New Roman"/>
        <family val="1"/>
      </rPr>
      <t>PDO</t>
    </r>
    <r>
      <rPr>
        <sz val="10"/>
        <color rgb="FF231F20"/>
        <rFont val="Times New Roman"/>
        <family val="1"/>
      </rPr>
      <t xml:space="preserve"> </t>
    </r>
    <r>
      <rPr>
        <b/>
        <sz val="10"/>
        <color rgb="FF231F20"/>
        <rFont val="Times New Roman"/>
        <family val="1"/>
      </rPr>
      <t>Crashes</t>
    </r>
  </si>
  <si>
    <r>
      <rPr>
        <b/>
        <sz val="10"/>
        <color rgb="FF231F20"/>
        <rFont val="Times New Roman"/>
        <family val="1"/>
      </rPr>
      <t>Percent</t>
    </r>
    <r>
      <rPr>
        <sz val="10"/>
        <color rgb="FF231F20"/>
        <rFont val="Times New Roman"/>
        <family val="1"/>
      </rPr>
      <t xml:space="preserve"> </t>
    </r>
    <r>
      <rPr>
        <b/>
        <sz val="10"/>
        <color rgb="FF231F20"/>
        <rFont val="Times New Roman"/>
        <family val="1"/>
      </rPr>
      <t>PDO</t>
    </r>
    <r>
      <rPr>
        <sz val="10"/>
        <color rgb="FF231F20"/>
        <rFont val="Times New Roman"/>
        <family val="1"/>
      </rPr>
      <t xml:space="preserve"> </t>
    </r>
    <r>
      <rPr>
        <b/>
        <sz val="10"/>
        <color rgb="FF231F20"/>
        <rFont val="Times New Roman"/>
        <family val="1"/>
      </rPr>
      <t>(%)</t>
    </r>
  </si>
  <si>
    <r>
      <rPr>
        <sz val="10"/>
        <color rgb="FF231F20"/>
        <rFont val="Times New Roman"/>
        <family val="1"/>
      </rPr>
      <t>Total</t>
    </r>
  </si>
  <si>
    <r>
      <rPr>
        <sz val="10"/>
        <color rgb="FF231F20"/>
        <rFont val="Times New Roman"/>
        <family val="1"/>
      </rPr>
      <t>Average</t>
    </r>
  </si>
  <si>
    <t>FI Crash</t>
  </si>
  <si>
    <t>PDO</t>
  </si>
  <si>
    <t>Injury</t>
  </si>
  <si>
    <t>Safety</t>
  </si>
  <si>
    <t>RCV Factor</t>
  </si>
  <si>
    <t>Subtotal</t>
  </si>
  <si>
    <t>Time</t>
  </si>
  <si>
    <r>
      <rPr>
        <sz val="9"/>
        <rFont val="Arial"/>
        <family val="2"/>
      </rPr>
      <t>12:00 AM</t>
    </r>
  </si>
  <si>
    <r>
      <rPr>
        <sz val="9"/>
        <rFont val="Arial"/>
        <family val="2"/>
      </rPr>
      <t>1:00 AM</t>
    </r>
  </si>
  <si>
    <r>
      <rPr>
        <sz val="9"/>
        <rFont val="Arial"/>
        <family val="2"/>
      </rPr>
      <t>2:00 AM</t>
    </r>
  </si>
  <si>
    <r>
      <rPr>
        <sz val="9"/>
        <rFont val="Arial"/>
        <family val="2"/>
      </rPr>
      <t>3:00 AM</t>
    </r>
  </si>
  <si>
    <r>
      <rPr>
        <sz val="9"/>
        <rFont val="Arial"/>
        <family val="2"/>
      </rPr>
      <t>4:00 AM</t>
    </r>
  </si>
  <si>
    <r>
      <rPr>
        <sz val="9"/>
        <rFont val="Arial"/>
        <family val="2"/>
      </rPr>
      <t>5:00 AM</t>
    </r>
  </si>
  <si>
    <r>
      <rPr>
        <sz val="9"/>
        <rFont val="Arial"/>
        <family val="2"/>
      </rPr>
      <t>6:00 AM</t>
    </r>
  </si>
  <si>
    <r>
      <rPr>
        <sz val="9"/>
        <rFont val="Arial"/>
        <family val="2"/>
      </rPr>
      <t>7:00 AM</t>
    </r>
  </si>
  <si>
    <r>
      <rPr>
        <sz val="9"/>
        <rFont val="Arial"/>
        <family val="2"/>
      </rPr>
      <t>8:00 AM</t>
    </r>
  </si>
  <si>
    <r>
      <rPr>
        <sz val="9"/>
        <rFont val="Arial"/>
        <family val="2"/>
      </rPr>
      <t>9:00 AM</t>
    </r>
  </si>
  <si>
    <r>
      <rPr>
        <sz val="9"/>
        <rFont val="Arial"/>
        <family val="2"/>
      </rPr>
      <t>10:00 AM</t>
    </r>
  </si>
  <si>
    <r>
      <rPr>
        <sz val="9"/>
        <rFont val="Arial"/>
        <family val="2"/>
      </rPr>
      <t>11:00 AM</t>
    </r>
  </si>
  <si>
    <r>
      <rPr>
        <sz val="9"/>
        <rFont val="Arial"/>
        <family val="2"/>
      </rPr>
      <t>12:00 PM</t>
    </r>
  </si>
  <si>
    <r>
      <rPr>
        <sz val="9"/>
        <rFont val="Arial"/>
        <family val="2"/>
      </rPr>
      <t>1:00 PM</t>
    </r>
  </si>
  <si>
    <r>
      <rPr>
        <sz val="9"/>
        <rFont val="Arial"/>
        <family val="2"/>
      </rPr>
      <t>2:00 PM</t>
    </r>
  </si>
  <si>
    <r>
      <rPr>
        <sz val="9"/>
        <rFont val="Arial"/>
        <family val="2"/>
      </rPr>
      <t>3:00 PM</t>
    </r>
  </si>
  <si>
    <r>
      <rPr>
        <sz val="9"/>
        <rFont val="Arial"/>
        <family val="2"/>
      </rPr>
      <t>4:00 PM</t>
    </r>
  </si>
  <si>
    <r>
      <rPr>
        <sz val="9"/>
        <rFont val="Arial"/>
        <family val="2"/>
      </rPr>
      <t>5:00 PM</t>
    </r>
  </si>
  <si>
    <r>
      <rPr>
        <sz val="9"/>
        <rFont val="Arial"/>
        <family val="2"/>
      </rPr>
      <t>6:00 PM</t>
    </r>
  </si>
  <si>
    <r>
      <rPr>
        <sz val="9"/>
        <rFont val="Arial"/>
        <family val="2"/>
      </rPr>
      <t>7:00 PM</t>
    </r>
  </si>
  <si>
    <r>
      <rPr>
        <sz val="9"/>
        <rFont val="Arial"/>
        <family val="2"/>
      </rPr>
      <t>8:00 PM</t>
    </r>
  </si>
  <si>
    <r>
      <rPr>
        <sz val="9"/>
        <rFont val="Arial"/>
        <family val="2"/>
      </rPr>
      <t>9:00 PM</t>
    </r>
  </si>
  <si>
    <r>
      <rPr>
        <sz val="9"/>
        <rFont val="Arial"/>
        <family val="2"/>
      </rPr>
      <t>10:00 PM</t>
    </r>
  </si>
  <si>
    <r>
      <rPr>
        <sz val="9"/>
        <rFont val="Arial"/>
        <family val="2"/>
      </rPr>
      <t>11:00 PM</t>
    </r>
  </si>
  <si>
    <r>
      <rPr>
        <b/>
        <sz val="9"/>
        <rFont val="Arial"/>
        <family val="2"/>
      </rPr>
      <t>Total</t>
    </r>
  </si>
  <si>
    <t>SAFETY BENEFITS ANALYSIS</t>
  </si>
  <si>
    <t>No Build Annual VHT</t>
  </si>
  <si>
    <t>Build Annual VHT</t>
  </si>
  <si>
    <t>Car</t>
  </si>
  <si>
    <t>MPG Gasoline</t>
  </si>
  <si>
    <t>MPG Diesel</t>
  </si>
  <si>
    <t>Source</t>
  </si>
  <si>
    <t>Refuse Truck</t>
  </si>
  <si>
    <t>A</t>
  </si>
  <si>
    <t>B</t>
  </si>
  <si>
    <t>Class 8 Truck</t>
  </si>
  <si>
    <t>C</t>
  </si>
  <si>
    <t>School Bus</t>
  </si>
  <si>
    <t>D</t>
  </si>
  <si>
    <t>Paratransit Shuttle</t>
  </si>
  <si>
    <t>Light Truck/Van</t>
  </si>
  <si>
    <t>Ridesourcing Vehicle</t>
  </si>
  <si>
    <t>E</t>
  </si>
  <si>
    <t>BIP 2024 BCA SUMMARY - SUNSET AVE INTERCHANGE - MANDAN</t>
  </si>
  <si>
    <t>Delay Savings</t>
  </si>
  <si>
    <t>Yearly CO2 Emissions Savings in Current Dollars ($)</t>
  </si>
  <si>
    <r>
      <t>Table 1 - Pollution Emission by Mode (g/VMT)</t>
    </r>
    <r>
      <rPr>
        <b/>
        <vertAlign val="superscript"/>
        <sz val="11"/>
        <color theme="1"/>
        <rFont val="Aptos Narrow"/>
        <family val="2"/>
        <scheme val="minor"/>
      </rPr>
      <t>1</t>
    </r>
  </si>
  <si>
    <r>
      <t>Table 4 - MOVES Model Output (grams per VMT)</t>
    </r>
    <r>
      <rPr>
        <b/>
        <vertAlign val="superscript"/>
        <sz val="11"/>
        <color theme="1"/>
        <rFont val="Aptos Narrow"/>
        <family val="2"/>
        <scheme val="minor"/>
      </rPr>
      <t>1</t>
    </r>
  </si>
  <si>
    <r>
      <t>Table 5 - Summary of MOVES Model Output (grams per VMT)</t>
    </r>
    <r>
      <rPr>
        <b/>
        <vertAlign val="superscript"/>
        <sz val="11"/>
        <color theme="1"/>
        <rFont val="Aptos Narrow"/>
        <family val="2"/>
        <scheme val="minor"/>
      </rPr>
      <t>1</t>
    </r>
  </si>
  <si>
    <r>
      <t>Table 3 - Average Gallons of Fuel Consumed Per Hour Idle</t>
    </r>
    <r>
      <rPr>
        <b/>
        <vertAlign val="superscript"/>
        <sz val="11"/>
        <color theme="1"/>
        <rFont val="Aptos Narrow"/>
        <family val="2"/>
        <scheme val="minor"/>
      </rPr>
      <t>2</t>
    </r>
  </si>
  <si>
    <t>U.S. Department of Energy, U.S. Department of Energy, Vehicle Technology Office, https://www.energy.gov/eere/vehicles/fact-861-february-23-2015-idle-fuel-consumption-selected-gasoline-and-diesel-vehicles</t>
  </si>
  <si>
    <r>
      <t>Idle Consumption at Idle for Selected Gasoline and Diesel Vehicles</t>
    </r>
    <r>
      <rPr>
        <b/>
        <vertAlign val="superscript"/>
        <sz val="12"/>
        <rFont val="Arial"/>
        <family val="2"/>
      </rPr>
      <t>2</t>
    </r>
  </si>
  <si>
    <t>3)</t>
  </si>
  <si>
    <t>US Department of Energy, https://afdc.energy.gov/data/10310</t>
  </si>
  <si>
    <r>
      <t>Average Fuel Economy by Major Vehicle Category</t>
    </r>
    <r>
      <rPr>
        <b/>
        <vertAlign val="superscript"/>
        <sz val="12"/>
        <rFont val="Arial"/>
        <family val="2"/>
      </rPr>
      <t>3</t>
    </r>
  </si>
  <si>
    <r>
      <t>Table 4 - Average MPG for VMT Equivalent</t>
    </r>
    <r>
      <rPr>
        <b/>
        <vertAlign val="superscript"/>
        <sz val="11"/>
        <color theme="1"/>
        <rFont val="Aptos Narrow"/>
        <family val="2"/>
        <scheme val="minor"/>
      </rPr>
      <t>3</t>
    </r>
  </si>
  <si>
    <r>
      <t>Table 7 - VMT Equivalent</t>
    </r>
    <r>
      <rPr>
        <b/>
        <vertAlign val="superscript"/>
        <sz val="11"/>
        <color theme="1"/>
        <rFont val="Aptos Narrow"/>
        <family val="2"/>
        <scheme val="minor"/>
      </rPr>
      <t>2, 3</t>
    </r>
  </si>
  <si>
    <t>1 hour delay is</t>
  </si>
  <si>
    <t>*Note conservative estimate does not include trucks</t>
  </si>
  <si>
    <t>Change in NOx 
($)</t>
  </si>
  <si>
    <t>Change in SO2
($)</t>
  </si>
  <si>
    <t>Change in PM
($)</t>
  </si>
  <si>
    <t>Totals and Discounting</t>
  </si>
  <si>
    <t>Operations and Maintenance</t>
  </si>
  <si>
    <t>VMT Equivalents (VHT Delay)</t>
  </si>
  <si>
    <t>Benefit Cost Analysis Guidance USDOT December 2023</t>
  </si>
  <si>
    <t>OPERATIONS AND MAINTENANCE COSTS</t>
  </si>
  <si>
    <t>Notes</t>
  </si>
  <si>
    <t>Speed</t>
  </si>
  <si>
    <t>Bridge</t>
  </si>
  <si>
    <t>Per Vehicle Savings (min)</t>
  </si>
  <si>
    <t>HCAADT</t>
  </si>
  <si>
    <t>Occupancy</t>
  </si>
  <si>
    <t>Wage</t>
  </si>
  <si>
    <t>Effective Wage</t>
  </si>
  <si>
    <t>Northbound</t>
  </si>
  <si>
    <t>In Town</t>
  </si>
  <si>
    <t>Avg. Detour</t>
  </si>
  <si>
    <t>Daily Cost</t>
  </si>
  <si>
    <t>Travel Time (min)</t>
  </si>
  <si>
    <t>Hourly Cost at Peaks</t>
  </si>
  <si>
    <t>Peak Volume</t>
  </si>
  <si>
    <t>Total Volume</t>
  </si>
  <si>
    <t>Peak Percentage</t>
  </si>
  <si>
    <t>Reduction</t>
  </si>
  <si>
    <t>Savings</t>
  </si>
  <si>
    <t>Alternative</t>
  </si>
  <si>
    <t>Average Predicted</t>
  </si>
  <si>
    <t>Crash Type per VMT</t>
  </si>
  <si>
    <t>Crash Type Per 100M VMT</t>
  </si>
  <si>
    <t>Frequency</t>
  </si>
  <si>
    <t>Estimated Timeframe</t>
  </si>
  <si>
    <t>Lifecycle Cost</t>
  </si>
  <si>
    <t xml:space="preserve">Condition-Based Preventative Maintenance </t>
  </si>
  <si>
    <t>Concrete Bridge Deck Overlay</t>
  </si>
  <si>
    <t>Concrete Bridge Deck Replacement</t>
  </si>
  <si>
    <t>Bridge Barrier/Railing Repairs</t>
  </si>
  <si>
    <t>Replace Approach Slabs</t>
  </si>
  <si>
    <t>2041, 2056, 2071, 2086</t>
  </si>
  <si>
    <t>Repair Bridge Expansion Joints</t>
  </si>
  <si>
    <t>Repair Slope Protection</t>
  </si>
  <si>
    <t>2051, 2076</t>
  </si>
  <si>
    <t>Concrete Substructure Repairs</t>
  </si>
  <si>
    <t>Every 25 years</t>
  </si>
  <si>
    <t>Once @ 25 Years</t>
  </si>
  <si>
    <t>Once @ 50 years</t>
  </si>
  <si>
    <t>Every @ 15 Years</t>
  </si>
  <si>
    <t>Every @ 25 Years</t>
  </si>
  <si>
    <t># of Bridges</t>
  </si>
  <si>
    <t>Cost</t>
  </si>
  <si>
    <t>25 Year</t>
  </si>
  <si>
    <t>50 Year</t>
  </si>
  <si>
    <t>2023 VMT</t>
  </si>
  <si>
    <t>Leg</t>
  </si>
  <si>
    <t>Safety and Environmental Benefits</t>
  </si>
  <si>
    <t xml:space="preserve">Economic Competitiveness </t>
  </si>
  <si>
    <t>Discounting</t>
  </si>
  <si>
    <r>
      <t>Table 1 - Per-hour Travel Time Cost by Mode</t>
    </r>
    <r>
      <rPr>
        <b/>
        <vertAlign val="superscript"/>
        <sz val="9"/>
        <color theme="1"/>
        <rFont val="Aptos Narrow"/>
        <family val="2"/>
        <scheme val="minor"/>
      </rPr>
      <t>1</t>
    </r>
  </si>
  <si>
    <r>
      <t>Table 2 - Fleet Composition</t>
    </r>
    <r>
      <rPr>
        <b/>
        <vertAlign val="superscript"/>
        <sz val="9"/>
        <color theme="1"/>
        <rFont val="Aptos Narrow"/>
        <family val="2"/>
        <scheme val="minor"/>
      </rPr>
      <t>2</t>
    </r>
  </si>
  <si>
    <r>
      <t>Table 3 - Vehicle Occupancy</t>
    </r>
    <r>
      <rPr>
        <b/>
        <vertAlign val="superscript"/>
        <sz val="9"/>
        <color theme="1"/>
        <rFont val="Aptos Narrow"/>
        <family val="2"/>
        <scheme val="minor"/>
      </rPr>
      <t>1</t>
    </r>
  </si>
  <si>
    <t>For narrative not included in BCA</t>
  </si>
  <si>
    <t>15 Year</t>
  </si>
  <si>
    <t>50 Year Schedules</t>
  </si>
  <si>
    <t>Beginning Year of Construction</t>
  </si>
  <si>
    <t>Forecasts of traffic volumes, crash rates, and delay are from INTERSTATE 94 AND SUNSET DRIVE INTERCHANGE PRELIMINARY ENGINEERING AND FEASIBILITY STUDY; PROJECT NUMBER 1-094(231)152, PCN 23594, June 1, 2023</t>
  </si>
  <si>
    <t>Annualization factors were estimated using volume and delay data from project studies and weekend versus weekday data from the data aggregation tool Replica</t>
  </si>
  <si>
    <t>5)</t>
  </si>
  <si>
    <t>Annualization Factor</t>
  </si>
  <si>
    <t>Section</t>
  </si>
  <si>
    <t>2045 Build</t>
  </si>
  <si>
    <r>
      <t>Table 1. Delay Conversion and Annualization Factors</t>
    </r>
    <r>
      <rPr>
        <b/>
        <vertAlign val="superscript"/>
        <sz val="9"/>
        <color theme="1"/>
        <rFont val="Aptos Narrow"/>
        <family val="2"/>
        <scheme val="minor"/>
      </rPr>
      <t>1</t>
    </r>
  </si>
  <si>
    <r>
      <t>Table 2. Existing Peak Conditions and Future Build and No Build Delay</t>
    </r>
    <r>
      <rPr>
        <b/>
        <vertAlign val="superscript"/>
        <sz val="9"/>
        <color theme="1"/>
        <rFont val="Aptos Narrow"/>
        <family val="2"/>
        <scheme val="minor"/>
      </rPr>
      <t>2</t>
    </r>
  </si>
  <si>
    <r>
      <t>Table 1. Average Predicted Crashes</t>
    </r>
    <r>
      <rPr>
        <b/>
        <vertAlign val="superscript"/>
        <sz val="11"/>
        <color theme="1"/>
        <rFont val="Aptos Narrow"/>
        <family val="2"/>
        <scheme val="minor"/>
      </rPr>
      <t>1</t>
    </r>
  </si>
  <si>
    <t>Table 2. VMT for Predicted Crash Rates</t>
  </si>
  <si>
    <t>Fatal/Injury</t>
  </si>
  <si>
    <t>Yearly Emissions Savings in Current Dollars Non-CO2 Emissions ($)</t>
  </si>
  <si>
    <t>15 Year Activities</t>
  </si>
  <si>
    <t>NDDOT Bridge Division</t>
  </si>
  <si>
    <t>Table 3. Crash Costs By Type</t>
  </si>
  <si>
    <t>One worked week is considered holidays so this value is 51 weeks multiplied by 5</t>
  </si>
  <si>
    <t>AADTs from NDDOTs online traffic count data map https://gis.dot.nd.gov/external/ge_html/?viewer=ext_transinfo</t>
  </si>
  <si>
    <t>IHSDM Analysis NDDOT Feasibility Study Appendix #4 Page 864</t>
  </si>
  <si>
    <t>On February 22nd 2024 at the Sunset Drive - I 94 interchange a fatal crash occurred. https://www.kfyrtv.com/2024/02/22/two-injured-rear-end-crash-mandan/</t>
  </si>
  <si>
    <t>25 Year Maintenance</t>
  </si>
  <si>
    <t>Steel Girder Painting (Steel Beams Only)</t>
  </si>
  <si>
    <t>Repair Bridge Bearings</t>
  </si>
  <si>
    <r>
      <t>Table 1. Bridge Maintenance Schedule Information</t>
    </r>
    <r>
      <rPr>
        <b/>
        <vertAlign val="superscript"/>
        <sz val="9"/>
        <color theme="1"/>
        <rFont val="Aptos Narrow"/>
        <family val="2"/>
        <scheme val="minor"/>
      </rPr>
      <t>1</t>
    </r>
  </si>
  <si>
    <t>Index #</t>
  </si>
  <si>
    <t>ND Construction Cost Index</t>
  </si>
  <si>
    <r>
      <t>Table 1 - Analysis Timeframe Assumptions</t>
    </r>
    <r>
      <rPr>
        <b/>
        <vertAlign val="superscript"/>
        <sz val="9"/>
        <color theme="1"/>
        <rFont val="Aptos Narrow"/>
        <family val="2"/>
        <scheme val="minor"/>
      </rPr>
      <t>1</t>
    </r>
  </si>
  <si>
    <r>
      <t>Table 2. 2022 AADTs for Truck Percentage</t>
    </r>
    <r>
      <rPr>
        <b/>
        <vertAlign val="superscript"/>
        <sz val="9"/>
        <color theme="1"/>
        <rFont val="Aptos Narrow"/>
        <family val="2"/>
        <scheme val="minor"/>
      </rPr>
      <t>5</t>
    </r>
  </si>
  <si>
    <r>
      <t>Forecast Traffic Year</t>
    </r>
    <r>
      <rPr>
        <vertAlign val="superscript"/>
        <sz val="9"/>
        <rFont val="Aptos Narrow"/>
        <family val="2"/>
        <scheme val="minor"/>
      </rPr>
      <t>2</t>
    </r>
  </si>
  <si>
    <r>
      <t>Days in Traffic Analysis Year</t>
    </r>
    <r>
      <rPr>
        <vertAlign val="superscript"/>
        <sz val="9"/>
        <rFont val="Aptos Narrow"/>
        <family val="2"/>
        <scheme val="minor"/>
      </rPr>
      <t>3</t>
    </r>
  </si>
  <si>
    <r>
      <t>Effective Days in Traffic Year</t>
    </r>
    <r>
      <rPr>
        <vertAlign val="superscript"/>
        <sz val="9"/>
        <rFont val="Aptos Narrow"/>
        <family val="2"/>
        <scheme val="minor"/>
      </rPr>
      <t>4</t>
    </r>
  </si>
  <si>
    <r>
      <t>Truck Percentage</t>
    </r>
    <r>
      <rPr>
        <vertAlign val="superscript"/>
        <sz val="9"/>
        <rFont val="Aptos Narrow"/>
        <family val="2"/>
        <scheme val="minor"/>
      </rPr>
      <t>5</t>
    </r>
  </si>
  <si>
    <r>
      <t xml:space="preserve">Unless stated otherwise all values are taken from and/or consistent with </t>
    </r>
    <r>
      <rPr>
        <i/>
        <sz val="9"/>
        <color theme="1"/>
        <rFont val="Aptos Narrow"/>
        <family val="2"/>
        <scheme val="minor"/>
      </rPr>
      <t xml:space="preserve">Benefit-Cost Analysis Guidance for
Discretionary Grant Programs </t>
    </r>
    <r>
      <rPr>
        <sz val="9"/>
        <color theme="1"/>
        <rFont val="Aptos Narrow"/>
        <family val="2"/>
        <scheme val="minor"/>
      </rPr>
      <t>USDOT - Updated December 2023</t>
    </r>
  </si>
  <si>
    <t>Cost per Application (2023$)</t>
  </si>
  <si>
    <t>Cost per Application (2022$)</t>
  </si>
  <si>
    <t>Table 3 - Remaining Capital Value Factors</t>
  </si>
  <si>
    <t>Build Cost</t>
  </si>
  <si>
    <t>Real Cost</t>
  </si>
  <si>
    <t>Table 4 - Post Analysis Period Maintenance</t>
  </si>
  <si>
    <t>Real Value</t>
  </si>
  <si>
    <t>Pollutant</t>
  </si>
  <si>
    <t>1-094(231)152 PRELIMINARY COST ESTIMATE (March 6, 2024)</t>
  </si>
  <si>
    <t>ITEM</t>
  </si>
  <si>
    <t>ITEM DESCRIPTION</t>
  </si>
  <si>
    <t>UNIT</t>
  </si>
  <si>
    <t>QUANTITY</t>
  </si>
  <si>
    <t>UNIT PRICE</t>
  </si>
  <si>
    <t>TOTAL COST (ROUNDED)</t>
  </si>
  <si>
    <t>PAVEMENT REMOVAL</t>
  </si>
  <si>
    <t>SY</t>
  </si>
  <si>
    <t>PAVEMENT</t>
  </si>
  <si>
    <t>BITUMINOUS PAVEMENT</t>
  </si>
  <si>
    <t>Tons</t>
  </si>
  <si>
    <t>Concrete Pavement</t>
  </si>
  <si>
    <t>Bituminous Walk</t>
  </si>
  <si>
    <t>Bituminous Shoulder</t>
  </si>
  <si>
    <t>Concrete Median Pavement</t>
  </si>
  <si>
    <t>Concrete Curb and Gutter</t>
  </si>
  <si>
    <t>LF</t>
  </si>
  <si>
    <t>Base Aggregate</t>
  </si>
  <si>
    <t>CY</t>
  </si>
  <si>
    <t>EARTHWORK</t>
  </si>
  <si>
    <t>Common Excavation - Subcut</t>
  </si>
  <si>
    <t>YD3</t>
  </si>
  <si>
    <t>Common Excavation</t>
  </si>
  <si>
    <t>Subgrade Preparation</t>
  </si>
  <si>
    <t>L.S.</t>
  </si>
  <si>
    <t>Subtotal Roadway Costs (Items 1-3)</t>
  </si>
  <si>
    <t>DRAINAGE</t>
  </si>
  <si>
    <t>5 % of Items 1-3</t>
  </si>
  <si>
    <t>N/A</t>
  </si>
  <si>
    <t>EROSION CONTROL</t>
  </si>
  <si>
    <t>3 % of Items 1-3</t>
  </si>
  <si>
    <t>TRAFFIC CONTROL</t>
  </si>
  <si>
    <t>30 % of Items 1-3</t>
  </si>
  <si>
    <t>LIGHTING</t>
  </si>
  <si>
    <t>10 % of Items 1-3</t>
  </si>
  <si>
    <t>SIGNING/MARKINGS</t>
  </si>
  <si>
    <t>OVERHEAD SIGN STRUCTURES</t>
  </si>
  <si>
    <t>EACH</t>
  </si>
  <si>
    <t>TRAFFIC SIGNALS</t>
  </si>
  <si>
    <t>MOBILIZATION</t>
  </si>
  <si>
    <t>10 % of Items 1-10 &amp; 13-15</t>
  </si>
  <si>
    <t>ROADWAY INCIDENTALS</t>
  </si>
  <si>
    <t>TOTAL ROADWAY COSTS (Items 1-12)</t>
  </si>
  <si>
    <t>STRUCTURES</t>
  </si>
  <si>
    <t>Bridge Subtotal</t>
  </si>
  <si>
    <t>Box Culverts</t>
  </si>
  <si>
    <t>Box Culvert Subtotal</t>
  </si>
  <si>
    <t>Retaining Walls</t>
  </si>
  <si>
    <t>Retaining Wall Subtotal</t>
  </si>
  <si>
    <t>Structural Incidentals</t>
  </si>
  <si>
    <t>10 % of Structures</t>
  </si>
  <si>
    <t>TOTAL STRUCTURE COSTS (Item 13-15)</t>
  </si>
  <si>
    <t>Subtotal Construction Costs (Items 1-15)</t>
  </si>
  <si>
    <t>CONSTRUCTION DELIVERY</t>
  </si>
  <si>
    <t>10 % of Items 1-15</t>
  </si>
  <si>
    <t>UTILITY RELOCATIONS</t>
  </si>
  <si>
    <t>5 % of Items 1-15</t>
  </si>
  <si>
    <t>ROW ACQUISITION</t>
  </si>
  <si>
    <t>Acres</t>
  </si>
  <si>
    <t>COMMUNITY SENSITIVE DESIGN</t>
  </si>
  <si>
    <t>1.5% of Items 1-18</t>
  </si>
  <si>
    <t>TOTAL CONSTRUCTION COSTS (Items 1-19)</t>
  </si>
  <si>
    <t>CONTINGENCY</t>
  </si>
  <si>
    <t>10 % of Items 1-19</t>
  </si>
  <si>
    <t>GRAND TOTAL PROJECT COST</t>
  </si>
  <si>
    <t>RCV Category</t>
  </si>
  <si>
    <t>Peak hour factor and annualization factor developed from count data and delay data from the NDDOT Feasibility study of the project. The specifics of this process are outlines in the "Traffic Data" tab</t>
  </si>
  <si>
    <t>Average Weekday</t>
  </si>
  <si>
    <t>ATR 605 - Mandan (U)</t>
  </si>
  <si>
    <t>ATR 235 - Bismarck (U)</t>
  </si>
  <si>
    <t>Time of Day</t>
  </si>
  <si>
    <t>ATR Traffic Demand Data January 2023 through December 2023</t>
  </si>
  <si>
    <t>Perliminary</t>
  </si>
  <si>
    <t>Inflation Rates</t>
  </si>
  <si>
    <r>
      <t>Inflation 2022 through 2023</t>
    </r>
    <r>
      <rPr>
        <vertAlign val="superscript"/>
        <sz val="9"/>
        <color theme="1"/>
        <rFont val="Arial"/>
        <family val="2"/>
      </rPr>
      <t>1</t>
    </r>
  </si>
  <si>
    <t>Annual Total Network Wide VHT Changes</t>
  </si>
  <si>
    <t>Network VHT</t>
  </si>
  <si>
    <t>Delay VHT</t>
  </si>
  <si>
    <t>Injury accidents from 2014 forecast through 2024 to calculate proportion of fatal crashes based on annual average from 2014 to 2023.</t>
  </si>
  <si>
    <t>NDDOT Crash Data Records - see "Crash Data Sheets" tab</t>
  </si>
  <si>
    <t>FI Crash Fatal Proportion</t>
  </si>
  <si>
    <t>Annual Delay (Idling) VHT</t>
  </si>
  <si>
    <t>The maintenance schedule applies to provided maintenance schedule to the No Build scenario, using 1985 as the No Build  year. These costs include repeating 15 year maintenance activities, one 25 year repeating maintenance in 2035 and the single 50-year maintenance in 2035. The same cost schedule is applied to the Build scenario, within the 20-year analysis time frame, using a 2026 build year.</t>
  </si>
  <si>
    <t>Ramp Entrance - Appendix #4 PDF page 882 Table 5</t>
  </si>
  <si>
    <t>Ramp Exit - Appendix #4 PDF page 899 Table 5</t>
  </si>
  <si>
    <t>Existing/No Build Ramp Terminals - Appendix #4 PDF page 914 Table 5</t>
  </si>
  <si>
    <t>Entrance Ramp - Appendix #4 PDF page 933 Table 4</t>
  </si>
  <si>
    <t>Exit Ramp - Appendix #4 PDF page 939 Table 4</t>
  </si>
  <si>
    <t>SPUIAppendix #4 PDF page 945 Table 4</t>
  </si>
  <si>
    <t>Feasibility Report Appendix #4 PDF page 863</t>
  </si>
  <si>
    <t>Feasibility Report Appendix #4 PDF page 32</t>
  </si>
  <si>
    <t>Daily Averages Sunset Drive Between Ramp Terminals North Bound - Appendix #4 PDF page 286</t>
  </si>
  <si>
    <t>Daily Averages Sunset Drive Between Ramp Terminals South Bound - Appendix #4 PDF page 287</t>
  </si>
  <si>
    <t>2030 No Build</t>
  </si>
  <si>
    <t>2030 SPUI</t>
  </si>
  <si>
    <t>Total Delay (hr)</t>
  </si>
  <si>
    <r>
      <t>Table 3. Existing and Future VMT Conditions from Model Traffic Volumes for Safety Analysis</t>
    </r>
    <r>
      <rPr>
        <b/>
        <vertAlign val="superscript"/>
        <sz val="9"/>
        <color theme="1"/>
        <rFont val="Aptos Narrow"/>
        <family val="2"/>
        <scheme val="minor"/>
      </rPr>
      <t>3</t>
    </r>
  </si>
  <si>
    <t>Change</t>
  </si>
  <si>
    <r>
      <t>CO</t>
    </r>
    <r>
      <rPr>
        <vertAlign val="subscript"/>
        <sz val="11"/>
        <color theme="1"/>
        <rFont val="Aptos Narrow"/>
        <family val="2"/>
        <scheme val="minor"/>
      </rPr>
      <t>2</t>
    </r>
    <r>
      <rPr>
        <sz val="11"/>
        <color theme="1"/>
        <rFont val="Aptos Narrow"/>
        <family val="2"/>
        <scheme val="minor"/>
      </rPr>
      <t xml:space="preserve"> (ton)</t>
    </r>
  </si>
  <si>
    <r>
      <t>NO</t>
    </r>
    <r>
      <rPr>
        <vertAlign val="subscript"/>
        <sz val="11"/>
        <color theme="1"/>
        <rFont val="Aptos Narrow"/>
        <family val="2"/>
        <scheme val="minor"/>
      </rPr>
      <t>X</t>
    </r>
    <r>
      <rPr>
        <sz val="11"/>
        <color theme="1"/>
        <rFont val="Aptos Narrow"/>
        <family val="2"/>
        <scheme val="minor"/>
      </rPr>
      <t xml:space="preserve"> (ton)</t>
    </r>
  </si>
  <si>
    <r>
      <t>SO</t>
    </r>
    <r>
      <rPr>
        <vertAlign val="subscript"/>
        <sz val="11"/>
        <color theme="1"/>
        <rFont val="Aptos Narrow"/>
        <family val="2"/>
        <scheme val="minor"/>
      </rPr>
      <t>2</t>
    </r>
    <r>
      <rPr>
        <sz val="11"/>
        <color theme="1"/>
        <rFont val="Aptos Narrow"/>
        <family val="2"/>
        <scheme val="minor"/>
      </rPr>
      <t xml:space="preserve"> (kg)</t>
    </r>
  </si>
  <si>
    <r>
      <t>PM</t>
    </r>
    <r>
      <rPr>
        <vertAlign val="subscript"/>
        <sz val="11"/>
        <color theme="1"/>
        <rFont val="Aptos Narrow"/>
        <family val="2"/>
        <scheme val="minor"/>
      </rPr>
      <t>2.5</t>
    </r>
    <r>
      <rPr>
        <sz val="11"/>
        <color theme="1"/>
        <rFont val="Aptos Narrow"/>
        <family val="2"/>
        <scheme val="minor"/>
      </rPr>
      <t xml:space="preserve"> (kg)</t>
    </r>
  </si>
  <si>
    <t>Category</t>
  </si>
  <si>
    <t>Benefit</t>
  </si>
  <si>
    <t>Construction Delay</t>
  </si>
  <si>
    <t>East AADT</t>
  </si>
  <si>
    <t>West AADT</t>
  </si>
  <si>
    <t>East HCAADT</t>
  </si>
  <si>
    <t>West HCAADT</t>
  </si>
  <si>
    <t>Entering AADT</t>
  </si>
  <si>
    <t>Entering HCAADT</t>
  </si>
  <si>
    <t>Auto %</t>
  </si>
  <si>
    <t>Truck %</t>
  </si>
  <si>
    <t>Estimate Work Zone Length (miles)</t>
  </si>
  <si>
    <t>Free Flow Speed</t>
  </si>
  <si>
    <t>Work Zone Speed</t>
  </si>
  <si>
    <t>Free Flow Travel Time</t>
  </si>
  <si>
    <t>Work Zone Travel Time</t>
  </si>
  <si>
    <t>All Purpose Wages</t>
  </si>
  <si>
    <t>Truck Wages</t>
  </si>
  <si>
    <t>Average Growth</t>
  </si>
  <si>
    <t>Under I 94 AADT</t>
  </si>
  <si>
    <t>Under I 94 HCAADT</t>
  </si>
  <si>
    <t>Free Flow Distance (miles)</t>
  </si>
  <si>
    <t>Average Speed</t>
  </si>
  <si>
    <t>Auto VOF</t>
  </si>
  <si>
    <t>Work Zone</t>
  </si>
  <si>
    <t>Weekend Volume</t>
  </si>
  <si>
    <t>Weekday/Weekend</t>
  </si>
  <si>
    <t>Average Weekend/Weekday</t>
  </si>
  <si>
    <t>Average Weekend Day</t>
  </si>
  <si>
    <t>Obj. Func</t>
  </si>
  <si>
    <t>Weekday Delay (sec)</t>
  </si>
  <si>
    <t>Weekday Sec/Veh</t>
  </si>
  <si>
    <t>EB Cross Over</t>
  </si>
  <si>
    <t>WB Cross Over</t>
  </si>
  <si>
    <t>Mainline Closure</t>
  </si>
  <si>
    <t>Remaining</t>
  </si>
  <si>
    <t>Year 1</t>
  </si>
  <si>
    <t>Year 2</t>
  </si>
  <si>
    <t>Year 3</t>
  </si>
  <si>
    <t>Existing AM Peak Sec/Veh</t>
  </si>
  <si>
    <t>Existing PM Peak Sec/Veh</t>
  </si>
  <si>
    <t>Fit AM Peak Sec/Veh</t>
  </si>
  <si>
    <t>Fit PM Peak Sec/Veh</t>
  </si>
  <si>
    <t>Weekend Sec/Veh</t>
  </si>
  <si>
    <t>Weekend Delay (sec)</t>
  </si>
  <si>
    <t>Table 1. Peak Hour and Annualization Factor Calculations</t>
  </si>
  <si>
    <t>Table 2. Existing Delay and Fit Delay</t>
  </si>
  <si>
    <t>Table 3. Delay Function Parameters</t>
  </si>
  <si>
    <t>Table 4. Delay Function Example</t>
  </si>
  <si>
    <t>Sunset At Old Red Trail</t>
  </si>
  <si>
    <t>Sunset at WB Ramps</t>
  </si>
  <si>
    <t>Sunset at EB Ramps</t>
  </si>
  <si>
    <t>Sunset at Boundary</t>
  </si>
  <si>
    <t>2028 No Build</t>
  </si>
  <si>
    <t>2028 Work Zone</t>
  </si>
  <si>
    <t>Peak Total</t>
  </si>
  <si>
    <t>Peak Factor</t>
  </si>
  <si>
    <t>WORK ZONE DELAY COSTS</t>
  </si>
  <si>
    <t>No Build Ops Delay</t>
  </si>
  <si>
    <t>Build Ops Delay</t>
  </si>
  <si>
    <t>No Build Speed Delay</t>
  </si>
  <si>
    <t>Build Speed Delay</t>
  </si>
  <si>
    <t>Period</t>
  </si>
  <si>
    <t>Closure Type</t>
  </si>
  <si>
    <t>General Inputs</t>
  </si>
  <si>
    <t>Average Growth Rate</t>
  </si>
  <si>
    <t>AM Peak Delay (hrs)</t>
  </si>
  <si>
    <t>PM Peak Delay (hrs)</t>
  </si>
  <si>
    <t>Peak Delay (hrs)</t>
  </si>
  <si>
    <t>Off Peak Delay (hrs)</t>
  </si>
  <si>
    <t>No Build Annual Cost</t>
  </si>
  <si>
    <t>Build Annual Cost</t>
  </si>
  <si>
    <t>I 94 Flow Delay Inputs</t>
  </si>
  <si>
    <t>Sunset Drive Flow Delay Inputs</t>
  </si>
  <si>
    <t>Intersection Work Zone Delay Model Results</t>
  </si>
  <si>
    <t>Construction Delay Timeline</t>
  </si>
  <si>
    <t>Total Closure Speed</t>
  </si>
  <si>
    <t>Weekday Annual Delay (hrs)</t>
  </si>
  <si>
    <t>Weekend Annual Delay (hrs)</t>
  </si>
  <si>
    <t>Weekdays</t>
  </si>
  <si>
    <t>Holidays</t>
  </si>
  <si>
    <t>Work/Weekdays</t>
  </si>
  <si>
    <t>Weekend Days</t>
  </si>
  <si>
    <t>Est. Weeks</t>
  </si>
  <si>
    <t>Est. Days</t>
  </si>
  <si>
    <t>Effective Cost</t>
  </si>
  <si>
    <t xml:space="preserve">Free Flow Cost </t>
  </si>
  <si>
    <t>Work Zone Cost</t>
  </si>
  <si>
    <t>Overnight Proportion</t>
  </si>
  <si>
    <t>Effective Impacted Days</t>
  </si>
  <si>
    <t>Sunset Drive Season</t>
  </si>
  <si>
    <t>Work Zone Speed Reduction Costs</t>
  </si>
  <si>
    <t>Effective Traffic Impacted</t>
  </si>
  <si>
    <t>No Build Daily Delay</t>
  </si>
  <si>
    <t>Build Daily Delay</t>
  </si>
  <si>
    <t>Intersection Delay Work Zone Costs</t>
  </si>
  <si>
    <t>Delay Per Vehicle Shape Parameter τ</t>
  </si>
  <si>
    <t>Delay Per Vehicle Adjustment Value C</t>
  </si>
  <si>
    <t>Off Peak Delay Estimates</t>
  </si>
  <si>
    <t>This is the weighted average costs of Fatal/Injury crashes at the Sunset Drive interchange based on USDOT crash cost values and the observed proportion of fatal crashes to injury crashes at the interchange</t>
  </si>
  <si>
    <t>2022 Build</t>
  </si>
  <si>
    <t>BISMAN 2010 Population</t>
  </si>
  <si>
    <t>BISMAN 2020 Population</t>
  </si>
  <si>
    <r>
      <t>Weekday Factor</t>
    </r>
    <r>
      <rPr>
        <vertAlign val="superscript"/>
        <sz val="11"/>
        <color theme="1"/>
        <rFont val="Aptos Narrow"/>
        <family val="2"/>
        <scheme val="minor"/>
      </rPr>
      <t>1</t>
    </r>
  </si>
  <si>
    <r>
      <t>Annualization Factor</t>
    </r>
    <r>
      <rPr>
        <vertAlign val="superscript"/>
        <sz val="11"/>
        <color theme="1"/>
        <rFont val="Aptos Narrow"/>
        <family val="2"/>
        <scheme val="minor"/>
      </rPr>
      <t>2</t>
    </r>
  </si>
  <si>
    <t>Figure 1</t>
  </si>
  <si>
    <t>Figure 2</t>
  </si>
  <si>
    <t>Start Date</t>
  </si>
  <si>
    <t>End Dat</t>
  </si>
  <si>
    <t>K</t>
  </si>
  <si>
    <t>O</t>
  </si>
  <si>
    <r>
      <t>Total Injury</t>
    </r>
    <r>
      <rPr>
        <vertAlign val="superscript"/>
        <sz val="11"/>
        <color theme="1"/>
        <rFont val="Aptos Narrow"/>
        <family val="2"/>
        <scheme val="minor"/>
      </rPr>
      <t>3</t>
    </r>
    <r>
      <rPr>
        <sz val="11"/>
        <color theme="1"/>
        <rFont val="Aptos Narrow"/>
        <family val="2"/>
        <scheme val="minor"/>
      </rPr>
      <t xml:space="preserve"> (10-years)</t>
    </r>
  </si>
  <si>
    <r>
      <t>Total Fatal</t>
    </r>
    <r>
      <rPr>
        <vertAlign val="superscript"/>
        <sz val="11"/>
        <color theme="1"/>
        <rFont val="Aptos Narrow"/>
        <family val="2"/>
        <scheme val="minor"/>
      </rPr>
      <t>4</t>
    </r>
    <r>
      <rPr>
        <sz val="11"/>
        <color theme="1"/>
        <rFont val="Aptos Narrow"/>
        <family val="2"/>
        <scheme val="minor"/>
      </rPr>
      <t xml:space="preserve"> (10-years)</t>
    </r>
  </si>
  <si>
    <r>
      <rPr>
        <b/>
        <sz val="11"/>
        <rFont val="Calibri"/>
        <family val="2"/>
      </rPr>
      <t>GDP Deflator</t>
    </r>
    <r>
      <rPr>
        <b/>
        <vertAlign val="superscript"/>
        <sz val="11"/>
        <rFont val="Calibri"/>
        <family val="2"/>
      </rPr>
      <t>1</t>
    </r>
  </si>
  <si>
    <t>BLS GDP Deflator as reccomended in BCA guidence</t>
  </si>
  <si>
    <t>AM Delay Const</t>
  </si>
  <si>
    <t>PM Delay Const</t>
  </si>
  <si>
    <t>Neg Check</t>
  </si>
  <si>
    <t>Max Hourly Entering Capacity</t>
  </si>
  <si>
    <t>In general, there is less traffic and less delay on weekend days as compared to weekdays, however, delay does occur on weekends and needs to be accounted for in a valuation like this one. Using the same estimated relationship between volume and capacity (weekend capacity is the same as weekday, changing the V/C numerator doesn't violate the assumptions of the original estimated V/C relationship with average vehicle delay at this interchange). The relationship is based on capacity and is therefore consistent regardless of day of week or time of day. So applying the function to estimated weekend hourly traffic volumes yields the estimated total delay on an average weekend day. These daily values are then annualized based on the number of weekdays, holidays, and weekend days in a year. Finally, the annual weekday total and weekend totals are used to estimate a factor that annualizes AM + PM peak hour delay from an average modeled weekday taking the differences in volumes and delay through different hours of the day and difference types of days, weekdays, weekend days and holidays.</t>
  </si>
  <si>
    <t>Not all delay occurs during the modeled peak hours and so some relationship between delay during the peak hours and the rest of an average weekday must be used to estimated total daily weekday delay in order to properly annualize the delay data. In this case, the delay values are the peaks and the observed volumes during the peaks were used to estimate a function relating how congested the interchange is with the average vehicle delay at the interchange. Traffic counts for off peak hours were then put into this function to estimate the average vehicle delay during those hours. Observed volumes during those hours was then multiplied by the observed traffic volume during that hour to estimate total delay during that hour. Delay was added up for the two peak hours and the 22 off peak hours and a ratio between to the two was found. This ratio is applied to the modeled network wide peak hour delay information in the project documentation to estimate the total delay at the interchange during an average weekday</t>
  </si>
  <si>
    <t>These equations show the results of using a non-linear least squares approach to estimating the exponential relationship between volume to capacity ratio and average vehicle delay at the Sunset Drive Interchange.</t>
  </si>
  <si>
    <t>Calculating this is necessary because the crash rate forecasts are broken down into two categories, one for both fatal and injury crashes and one for property damage only crashes. Because USDOT provides crash costs for fatal and injury crashes individually an average cost of the combined fatal/injury crashes is estimated and weighted by the proportion of observed fatal versus injury crashes at the Sunset Drive interchange in the years 2014 through 2024. This allows for valuing the combined category of Fatal/Injury in the IHSDM safety analysis</t>
  </si>
  <si>
    <t>Table 3. Estimated Crashes 2014 thru 2024</t>
  </si>
  <si>
    <t>Table 4. Crash Costs by Severity</t>
  </si>
  <si>
    <t>Table 5. Prorated Fatal/Injury Crash Cost</t>
  </si>
  <si>
    <t>Rates are calculated in the same year, 2023, volumes are assumed to be similar in the observed No Build 2023 and the hypothetical Build 2023. To account for increased demand in 2023 under improved operations in the 2023 Build scenario the No Build estimated VMT is used to estimate the Build 2023 VMT by using model volume outputs. These outputs are consistent with those used in the IHSDM analysis itself. Because throughput improved under the hypothetical 2023 scenario and the number of crashes also decreased, this extra reduction in crash rates is accounted for.</t>
  </si>
  <si>
    <r>
      <rPr>
        <b/>
        <sz val="11"/>
        <color theme="1"/>
        <rFont val="Aptos Narrow"/>
        <family val="2"/>
        <scheme val="minor"/>
      </rPr>
      <t>Figure 1</t>
    </r>
    <r>
      <rPr>
        <sz val="11"/>
        <color theme="1"/>
        <rFont val="Aptos Narrow"/>
        <family val="2"/>
        <scheme val="minor"/>
      </rPr>
      <t xml:space="preserve"> shows the estimated relationship between vehicle traffic, capacity, and vehicle delay  at the Sunset Drive interchange superimposed on a chart showing different measured delay values at different volume-capacity ratios for various measured intersections. The graphs are scaled and positioned to have identical extents, </t>
    </r>
    <r>
      <rPr>
        <b/>
        <sz val="11"/>
        <color theme="1"/>
        <rFont val="Aptos Narrow"/>
        <family val="2"/>
        <scheme val="minor"/>
      </rPr>
      <t>Figure 2</t>
    </r>
    <r>
      <rPr>
        <sz val="11"/>
        <color theme="1"/>
        <rFont val="Aptos Narrow"/>
        <family val="2"/>
        <scheme val="minor"/>
      </rPr>
      <t xml:space="preserve"> displays the complete graph. While the relationship is not identical, the overall shape is similar and it is this larger relationship these figures intend to display. The empirically measured values come from four studies conducted in cities in Iran, it wouldn't necessarily be reasonable to assume an identical relationship between intersection delay in Iran and North Dakota, but showing that the measured Iram data and the modeled North Dakota data behave in similar ways in terms of the overall nature of the relationship (exponential) validates the function used in this analysis to establish daily and annual delay factors</t>
    </r>
  </si>
  <si>
    <t>12:00:00 AM*</t>
  </si>
  <si>
    <t>*These values are avareged from the the 11 PM and 1 AM values. The ATR values during the midnight hour were much higher than this average and because this is counterintuative, this lower average was used to ensure the approach includes as realistic data as possible</t>
  </si>
  <si>
    <t>The IHSDM data is broken down into categories of Fatal/Injury and PDO. BCA guidence provides values for each of the KABCO crash types, but in this case, these values provided in the BCA guidence are more approapriate because crash predictions are not performed using a KABCO scale and so these BCA guidence provided values are more approapriate in this case.</t>
  </si>
  <si>
    <t>See crash data sheets beginning in column AJ of this Excel sheet</t>
  </si>
  <si>
    <t>The construction season in North Dakota is approximately 22 weeks long (March to October), and construction at the Interstate 94 and Sunset Drive interchange is scheduled to take place over three construction seasons. During the three construction seasons, vehicle delays will occur at varying intensities depending on the type and time of day of construction. The length of construction season as well as the various average daily impact of the different phases of the project were taken into account when calculating construction disbenefits.</t>
  </si>
  <si>
    <t>Delay will occur at Interstate 94 and Sunset Drive during construction. Delay is expected to occur on the Interstate 94 mainline due to work zone speed reductions to accommodate crossover detours during most of the bridge construction and shorter term on/off ramp bypasses. Delay on Sunset Drive will be caused by slower work zone speeds and changes to intersection level delays due to change in intersection level operation during construction.</t>
  </si>
  <si>
    <t>Construction disbenefits were calculated to reflect expected work zone speeds during construction on Interstate 94 and Sunset Drive compared to the observed free flow speeds at the interchange. For most of the construction, the speed on Interstate 94 is expected to be 55 mph instead of 70 mph and the speed on Sunset Drive is expected to be 25 mph instead of 35 mph. When each existing bridge is removed and the beams for the new bridges are installed, both bridges will be closed, and the exit and entrance ramps will be used as bypasses. The current construction schedule assumes about two weeks for each bridge to be removed and the new beams set, and these construction activities and the necessary ramp bypasses will only occur between 10 PM and 6 AM during these times. Work zone speed on Interstate 94 will be lowered further during these construction phases from 55 mph to 35 mph, but delays related to these closures reflect that they will impact a small proportion of daily interchange users.</t>
  </si>
  <si>
    <t>Intersection delays were modeled for the year 2028 as part of the transportation traffic control plan. NDDOT requires construction project plans include a temporary traffic management plan showing delay will not increase more than 15 minutes because of the construction. Intersection level construction delay information used in the BCA came from this NDDOT mandated project planning documentation.</t>
  </si>
  <si>
    <t>Intersection delay was incorporated as a construction disbenefit using the same daily and annualization factors that were used in the delay reduction benefit calculations. This means benefits from Build delay reductions and construction disbenefits were valued in the same way.</t>
  </si>
  <si>
    <t>WB</t>
  </si>
  <si>
    <t>EB</t>
  </si>
  <si>
    <t>Southbound Volume</t>
  </si>
  <si>
    <t>Northbound Volume</t>
  </si>
  <si>
    <t>Ramp Terminal</t>
  </si>
  <si>
    <t>Estimated Cap</t>
  </si>
  <si>
    <t>Houly Model Volume</t>
  </si>
  <si>
    <t>Modeled V/C</t>
  </si>
  <si>
    <t>AADTs from NDDOTs online traffic count data map https://gis.dot.nd.gov/external/ge_html/?viewer=ext_transinfo NBI data is not used for these values because the 2019 NBI ADTs don't refelct the impact of the Amazon warehouse built near the interchange after 2019, therefore these more recent counts from NDDOT provide a better estimate of truck traffic proportion than the older NBI data.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</si>
</sst>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6" formatCode="&quot;$&quot;#,##0_);[Red]\(&quot;$&quot;#,##0\)"/>
    <numFmt numFmtId="8" formatCode="&quot;$&quot;#,##0.00_);[Red]\(&quot;$&quot;#,##0.00\)"/>
    <numFmt numFmtId="44" formatCode="_(&quot;$&quot;* #,##0.00_);_(&quot;$&quot;* \(#,##0.00\);_(&quot;$&quot;* &quot;-&quot;??_);_(@_)"/>
    <numFmt numFmtId="43" formatCode="_(* #,##0.00_);_(* \(#,##0.00\);_(* &quot;-&quot;??_);_(@_)"/>
    <numFmt numFmtId="164" formatCode="_(* #,##0_);_(* \(#,##0\);_(* &quot;-&quot;??_);_(@_)"/>
    <numFmt numFmtId="165" formatCode="&quot;$&quot;#,##0.00"/>
    <numFmt numFmtId="166" formatCode="&quot;$&quot;#,##0"/>
    <numFmt numFmtId="167" formatCode="0.0%"/>
    <numFmt numFmtId="168" formatCode="0.0"/>
    <numFmt numFmtId="169" formatCode="0.000"/>
    <numFmt numFmtId="170" formatCode="0.00000"/>
    <numFmt numFmtId="171" formatCode="_(&quot;$&quot;* #,##0_);_(&quot;$&quot;* \(#,##0\);_(&quot;$&quot;* &quot;-&quot;??_);_(@_)"/>
    <numFmt numFmtId="172" formatCode="&quot;$&quot;#,##0.0"/>
    <numFmt numFmtId="173" formatCode="#,##0.000"/>
    <numFmt numFmtId="174" formatCode="0.0000"/>
    <numFmt numFmtId="175" formatCode="#,##0.00000"/>
    <numFmt numFmtId="176" formatCode="#,##0.0"/>
    <numFmt numFmtId="177" formatCode="0.0_)"/>
  </numFmts>
  <fonts count="56">
    <font>
      <sz val="11"/>
      <color theme="1"/>
      <name val="Aptos Narrow"/>
      <family val="2"/>
      <scheme val="minor"/>
    </font>
    <font>
      <sz val="11"/>
      <color theme="1"/>
      <name val="Aptos Narrow"/>
      <family val="2"/>
      <scheme val="minor"/>
    </font>
    <font>
      <sz val="11"/>
      <color rgb="FFFF0000"/>
      <name val="Aptos Narrow"/>
      <family val="2"/>
      <scheme val="minor"/>
    </font>
    <font>
      <b/>
      <sz val="11"/>
      <color theme="1"/>
      <name val="Aptos Narrow"/>
      <family val="2"/>
      <scheme val="minor"/>
    </font>
    <font>
      <sz val="9"/>
      <name val="Arial"/>
      <family val="2"/>
    </font>
    <font>
      <b/>
      <sz val="9"/>
      <name val="Arial"/>
      <family val="2"/>
    </font>
    <font>
      <sz val="10"/>
      <name val="Arial"/>
      <family val="2"/>
    </font>
    <font>
      <b/>
      <vertAlign val="superscript"/>
      <sz val="11"/>
      <color theme="1"/>
      <name val="Aptos Narrow"/>
      <family val="2"/>
      <scheme val="minor"/>
    </font>
    <font>
      <b/>
      <sz val="9"/>
      <color theme="1"/>
      <name val="Aptos Narrow"/>
      <family val="2"/>
      <scheme val="minor"/>
    </font>
    <font>
      <sz val="9"/>
      <color theme="1"/>
      <name val="Aptos Narrow"/>
      <family val="2"/>
      <scheme val="minor"/>
    </font>
    <font>
      <b/>
      <sz val="18"/>
      <color theme="1"/>
      <name val="Aptos Narrow"/>
      <family val="2"/>
      <scheme val="minor"/>
    </font>
    <font>
      <b/>
      <sz val="12"/>
      <color theme="1"/>
      <name val="Aptos Narrow"/>
      <family val="2"/>
      <scheme val="minor"/>
    </font>
    <font>
      <sz val="11"/>
      <color theme="0" tint="-4.9989318521683403E-2"/>
      <name val="Aptos Narrow"/>
      <family val="2"/>
      <scheme val="minor"/>
    </font>
    <font>
      <sz val="9"/>
      <color rgb="FF0070C0"/>
      <name val="Aptos Narrow"/>
      <family val="2"/>
      <scheme val="minor"/>
    </font>
    <font>
      <sz val="9"/>
      <color theme="0" tint="-0.249977111117893"/>
      <name val="Aptos Narrow"/>
      <family val="2"/>
      <scheme val="minor"/>
    </font>
    <font>
      <sz val="11"/>
      <color theme="0" tint="-0.249977111117893"/>
      <name val="Aptos Narrow"/>
      <family val="2"/>
      <scheme val="minor"/>
    </font>
    <font>
      <sz val="9"/>
      <color theme="0" tint="-0.34998626667073579"/>
      <name val="Aptos Narrow"/>
      <family val="2"/>
      <scheme val="minor"/>
    </font>
    <font>
      <sz val="9"/>
      <color theme="1"/>
      <name val="Arial"/>
      <family val="2"/>
    </font>
    <font>
      <b/>
      <sz val="9"/>
      <color theme="1"/>
      <name val="Arial"/>
      <family val="2"/>
    </font>
    <font>
      <b/>
      <vertAlign val="superscript"/>
      <sz val="9"/>
      <color theme="1"/>
      <name val="Arial"/>
      <family val="2"/>
    </font>
    <font>
      <b/>
      <i/>
      <sz val="9"/>
      <color theme="1"/>
      <name val="Arial"/>
      <family val="2"/>
    </font>
    <font>
      <vertAlign val="superscript"/>
      <sz val="9"/>
      <color theme="1"/>
      <name val="Arial"/>
      <family val="2"/>
    </font>
    <font>
      <sz val="9"/>
      <color theme="0" tint="-0.249977111117893"/>
      <name val="Arial"/>
      <family val="2"/>
    </font>
    <font>
      <sz val="10"/>
      <color rgb="FF000000"/>
      <name val="Times New Roman"/>
      <family val="1"/>
    </font>
    <font>
      <vertAlign val="superscript"/>
      <sz val="9"/>
      <color theme="1"/>
      <name val="Aptos Narrow"/>
      <family val="2"/>
      <scheme val="minor"/>
    </font>
    <font>
      <u/>
      <sz val="11"/>
      <color theme="10"/>
      <name val="Aptos Narrow"/>
      <family val="2"/>
      <scheme val="minor"/>
    </font>
    <font>
      <b/>
      <vertAlign val="subscript"/>
      <sz val="11"/>
      <color theme="1"/>
      <name val="Aptos Narrow"/>
      <family val="2"/>
      <scheme val="minor"/>
    </font>
    <font>
      <sz val="12"/>
      <name val="Arial"/>
      <family val="2"/>
    </font>
    <font>
      <u/>
      <sz val="10"/>
      <color indexed="12"/>
      <name val="Arial"/>
      <family val="2"/>
    </font>
    <font>
      <b/>
      <sz val="12"/>
      <name val="Arial"/>
      <family val="2"/>
    </font>
    <font>
      <sz val="9"/>
      <color rgb="FF000000"/>
      <name val="Arial"/>
      <family val="2"/>
    </font>
    <font>
      <b/>
      <sz val="10"/>
      <name val="Times New Roman"/>
      <family val="1"/>
    </font>
    <font>
      <b/>
      <sz val="10"/>
      <color rgb="FF231F20"/>
      <name val="Times New Roman"/>
      <family val="1"/>
    </font>
    <font>
      <sz val="10"/>
      <color rgb="FF231F20"/>
      <name val="Times New Roman"/>
      <family val="1"/>
    </font>
    <font>
      <sz val="10"/>
      <color rgb="FF231F20"/>
      <name val="Times New Roman"/>
      <family val="2"/>
    </font>
    <font>
      <sz val="10"/>
      <name val="Times New Roman"/>
      <family val="1"/>
    </font>
    <font>
      <b/>
      <sz val="9"/>
      <color rgb="FF000000"/>
      <name val="Arial"/>
      <family val="2"/>
    </font>
    <font>
      <sz val="10"/>
      <color theme="1"/>
      <name val="Arial"/>
      <family val="2"/>
    </font>
    <font>
      <sz val="11"/>
      <color indexed="8"/>
      <name val="Calibri"/>
      <family val="2"/>
    </font>
    <font>
      <sz val="18"/>
      <name val="P-AVGARD"/>
    </font>
    <font>
      <b/>
      <sz val="10"/>
      <name val="Arial"/>
      <family val="2"/>
    </font>
    <font>
      <u/>
      <sz val="10"/>
      <color theme="10"/>
      <name val="Arial"/>
      <family val="2"/>
    </font>
    <font>
      <b/>
      <vertAlign val="superscript"/>
      <sz val="12"/>
      <name val="Arial"/>
      <family val="2"/>
    </font>
    <font>
      <vertAlign val="superscript"/>
      <sz val="11"/>
      <color theme="1"/>
      <name val="Aptos Narrow"/>
      <family val="2"/>
      <scheme val="minor"/>
    </font>
    <font>
      <b/>
      <vertAlign val="superscript"/>
      <sz val="9"/>
      <color theme="1"/>
      <name val="Aptos Narrow"/>
      <family val="2"/>
      <scheme val="minor"/>
    </font>
    <font>
      <sz val="9"/>
      <color theme="2"/>
      <name val="Aptos Narrow"/>
      <family val="2"/>
      <scheme val="minor"/>
    </font>
    <font>
      <sz val="9"/>
      <name val="Aptos Narrow"/>
      <family val="2"/>
      <scheme val="minor"/>
    </font>
    <font>
      <vertAlign val="superscript"/>
      <sz val="9"/>
      <name val="Aptos Narrow"/>
      <family val="2"/>
      <scheme val="minor"/>
    </font>
    <font>
      <i/>
      <sz val="9"/>
      <color theme="1"/>
      <name val="Aptos Narrow"/>
      <family val="2"/>
      <scheme val="minor"/>
    </font>
    <font>
      <sz val="9"/>
      <color rgb="FFFF0000"/>
      <name val="Aptos Narrow"/>
      <family val="2"/>
      <scheme val="minor"/>
    </font>
    <font>
      <sz val="11"/>
      <name val="Aptos Narrow"/>
      <family val="2"/>
      <scheme val="minor"/>
    </font>
    <font>
      <b/>
      <sz val="11"/>
      <name val="Calibri"/>
      <family val="2"/>
    </font>
    <font>
      <b/>
      <vertAlign val="superscript"/>
      <sz val="11"/>
      <name val="Calibri"/>
      <family val="2"/>
    </font>
    <font>
      <sz val="11"/>
      <name val="Calibri"/>
      <family val="2"/>
    </font>
    <font>
      <vertAlign val="subscript"/>
      <sz val="11"/>
      <color theme="1"/>
      <name val="Aptos Narrow"/>
      <family val="2"/>
      <scheme val="minor"/>
    </font>
    <font>
      <sz val="11"/>
      <color rgb="FF3F3F76"/>
      <name val="Aptos Narrow"/>
      <family val="2"/>
      <scheme val="minor"/>
    </font>
  </fonts>
  <fills count="12">
    <fill>
      <patternFill patternType="none"/>
    </fill>
    <fill>
      <patternFill patternType="gray125"/>
    </fill>
    <fill>
      <patternFill patternType="solid">
        <fgColor theme="0" tint="-4.9989318521683403E-2"/>
        <bgColor indexed="64"/>
      </patternFill>
    </fill>
    <fill>
      <patternFill patternType="solid">
        <fgColor rgb="FFFFFF00"/>
        <bgColor indexed="64"/>
      </patternFill>
    </fill>
    <fill>
      <patternFill patternType="solid">
        <fgColor theme="0" tint="-0.249977111117893"/>
        <bgColor indexed="64"/>
      </patternFill>
    </fill>
    <fill>
      <patternFill patternType="solid">
        <fgColor theme="6" tint="0.79998168889431442"/>
        <bgColor indexed="64"/>
      </patternFill>
    </fill>
    <fill>
      <patternFill patternType="solid">
        <fgColor rgb="FFB7CFEC"/>
      </patternFill>
    </fill>
    <fill>
      <patternFill patternType="solid">
        <fgColor rgb="FFD9D9D9"/>
      </patternFill>
    </fill>
    <fill>
      <patternFill patternType="solid">
        <fgColor rgb="FFEAEAEA"/>
      </patternFill>
    </fill>
    <fill>
      <patternFill patternType="solid">
        <fgColor theme="9" tint="0.59999389629810485"/>
        <bgColor indexed="64"/>
      </patternFill>
    </fill>
    <fill>
      <patternFill patternType="solid">
        <fgColor rgb="FFFFCC99"/>
      </patternFill>
    </fill>
    <fill>
      <patternFill patternType="solid">
        <fgColor rgb="FFB2B2B2"/>
        <bgColor indexed="64"/>
      </patternFill>
    </fill>
  </fills>
  <borders count="131">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rgb="FF000000"/>
      </left>
      <right style="thin">
        <color rgb="FF000000"/>
      </right>
      <top style="thin">
        <color rgb="FF000000"/>
      </top>
      <bottom style="thin">
        <color rgb="FF000000"/>
      </bottom>
      <diagonal/>
    </border>
    <border>
      <left style="thin">
        <color rgb="FF000000"/>
      </left>
      <right/>
      <top/>
      <bottom/>
      <diagonal/>
    </border>
    <border>
      <left style="thin">
        <color rgb="FF000000"/>
      </left>
      <right/>
      <top/>
      <bottom style="thin">
        <color rgb="FF000000"/>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thin">
        <color indexed="64"/>
      </right>
      <top style="medium">
        <color indexed="64"/>
      </top>
      <bottom/>
      <diagonal/>
    </border>
    <border>
      <left/>
      <right style="thin">
        <color indexed="64"/>
      </right>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medium">
        <color indexed="64"/>
      </left>
      <right/>
      <top style="medium">
        <color indexed="64"/>
      </top>
      <bottom/>
      <diagonal/>
    </border>
    <border>
      <left style="medium">
        <color indexed="64"/>
      </left>
      <right/>
      <top/>
      <bottom style="medium">
        <color indexed="64"/>
      </bottom>
      <diagonal/>
    </border>
    <border>
      <left style="thin">
        <color indexed="64"/>
      </left>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bottom/>
      <diagonal/>
    </border>
    <border>
      <left style="medium">
        <color indexed="64"/>
      </left>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thin">
        <color indexed="64"/>
      </right>
      <top style="thin">
        <color indexed="64"/>
      </top>
      <bottom style="double">
        <color indexed="64"/>
      </bottom>
      <diagonal/>
    </border>
    <border>
      <left style="medium">
        <color indexed="64"/>
      </left>
      <right style="thin">
        <color indexed="64"/>
      </right>
      <top style="double">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top/>
      <bottom style="thin">
        <color rgb="FF000000"/>
      </bottom>
      <diagonal/>
    </border>
    <border>
      <left style="thin">
        <color indexed="64"/>
      </left>
      <right style="thin">
        <color indexed="64"/>
      </right>
      <top/>
      <bottom/>
      <diagonal/>
    </border>
    <border>
      <left/>
      <right/>
      <top/>
      <bottom style="thin">
        <color indexed="64"/>
      </bottom>
      <diagonal/>
    </border>
    <border>
      <left style="thin">
        <color indexed="64"/>
      </left>
      <right style="medium">
        <color indexed="64"/>
      </right>
      <top/>
      <bottom/>
      <diagonal/>
    </border>
    <border>
      <left style="thin">
        <color indexed="64"/>
      </left>
      <right/>
      <top/>
      <bottom/>
      <diagonal/>
    </border>
    <border>
      <left/>
      <right/>
      <top style="medium">
        <color indexed="64"/>
      </top>
      <bottom/>
      <diagonal/>
    </border>
    <border>
      <left style="thin">
        <color rgb="FF000000"/>
      </left>
      <right style="thin">
        <color rgb="FFFFFFFF"/>
      </right>
      <top style="thin">
        <color rgb="FF000000"/>
      </top>
      <bottom/>
      <diagonal/>
    </border>
    <border>
      <left style="thin">
        <color rgb="FF000000"/>
      </left>
      <right style="thin">
        <color rgb="FFFFFFFF"/>
      </right>
      <top/>
      <bottom style="thin">
        <color rgb="FF000000"/>
      </bottom>
      <diagonal/>
    </border>
    <border>
      <left/>
      <right/>
      <top style="thin">
        <color indexed="64"/>
      </top>
      <bottom style="medium">
        <color indexed="64"/>
      </bottom>
      <diagonal/>
    </border>
    <border>
      <left/>
      <right style="thin">
        <color indexed="64"/>
      </right>
      <top/>
      <bottom/>
      <diagonal/>
    </border>
    <border>
      <left/>
      <right style="medium">
        <color indexed="64"/>
      </right>
      <top style="medium">
        <color indexed="64"/>
      </top>
      <bottom style="thin">
        <color auto="1"/>
      </bottom>
      <diagonal/>
    </border>
    <border>
      <left style="medium">
        <color indexed="64"/>
      </left>
      <right style="thin">
        <color rgb="FF000000"/>
      </right>
      <top style="medium">
        <color indexed="64"/>
      </top>
      <bottom style="thin">
        <color rgb="FF000000"/>
      </bottom>
      <diagonal/>
    </border>
    <border>
      <left style="thin">
        <color rgb="FF000000"/>
      </left>
      <right style="thin">
        <color rgb="FF000000"/>
      </right>
      <top style="medium">
        <color indexed="64"/>
      </top>
      <bottom style="thin">
        <color rgb="FF000000"/>
      </bottom>
      <diagonal/>
    </border>
    <border>
      <left style="thin">
        <color rgb="FF000000"/>
      </left>
      <right style="medium">
        <color indexed="64"/>
      </right>
      <top style="medium">
        <color indexed="64"/>
      </top>
      <bottom style="thin">
        <color rgb="FF000000"/>
      </bottom>
      <diagonal/>
    </border>
    <border>
      <left style="medium">
        <color indexed="64"/>
      </left>
      <right style="thin">
        <color rgb="FF000000"/>
      </right>
      <top style="thin">
        <color rgb="FF000000"/>
      </top>
      <bottom style="thin">
        <color rgb="FF000000"/>
      </bottom>
      <diagonal/>
    </border>
    <border>
      <left style="thin">
        <color rgb="FF000000"/>
      </left>
      <right style="medium">
        <color indexed="64"/>
      </right>
      <top style="thin">
        <color rgb="FF000000"/>
      </top>
      <bottom style="thin">
        <color rgb="FF000000"/>
      </bottom>
      <diagonal/>
    </border>
    <border>
      <left style="medium">
        <color indexed="64"/>
      </left>
      <right style="thin">
        <color rgb="FF000000"/>
      </right>
      <top style="thin">
        <color rgb="FF000000"/>
      </top>
      <bottom style="medium">
        <color indexed="64"/>
      </bottom>
      <diagonal/>
    </border>
    <border>
      <left style="thin">
        <color rgb="FF000000"/>
      </left>
      <right style="thin">
        <color rgb="FF000000"/>
      </right>
      <top style="thin">
        <color rgb="FF000000"/>
      </top>
      <bottom style="medium">
        <color indexed="64"/>
      </bottom>
      <diagonal/>
    </border>
    <border>
      <left style="thin">
        <color rgb="FF000000"/>
      </left>
      <right style="medium">
        <color indexed="64"/>
      </right>
      <top style="thin">
        <color rgb="FF000000"/>
      </top>
      <bottom style="medium">
        <color indexed="64"/>
      </bottom>
      <diagonal/>
    </border>
    <border>
      <left style="medium">
        <color indexed="64"/>
      </left>
      <right style="medium">
        <color indexed="64"/>
      </right>
      <top/>
      <bottom style="thin">
        <color indexed="64"/>
      </bottom>
      <diagonal/>
    </border>
    <border>
      <left/>
      <right/>
      <top style="medium">
        <color indexed="64"/>
      </top>
      <bottom style="thin">
        <color indexed="64"/>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style="double">
        <color indexed="64"/>
      </right>
      <top style="double">
        <color indexed="64"/>
      </top>
      <bottom/>
      <diagonal/>
    </border>
    <border>
      <left style="double">
        <color indexed="64"/>
      </left>
      <right/>
      <top/>
      <bottom style="thin">
        <color indexed="64"/>
      </bottom>
      <diagonal/>
    </border>
    <border>
      <left/>
      <right style="double">
        <color indexed="64"/>
      </right>
      <top/>
      <bottom style="thin">
        <color indexed="64"/>
      </bottom>
      <diagonal/>
    </border>
    <border>
      <left style="double">
        <color indexed="64"/>
      </left>
      <right style="double">
        <color indexed="64"/>
      </right>
      <top/>
      <bottom style="thin">
        <color indexed="64"/>
      </bottom>
      <diagonal/>
    </border>
    <border>
      <left style="double">
        <color indexed="64"/>
      </left>
      <right/>
      <top style="thin">
        <color indexed="64"/>
      </top>
      <bottom style="thin">
        <color indexed="64"/>
      </bottom>
      <diagonal/>
    </border>
    <border>
      <left/>
      <right style="double">
        <color indexed="64"/>
      </right>
      <top style="thin">
        <color indexed="64"/>
      </top>
      <bottom style="thin">
        <color indexed="64"/>
      </bottom>
      <diagonal/>
    </border>
    <border>
      <left style="double">
        <color indexed="64"/>
      </left>
      <right style="double">
        <color indexed="64"/>
      </right>
      <top style="thin">
        <color indexed="64"/>
      </top>
      <bottom style="thin">
        <color indexed="64"/>
      </bottom>
      <diagonal/>
    </border>
    <border>
      <left style="double">
        <color indexed="64"/>
      </left>
      <right/>
      <top/>
      <bottom/>
      <diagonal/>
    </border>
    <border>
      <left/>
      <right style="double">
        <color indexed="64"/>
      </right>
      <top/>
      <bottom/>
      <diagonal/>
    </border>
    <border>
      <left/>
      <right style="double">
        <color indexed="64"/>
      </right>
      <top style="thin">
        <color indexed="64"/>
      </top>
      <bottom/>
      <diagonal/>
    </border>
    <border>
      <left style="double">
        <color indexed="64"/>
      </left>
      <right style="thin">
        <color indexed="64"/>
      </right>
      <top style="thin">
        <color indexed="64"/>
      </top>
      <bottom/>
      <diagonal/>
    </border>
    <border>
      <left style="thin">
        <color indexed="64"/>
      </left>
      <right style="double">
        <color indexed="64"/>
      </right>
      <top style="thin">
        <color indexed="64"/>
      </top>
      <bottom/>
      <diagonal/>
    </border>
    <border>
      <left style="double">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top/>
      <bottom style="double">
        <color indexed="64"/>
      </bottom>
      <diagonal/>
    </border>
    <border>
      <left/>
      <right/>
      <top/>
      <bottom style="double">
        <color indexed="64"/>
      </bottom>
      <diagonal/>
    </border>
    <border>
      <left style="double">
        <color indexed="64"/>
      </left>
      <right style="double">
        <color indexed="64"/>
      </right>
      <top/>
      <bottom style="double">
        <color indexed="64"/>
      </bottom>
      <diagonal/>
    </border>
    <border>
      <left style="double">
        <color indexed="64"/>
      </left>
      <right style="double">
        <color indexed="64"/>
      </right>
      <top/>
      <bottom/>
      <diagonal/>
    </border>
    <border>
      <left style="thin">
        <color theme="1"/>
      </left>
      <right style="thin">
        <color theme="1"/>
      </right>
      <top style="thin">
        <color theme="1"/>
      </top>
      <bottom style="thin">
        <color theme="1"/>
      </bottom>
      <diagonal/>
    </border>
    <border>
      <left/>
      <right style="thin">
        <color theme="1"/>
      </right>
      <top/>
      <bottom style="thin">
        <color theme="1"/>
      </bottom>
      <diagonal/>
    </border>
    <border>
      <left style="thin">
        <color theme="1"/>
      </left>
      <right/>
      <top/>
      <bottom style="thin">
        <color theme="1"/>
      </bottom>
      <diagonal/>
    </border>
    <border>
      <left style="thin">
        <color rgb="FF7F7F7F"/>
      </left>
      <right style="thin">
        <color rgb="FF7F7F7F"/>
      </right>
      <top style="thin">
        <color rgb="FF7F7F7F"/>
      </top>
      <bottom style="thin">
        <color rgb="FF7F7F7F"/>
      </bottom>
      <diagonal/>
    </border>
    <border>
      <left style="thin">
        <color rgb="FF7F7F7F"/>
      </left>
      <right style="thin">
        <color rgb="FF7F7F7F"/>
      </right>
      <top/>
      <bottom style="thin">
        <color rgb="FF7F7F7F"/>
      </bottom>
      <diagonal/>
    </border>
    <border>
      <left style="thin">
        <color rgb="FF000000"/>
      </left>
      <right style="thin">
        <color rgb="FFFFFFFF"/>
      </right>
      <top/>
      <bottom/>
      <diagonal/>
    </border>
    <border>
      <left style="thin">
        <color rgb="FFFFFFFF"/>
      </left>
      <right/>
      <top/>
      <bottom/>
      <diagonal/>
    </border>
    <border>
      <left style="thin">
        <color rgb="FF000000"/>
      </left>
      <right/>
      <top style="medium">
        <color indexed="64"/>
      </top>
      <bottom/>
      <diagonal/>
    </border>
    <border>
      <left style="thin">
        <color rgb="FF000000"/>
      </left>
      <right/>
      <top/>
      <bottom style="medium">
        <color indexed="64"/>
      </bottom>
      <diagonal/>
    </border>
    <border>
      <left style="medium">
        <color indexed="64"/>
      </left>
      <right/>
      <top/>
      <bottom style="thin">
        <color rgb="FF000000"/>
      </bottom>
      <diagonal/>
    </border>
    <border>
      <left style="medium">
        <color indexed="64"/>
      </left>
      <right style="thin">
        <color rgb="FFFFFFFF"/>
      </right>
      <top style="thin">
        <color rgb="FF000000"/>
      </top>
      <bottom style="medium">
        <color indexed="64"/>
      </bottom>
      <diagonal/>
    </border>
    <border>
      <left style="thin">
        <color rgb="FFFFFFFF"/>
      </left>
      <right style="thin">
        <color rgb="FF000000"/>
      </right>
      <top style="thin">
        <color rgb="FF000000"/>
      </top>
      <bottom style="medium">
        <color indexed="64"/>
      </bottom>
      <diagonal/>
    </border>
    <border>
      <left style="medium">
        <color indexed="64"/>
      </left>
      <right/>
      <top style="thin">
        <color indexed="64"/>
      </top>
      <bottom/>
      <diagonal/>
    </border>
    <border>
      <left/>
      <right style="thin">
        <color indexed="64"/>
      </right>
      <top style="thin">
        <color indexed="64"/>
      </top>
      <bottom/>
      <diagonal/>
    </border>
    <border>
      <left/>
      <right style="medium">
        <color indexed="64"/>
      </right>
      <top style="thin">
        <color indexed="64"/>
      </top>
      <bottom style="medium">
        <color indexed="64"/>
      </bottom>
      <diagonal/>
    </border>
    <border>
      <left/>
      <right style="thin">
        <color rgb="FF7F7F7F"/>
      </right>
      <top/>
      <bottom style="thin">
        <color rgb="FF7F7F7F"/>
      </bottom>
      <diagonal/>
    </border>
    <border>
      <left style="medium">
        <color indexed="64"/>
      </left>
      <right style="thin">
        <color rgb="FF7F7F7F"/>
      </right>
      <top style="medium">
        <color indexed="64"/>
      </top>
      <bottom style="thin">
        <color rgb="FF7F7F7F"/>
      </bottom>
      <diagonal/>
    </border>
    <border>
      <left style="thin">
        <color rgb="FF7F7F7F"/>
      </left>
      <right style="medium">
        <color indexed="64"/>
      </right>
      <top style="medium">
        <color indexed="64"/>
      </top>
      <bottom style="thin">
        <color rgb="FF7F7F7F"/>
      </bottom>
      <diagonal/>
    </border>
    <border>
      <left style="thin">
        <color rgb="FFFFFFFF"/>
      </left>
      <right/>
      <top style="thin">
        <color rgb="FF000000"/>
      </top>
      <bottom/>
      <diagonal/>
    </border>
    <border>
      <left style="thin">
        <color rgb="FFFFFFFF"/>
      </left>
      <right/>
      <top/>
      <bottom style="thin">
        <color rgb="FF000000"/>
      </bottom>
      <diagonal/>
    </border>
    <border>
      <left/>
      <right style="medium">
        <color indexed="64"/>
      </right>
      <top/>
      <bottom style="medium">
        <color indexed="64"/>
      </bottom>
      <diagonal/>
    </border>
    <border>
      <left style="thin">
        <color indexed="64"/>
      </left>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medium">
        <color indexed="64"/>
      </top>
      <bottom/>
      <diagonal/>
    </border>
    <border>
      <left/>
      <right style="medium">
        <color indexed="64"/>
      </right>
      <top/>
      <bottom/>
      <diagonal/>
    </border>
    <border>
      <left style="thin">
        <color indexed="64"/>
      </left>
      <right/>
      <top style="medium">
        <color indexed="64"/>
      </top>
      <bottom/>
      <diagonal/>
    </border>
    <border>
      <left style="thin">
        <color indexed="64"/>
      </left>
      <right/>
      <top/>
      <bottom style="medium">
        <color indexed="64"/>
      </bottom>
      <diagonal/>
    </border>
  </borders>
  <cellStyleXfs count="43">
    <xf numFmtId="0" fontId="0" fillId="0" borderId="0"/>
    <xf numFmtId="43" fontId="1" fillId="0" borderId="0" applyFont="0" applyFill="0" applyBorder="0" applyAlignment="0" applyProtection="0"/>
    <xf numFmtId="9" fontId="1" fillId="0" borderId="0" applyFont="0" applyFill="0" applyBorder="0" applyAlignment="0" applyProtection="0"/>
    <xf numFmtId="43" fontId="6" fillId="0" borderId="0" applyFont="0" applyFill="0" applyBorder="0" applyAlignment="0" applyProtection="0"/>
    <xf numFmtId="44" fontId="1" fillId="0" borderId="0" applyFont="0" applyFill="0" applyBorder="0" applyAlignment="0" applyProtection="0"/>
    <xf numFmtId="0" fontId="6" fillId="0" borderId="0"/>
    <xf numFmtId="0" fontId="6" fillId="0" borderId="0"/>
    <xf numFmtId="0" fontId="23" fillId="0" borderId="0"/>
    <xf numFmtId="0" fontId="25" fillId="0" borderId="0" applyNumberFormat="0" applyFill="0" applyBorder="0" applyAlignment="0" applyProtection="0"/>
    <xf numFmtId="0" fontId="28" fillId="0" borderId="0" applyNumberFormat="0" applyFill="0" applyBorder="0" applyAlignment="0" applyProtection="0">
      <alignment vertical="top"/>
      <protection locked="0"/>
    </xf>
    <xf numFmtId="44" fontId="1" fillId="0" borderId="0" applyFont="0" applyFill="0" applyBorder="0" applyAlignment="0" applyProtection="0"/>
    <xf numFmtId="0" fontId="37" fillId="0" borderId="0"/>
    <xf numFmtId="0" fontId="6" fillId="0" borderId="0"/>
    <xf numFmtId="43" fontId="37"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3" fontId="38" fillId="0" borderId="0" applyFont="0" applyFill="0" applyBorder="0" applyAlignment="0" applyProtection="0"/>
    <xf numFmtId="0" fontId="1" fillId="0" borderId="0"/>
    <xf numFmtId="0" fontId="6" fillId="0" borderId="0"/>
    <xf numFmtId="43" fontId="6" fillId="0" borderId="0" applyFont="0" applyFill="0" applyBorder="0" applyAlignment="0" applyProtection="0"/>
    <xf numFmtId="43" fontId="1" fillId="0" borderId="0" applyFont="0" applyFill="0" applyBorder="0" applyAlignment="0" applyProtection="0"/>
    <xf numFmtId="0" fontId="6" fillId="0" borderId="0"/>
    <xf numFmtId="0" fontId="6" fillId="0" borderId="0"/>
    <xf numFmtId="0" fontId="1" fillId="0" borderId="0"/>
    <xf numFmtId="0" fontId="1" fillId="0" borderId="0"/>
    <xf numFmtId="9" fontId="1" fillId="0" borderId="0" applyFont="0" applyFill="0" applyBorder="0" applyAlignment="0" applyProtection="0"/>
    <xf numFmtId="9" fontId="6"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39" fillId="0" borderId="0"/>
    <xf numFmtId="0" fontId="1" fillId="0" borderId="0"/>
    <xf numFmtId="43" fontId="37" fillId="0" borderId="0" applyFont="0" applyFill="0" applyBorder="0" applyAlignment="0" applyProtection="0"/>
    <xf numFmtId="9" fontId="37" fillId="0" borderId="0" applyFont="0" applyFill="0" applyBorder="0" applyAlignment="0" applyProtection="0"/>
    <xf numFmtId="0" fontId="41" fillId="0" borderId="0" applyNumberForma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55" fillId="10" borderId="107" applyNumberFormat="0" applyAlignment="0" applyProtection="0"/>
  </cellStyleXfs>
  <cellXfs count="813">
    <xf numFmtId="0" fontId="0" fillId="0" borderId="0" xfId="0"/>
    <xf numFmtId="0" fontId="4" fillId="0" borderId="0" xfId="0" applyFont="1"/>
    <xf numFmtId="0" fontId="5" fillId="2" borderId="4" xfId="0" applyFont="1" applyFill="1" applyBorder="1" applyAlignment="1">
      <alignment horizontal="center"/>
    </xf>
    <xf numFmtId="0" fontId="5" fillId="2" borderId="4" xfId="0" applyFont="1" applyFill="1" applyBorder="1"/>
    <xf numFmtId="164" fontId="4" fillId="0" borderId="4" xfId="3" applyNumberFormat="1" applyFont="1" applyFill="1" applyBorder="1" applyAlignment="1">
      <alignment horizontal="center"/>
    </xf>
    <xf numFmtId="0" fontId="5" fillId="0" borderId="4" xfId="0" applyFont="1" applyBorder="1" applyAlignment="1">
      <alignment horizontal="right"/>
    </xf>
    <xf numFmtId="10" fontId="4" fillId="0" borderId="4" xfId="2" applyNumberFormat="1" applyFont="1" applyFill="1" applyBorder="1" applyAlignment="1">
      <alignment horizontal="center"/>
    </xf>
    <xf numFmtId="0" fontId="3" fillId="0" borderId="0" xfId="0" applyFont="1"/>
    <xf numFmtId="0" fontId="0" fillId="0" borderId="0" xfId="0" applyAlignment="1">
      <alignment horizontal="center"/>
    </xf>
    <xf numFmtId="0" fontId="8" fillId="2" borderId="14" xfId="0" applyFont="1" applyFill="1" applyBorder="1" applyAlignment="1">
      <alignment horizontal="center" vertical="center" wrapText="1"/>
    </xf>
    <xf numFmtId="0" fontId="8" fillId="2" borderId="15" xfId="0" applyFont="1" applyFill="1" applyBorder="1" applyAlignment="1">
      <alignment horizontal="center" vertical="center" wrapText="1"/>
    </xf>
    <xf numFmtId="0" fontId="8" fillId="2" borderId="16" xfId="0" applyFont="1" applyFill="1" applyBorder="1" applyAlignment="1">
      <alignment horizontal="center" vertical="center" wrapText="1"/>
    </xf>
    <xf numFmtId="0" fontId="9" fillId="0" borderId="24" xfId="0" applyFont="1" applyBorder="1" applyAlignment="1">
      <alignment horizontal="center"/>
    </xf>
    <xf numFmtId="0" fontId="9" fillId="0" borderId="25" xfId="0" applyFont="1" applyBorder="1" applyAlignment="1">
      <alignment horizontal="center"/>
    </xf>
    <xf numFmtId="166" fontId="9" fillId="0" borderId="27" xfId="1" applyNumberFormat="1" applyFont="1" applyFill="1" applyBorder="1" applyAlignment="1">
      <alignment horizontal="center"/>
    </xf>
    <xf numFmtId="0" fontId="0" fillId="0" borderId="4" xfId="0" applyBorder="1"/>
    <xf numFmtId="0" fontId="3" fillId="0" borderId="4" xfId="0" applyFont="1" applyBorder="1" applyAlignment="1">
      <alignment horizontal="center"/>
    </xf>
    <xf numFmtId="0" fontId="9" fillId="0" borderId="28" xfId="0" applyFont="1" applyBorder="1" applyAlignment="1">
      <alignment horizontal="center"/>
    </xf>
    <xf numFmtId="166" fontId="9" fillId="0" borderId="31" xfId="1" applyNumberFormat="1" applyFont="1" applyFill="1" applyBorder="1" applyAlignment="1">
      <alignment horizontal="center"/>
    </xf>
    <xf numFmtId="0" fontId="9" fillId="0" borderId="0" xfId="0" applyFont="1"/>
    <xf numFmtId="0" fontId="9" fillId="0" borderId="0" xfId="0" applyFont="1" applyAlignment="1">
      <alignment horizontal="center"/>
    </xf>
    <xf numFmtId="0" fontId="8" fillId="0" borderId="0" xfId="0" applyFont="1" applyAlignment="1">
      <alignment horizontal="center"/>
    </xf>
    <xf numFmtId="166" fontId="9" fillId="0" borderId="0" xfId="0" applyNumberFormat="1" applyFont="1" applyAlignment="1">
      <alignment horizontal="center"/>
    </xf>
    <xf numFmtId="0" fontId="0" fillId="0" borderId="0" xfId="0" applyAlignment="1">
      <alignment horizontal="right"/>
    </xf>
    <xf numFmtId="0" fontId="0" fillId="0" borderId="0" xfId="0" applyAlignment="1">
      <alignment wrapText="1"/>
    </xf>
    <xf numFmtId="2" fontId="0" fillId="0" borderId="0" xfId="0" applyNumberFormat="1" applyAlignment="1">
      <alignment horizontal="center"/>
    </xf>
    <xf numFmtId="3" fontId="9" fillId="0" borderId="18" xfId="1" applyNumberFormat="1" applyFont="1" applyFill="1" applyBorder="1" applyAlignment="1">
      <alignment horizontal="center"/>
    </xf>
    <xf numFmtId="3" fontId="9" fillId="0" borderId="19" xfId="1" applyNumberFormat="1" applyFont="1" applyFill="1" applyBorder="1" applyAlignment="1">
      <alignment horizontal="center"/>
    </xf>
    <xf numFmtId="3" fontId="9" fillId="0" borderId="17" xfId="1" applyNumberFormat="1" applyFont="1" applyFill="1" applyBorder="1" applyAlignment="1">
      <alignment horizontal="center"/>
    </xf>
    <xf numFmtId="3" fontId="9" fillId="0" borderId="26" xfId="1" applyNumberFormat="1" applyFont="1" applyFill="1" applyBorder="1" applyAlignment="1">
      <alignment horizontal="center"/>
    </xf>
    <xf numFmtId="3" fontId="9" fillId="0" borderId="4" xfId="1" applyNumberFormat="1" applyFont="1" applyFill="1" applyBorder="1" applyAlignment="1">
      <alignment horizontal="center"/>
    </xf>
    <xf numFmtId="3" fontId="9" fillId="0" borderId="27" xfId="1" applyNumberFormat="1" applyFont="1" applyFill="1" applyBorder="1" applyAlignment="1">
      <alignment horizontal="center"/>
    </xf>
    <xf numFmtId="3" fontId="9" fillId="0" borderId="29" xfId="1" applyNumberFormat="1" applyFont="1" applyFill="1" applyBorder="1" applyAlignment="1">
      <alignment horizontal="center"/>
    </xf>
    <xf numFmtId="3" fontId="9" fillId="0" borderId="30" xfId="1" applyNumberFormat="1" applyFont="1" applyFill="1" applyBorder="1" applyAlignment="1">
      <alignment horizontal="center"/>
    </xf>
    <xf numFmtId="3" fontId="9" fillId="0" borderId="31" xfId="1" applyNumberFormat="1" applyFont="1" applyFill="1" applyBorder="1" applyAlignment="1">
      <alignment horizontal="center"/>
    </xf>
    <xf numFmtId="0" fontId="8" fillId="0" borderId="0" xfId="0" applyFont="1"/>
    <xf numFmtId="0" fontId="2" fillId="0" borderId="0" xfId="0" applyFont="1"/>
    <xf numFmtId="0" fontId="0" fillId="0" borderId="4" xfId="0" applyBorder="1" applyAlignment="1">
      <alignment horizontal="center"/>
    </xf>
    <xf numFmtId="2" fontId="0" fillId="0" borderId="4" xfId="0" applyNumberFormat="1" applyBorder="1" applyAlignment="1">
      <alignment horizontal="center"/>
    </xf>
    <xf numFmtId="37" fontId="9" fillId="0" borderId="17" xfId="1" applyNumberFormat="1" applyFont="1" applyBorder="1" applyAlignment="1">
      <alignment horizontal="center"/>
    </xf>
    <xf numFmtId="37" fontId="9" fillId="0" borderId="18" xfId="1" applyNumberFormat="1" applyFont="1" applyFill="1" applyBorder="1" applyAlignment="1">
      <alignment horizontal="center"/>
    </xf>
    <xf numFmtId="37" fontId="9" fillId="0" borderId="19" xfId="1" applyNumberFormat="1" applyFont="1" applyFill="1" applyBorder="1" applyAlignment="1">
      <alignment horizontal="center"/>
    </xf>
    <xf numFmtId="166" fontId="9" fillId="0" borderId="42" xfId="1" applyNumberFormat="1" applyFont="1" applyFill="1" applyBorder="1" applyAlignment="1">
      <alignment horizontal="center"/>
    </xf>
    <xf numFmtId="166" fontId="9" fillId="0" borderId="19" xfId="0" applyNumberFormat="1" applyFont="1" applyBorder="1" applyAlignment="1">
      <alignment horizontal="center"/>
    </xf>
    <xf numFmtId="37" fontId="9" fillId="0" borderId="26" xfId="1" applyNumberFormat="1" applyFont="1" applyBorder="1" applyAlignment="1">
      <alignment horizontal="center"/>
    </xf>
    <xf numFmtId="37" fontId="9" fillId="0" borderId="4" xfId="1" applyNumberFormat="1" applyFont="1" applyFill="1" applyBorder="1" applyAlignment="1">
      <alignment horizontal="center"/>
    </xf>
    <xf numFmtId="37" fontId="9" fillId="0" borderId="27" xfId="1" applyNumberFormat="1" applyFont="1" applyFill="1" applyBorder="1" applyAlignment="1">
      <alignment horizontal="center"/>
    </xf>
    <xf numFmtId="166" fontId="9" fillId="0" borderId="3" xfId="1" applyNumberFormat="1" applyFont="1" applyFill="1" applyBorder="1" applyAlignment="1">
      <alignment horizontal="center"/>
    </xf>
    <xf numFmtId="1" fontId="0" fillId="0" borderId="0" xfId="0" applyNumberFormat="1"/>
    <xf numFmtId="37" fontId="9" fillId="0" borderId="29" xfId="1" applyNumberFormat="1" applyFont="1" applyBorder="1" applyAlignment="1">
      <alignment horizontal="center"/>
    </xf>
    <xf numFmtId="37" fontId="9" fillId="0" borderId="30" xfId="1" applyNumberFormat="1" applyFont="1" applyFill="1" applyBorder="1" applyAlignment="1">
      <alignment horizontal="center"/>
    </xf>
    <xf numFmtId="37" fontId="9" fillId="0" borderId="31" xfId="1" applyNumberFormat="1" applyFont="1" applyFill="1" applyBorder="1" applyAlignment="1">
      <alignment horizontal="center"/>
    </xf>
    <xf numFmtId="166" fontId="9" fillId="0" borderId="43" xfId="1" applyNumberFormat="1" applyFont="1" applyFill="1" applyBorder="1" applyAlignment="1">
      <alignment horizontal="center"/>
    </xf>
    <xf numFmtId="38" fontId="9" fillId="0" borderId="0" xfId="0" applyNumberFormat="1" applyFont="1" applyAlignment="1">
      <alignment horizontal="right" indent="1"/>
    </xf>
    <xf numFmtId="37" fontId="9" fillId="0" borderId="0" xfId="0" applyNumberFormat="1" applyFont="1"/>
    <xf numFmtId="38" fontId="8" fillId="0" borderId="0" xfId="0" applyNumberFormat="1" applyFont="1"/>
    <xf numFmtId="166" fontId="9" fillId="0" borderId="20" xfId="0" applyNumberFormat="1" applyFont="1" applyBorder="1" applyAlignment="1">
      <alignment horizontal="center"/>
    </xf>
    <xf numFmtId="0" fontId="10" fillId="0" borderId="0" xfId="0" applyFont="1"/>
    <xf numFmtId="0" fontId="11" fillId="0" borderId="0" xfId="0" applyFont="1" applyAlignment="1">
      <alignment horizontal="left"/>
    </xf>
    <xf numFmtId="0" fontId="0" fillId="0" borderId="0" xfId="0" applyAlignment="1">
      <alignment vertical="center"/>
    </xf>
    <xf numFmtId="0" fontId="9" fillId="0" borderId="47" xfId="0" applyFont="1" applyBorder="1" applyAlignment="1">
      <alignment horizontal="center" vertical="center" wrapText="1"/>
    </xf>
    <xf numFmtId="166" fontId="9" fillId="0" borderId="39" xfId="0" applyNumberFormat="1" applyFont="1" applyBorder="1" applyAlignment="1">
      <alignment horizontal="center" vertical="center" wrapText="1"/>
    </xf>
    <xf numFmtId="166" fontId="9" fillId="0" borderId="49" xfId="0" applyNumberFormat="1" applyFont="1" applyBorder="1" applyAlignment="1">
      <alignment horizontal="center" vertical="center" wrapText="1"/>
    </xf>
    <xf numFmtId="166" fontId="9" fillId="0" borderId="50" xfId="0" applyNumberFormat="1" applyFont="1" applyBorder="1" applyAlignment="1">
      <alignment horizontal="center"/>
    </xf>
    <xf numFmtId="166" fontId="9" fillId="0" borderId="39" xfId="0" applyNumberFormat="1" applyFont="1" applyBorder="1" applyAlignment="1">
      <alignment horizontal="center" vertical="center"/>
    </xf>
    <xf numFmtId="170" fontId="12" fillId="0" borderId="0" xfId="0" applyNumberFormat="1" applyFont="1"/>
    <xf numFmtId="0" fontId="9" fillId="0" borderId="51" xfId="0" applyFont="1" applyBorder="1" applyAlignment="1">
      <alignment horizontal="center" vertical="center" wrapText="1"/>
    </xf>
    <xf numFmtId="166" fontId="9" fillId="0" borderId="27" xfId="0" applyNumberFormat="1" applyFont="1" applyBorder="1" applyAlignment="1">
      <alignment horizontal="center" vertical="center" wrapText="1"/>
    </xf>
    <xf numFmtId="166" fontId="9" fillId="0" borderId="3" xfId="0" applyNumberFormat="1" applyFont="1" applyBorder="1" applyAlignment="1">
      <alignment horizontal="center" vertical="center" wrapText="1"/>
    </xf>
    <xf numFmtId="166" fontId="9" fillId="0" borderId="4" xfId="0" applyNumberFormat="1" applyFont="1" applyBorder="1" applyAlignment="1">
      <alignment horizontal="center"/>
    </xf>
    <xf numFmtId="166" fontId="9" fillId="0" borderId="27" xfId="0" applyNumberFormat="1" applyFont="1" applyBorder="1" applyAlignment="1">
      <alignment horizontal="center" vertical="center"/>
    </xf>
    <xf numFmtId="0" fontId="9" fillId="0" borderId="51" xfId="0" applyFont="1" applyBorder="1" applyAlignment="1">
      <alignment horizontal="center"/>
    </xf>
    <xf numFmtId="166" fontId="9" fillId="0" borderId="1" xfId="0" applyNumberFormat="1" applyFont="1" applyBorder="1" applyAlignment="1">
      <alignment horizontal="center"/>
    </xf>
    <xf numFmtId="6" fontId="0" fillId="0" borderId="0" xfId="0" applyNumberFormat="1"/>
    <xf numFmtId="0" fontId="9" fillId="0" borderId="52" xfId="0" applyFont="1" applyBorder="1" applyAlignment="1">
      <alignment horizontal="center"/>
    </xf>
    <xf numFmtId="166" fontId="9" fillId="0" borderId="46" xfId="0" applyNumberFormat="1" applyFont="1" applyBorder="1" applyAlignment="1">
      <alignment horizontal="center"/>
    </xf>
    <xf numFmtId="166" fontId="9" fillId="0" borderId="30" xfId="0" applyNumberFormat="1" applyFont="1" applyBorder="1" applyAlignment="1">
      <alignment horizontal="center"/>
    </xf>
    <xf numFmtId="166" fontId="9" fillId="0" borderId="31" xfId="0" applyNumberFormat="1" applyFont="1" applyBorder="1" applyAlignment="1">
      <alignment horizontal="center" vertical="center" wrapText="1"/>
    </xf>
    <xf numFmtId="166" fontId="9" fillId="0" borderId="43" xfId="0" applyNumberFormat="1" applyFont="1" applyBorder="1" applyAlignment="1">
      <alignment horizontal="center" vertical="center" wrapText="1"/>
    </xf>
    <xf numFmtId="166" fontId="9" fillId="0" borderId="31" xfId="0" applyNumberFormat="1" applyFont="1" applyBorder="1" applyAlignment="1">
      <alignment horizontal="center" vertical="center"/>
    </xf>
    <xf numFmtId="166" fontId="13" fillId="0" borderId="0" xfId="0" applyNumberFormat="1" applyFont="1" applyAlignment="1">
      <alignment horizontal="center"/>
    </xf>
    <xf numFmtId="166" fontId="14" fillId="0" borderId="0" xfId="0" applyNumberFormat="1" applyFont="1" applyAlignment="1">
      <alignment horizontal="center"/>
    </xf>
    <xf numFmtId="171" fontId="9" fillId="0" borderId="0" xfId="4" applyNumberFormat="1" applyFont="1" applyBorder="1" applyAlignment="1">
      <alignment horizontal="center"/>
    </xf>
    <xf numFmtId="0" fontId="15" fillId="0" borderId="0" xfId="0" applyFont="1"/>
    <xf numFmtId="1" fontId="9" fillId="0" borderId="0" xfId="0" applyNumberFormat="1" applyFont="1" applyAlignment="1">
      <alignment horizontal="center"/>
    </xf>
    <xf numFmtId="166" fontId="8" fillId="0" borderId="5" xfId="0" applyNumberFormat="1" applyFont="1" applyBorder="1"/>
    <xf numFmtId="166" fontId="8" fillId="0" borderId="0" xfId="0" applyNumberFormat="1" applyFont="1"/>
    <xf numFmtId="0" fontId="9" fillId="0" borderId="53" xfId="0" applyFont="1" applyBorder="1" applyAlignment="1">
      <alignment horizontal="center" vertical="center"/>
    </xf>
    <xf numFmtId="0" fontId="3" fillId="0" borderId="0" xfId="0" applyFont="1" applyAlignment="1">
      <alignment horizontal="right"/>
    </xf>
    <xf numFmtId="166" fontId="16" fillId="0" borderId="0" xfId="0" applyNumberFormat="1" applyFont="1" applyAlignment="1">
      <alignment horizontal="center"/>
    </xf>
    <xf numFmtId="166" fontId="0" fillId="0" borderId="0" xfId="0" applyNumberFormat="1" applyAlignment="1">
      <alignment horizontal="center"/>
    </xf>
    <xf numFmtId="0" fontId="11" fillId="0" borderId="0" xfId="0" applyFont="1" applyAlignment="1">
      <alignment horizontal="center"/>
    </xf>
    <xf numFmtId="0" fontId="0" fillId="0" borderId="10" xfId="0" applyBorder="1"/>
    <xf numFmtId="9" fontId="3" fillId="4" borderId="9" xfId="0" applyNumberFormat="1" applyFont="1" applyFill="1" applyBorder="1" applyAlignment="1">
      <alignment horizontal="center"/>
    </xf>
    <xf numFmtId="9" fontId="3" fillId="0" borderId="0" xfId="0" applyNumberFormat="1" applyFont="1" applyAlignment="1">
      <alignment horizontal="center"/>
    </xf>
    <xf numFmtId="0" fontId="3" fillId="4" borderId="47" xfId="0" applyFont="1" applyFill="1" applyBorder="1"/>
    <xf numFmtId="166" fontId="0" fillId="0" borderId="39" xfId="0" applyNumberFormat="1" applyBorder="1" applyAlignment="1">
      <alignment horizontal="center"/>
    </xf>
    <xf numFmtId="0" fontId="3" fillId="4" borderId="54" xfId="0" applyFont="1" applyFill="1" applyBorder="1"/>
    <xf numFmtId="166" fontId="0" fillId="0" borderId="55" xfId="0" applyNumberFormat="1" applyBorder="1" applyAlignment="1">
      <alignment horizontal="center"/>
    </xf>
    <xf numFmtId="0" fontId="3" fillId="4" borderId="56" xfId="0" applyFont="1" applyFill="1" applyBorder="1"/>
    <xf numFmtId="2" fontId="3" fillId="0" borderId="57" xfId="0" applyNumberFormat="1" applyFont="1" applyBorder="1" applyAlignment="1">
      <alignment horizontal="center"/>
    </xf>
    <xf numFmtId="0" fontId="3" fillId="4" borderId="29" xfId="0" applyFont="1" applyFill="1" applyBorder="1"/>
    <xf numFmtId="166" fontId="0" fillId="0" borderId="31" xfId="0" applyNumberFormat="1" applyBorder="1" applyAlignment="1">
      <alignment horizontal="center"/>
    </xf>
    <xf numFmtId="164" fontId="3" fillId="0" borderId="0" xfId="1" applyNumberFormat="1" applyFont="1"/>
    <xf numFmtId="0" fontId="0" fillId="0" borderId="7" xfId="0" applyBorder="1"/>
    <xf numFmtId="9" fontId="3" fillId="4" borderId="12" xfId="0" applyNumberFormat="1" applyFont="1" applyFill="1" applyBorder="1" applyAlignment="1">
      <alignment horizontal="center"/>
    </xf>
    <xf numFmtId="0" fontId="3" fillId="4" borderId="38" xfId="0" applyFont="1" applyFill="1" applyBorder="1"/>
    <xf numFmtId="166" fontId="0" fillId="0" borderId="19" xfId="0" applyNumberFormat="1" applyBorder="1" applyAlignment="1">
      <alignment horizontal="center"/>
    </xf>
    <xf numFmtId="166" fontId="0" fillId="0" borderId="0" xfId="0" applyNumberFormat="1"/>
    <xf numFmtId="0" fontId="3" fillId="4" borderId="58" xfId="0" applyFont="1" applyFill="1" applyBorder="1"/>
    <xf numFmtId="0" fontId="3" fillId="4" borderId="59" xfId="0" applyFont="1" applyFill="1" applyBorder="1"/>
    <xf numFmtId="172" fontId="0" fillId="0" borderId="19" xfId="0" applyNumberFormat="1" applyBorder="1" applyAlignment="1">
      <alignment horizontal="left"/>
    </xf>
    <xf numFmtId="172" fontId="0" fillId="0" borderId="55" xfId="0" applyNumberFormat="1" applyBorder="1" applyAlignment="1">
      <alignment horizontal="left"/>
    </xf>
    <xf numFmtId="168" fontId="3" fillId="0" borderId="57" xfId="0" applyNumberFormat="1" applyFont="1" applyBorder="1" applyAlignment="1">
      <alignment horizontal="left"/>
    </xf>
    <xf numFmtId="172" fontId="0" fillId="0" borderId="31" xfId="0" applyNumberFormat="1" applyBorder="1" applyAlignment="1">
      <alignment horizontal="left"/>
    </xf>
    <xf numFmtId="0" fontId="17" fillId="0" borderId="0" xfId="0" applyFont="1"/>
    <xf numFmtId="0" fontId="18" fillId="0" borderId="0" xfId="0" applyFont="1"/>
    <xf numFmtId="0" fontId="18" fillId="0" borderId="4" xfId="0" applyFont="1" applyBorder="1" applyAlignment="1">
      <alignment horizontal="center"/>
    </xf>
    <xf numFmtId="0" fontId="20" fillId="0" borderId="0" xfId="0" applyFont="1" applyAlignment="1">
      <alignment horizontal="center"/>
    </xf>
    <xf numFmtId="0" fontId="4" fillId="0" borderId="4" xfId="0" applyFont="1" applyBorder="1" applyAlignment="1">
      <alignment vertical="center"/>
    </xf>
    <xf numFmtId="0" fontId="17" fillId="0" borderId="4" xfId="0" applyFont="1" applyBorder="1" applyAlignment="1">
      <alignment horizontal="center"/>
    </xf>
    <xf numFmtId="166" fontId="17" fillId="0" borderId="19" xfId="0" applyNumberFormat="1" applyFont="1" applyBorder="1" applyAlignment="1">
      <alignment horizontal="center" vertical="center" wrapText="1"/>
    </xf>
    <xf numFmtId="170" fontId="22" fillId="0" borderId="0" xfId="0" applyNumberFormat="1" applyFont="1"/>
    <xf numFmtId="0" fontId="22" fillId="0" borderId="0" xfId="0" applyFont="1"/>
    <xf numFmtId="166" fontId="17" fillId="0" borderId="27" xfId="0" applyNumberFormat="1" applyFont="1" applyBorder="1" applyAlignment="1">
      <alignment horizontal="center"/>
    </xf>
    <xf numFmtId="0" fontId="4" fillId="0" borderId="4" xfId="4" applyNumberFormat="1" applyFont="1" applyFill="1" applyBorder="1" applyAlignment="1">
      <alignment horizontal="center"/>
    </xf>
    <xf numFmtId="166" fontId="17" fillId="0" borderId="4" xfId="0" applyNumberFormat="1" applyFont="1" applyBorder="1" applyAlignment="1">
      <alignment horizontal="center"/>
    </xf>
    <xf numFmtId="166" fontId="18" fillId="0" borderId="4" xfId="0" applyNumberFormat="1" applyFont="1" applyBorder="1" applyAlignment="1">
      <alignment horizontal="center"/>
    </xf>
    <xf numFmtId="166" fontId="5" fillId="0" borderId="4" xfId="4" applyNumberFormat="1" applyFont="1" applyFill="1" applyBorder="1" applyAlignment="1">
      <alignment horizontal="center"/>
    </xf>
    <xf numFmtId="2" fontId="4" fillId="0" borderId="4" xfId="0" applyNumberFormat="1" applyFont="1" applyBorder="1" applyAlignment="1">
      <alignment horizontal="center"/>
    </xf>
    <xf numFmtId="166" fontId="4" fillId="0" borderId="4" xfId="4" applyNumberFormat="1" applyFont="1" applyFill="1" applyBorder="1" applyAlignment="1">
      <alignment horizontal="center" vertical="center"/>
    </xf>
    <xf numFmtId="166" fontId="17" fillId="0" borderId="4" xfId="0" applyNumberFormat="1" applyFont="1" applyBorder="1" applyAlignment="1">
      <alignment horizontal="center" vertical="center" wrapText="1"/>
    </xf>
    <xf numFmtId="166" fontId="17" fillId="0" borderId="0" xfId="0" applyNumberFormat="1" applyFont="1"/>
    <xf numFmtId="0" fontId="17" fillId="0" borderId="0" xfId="0" applyFont="1" applyAlignment="1">
      <alignment horizontal="left" vertical="top" wrapText="1"/>
    </xf>
    <xf numFmtId="0" fontId="3" fillId="0" borderId="64" xfId="0" applyFont="1" applyBorder="1" applyAlignment="1">
      <alignment horizontal="left"/>
    </xf>
    <xf numFmtId="0" fontId="25" fillId="0" borderId="0" xfId="8" applyFill="1"/>
    <xf numFmtId="6" fontId="9" fillId="0" borderId="19" xfId="0" applyNumberFormat="1" applyFont="1" applyBorder="1" applyAlignment="1">
      <alignment horizontal="center"/>
    </xf>
    <xf numFmtId="6" fontId="9" fillId="0" borderId="39" xfId="0" applyNumberFormat="1" applyFont="1" applyBorder="1" applyAlignment="1">
      <alignment horizontal="center"/>
    </xf>
    <xf numFmtId="6" fontId="9" fillId="0" borderId="38" xfId="0" applyNumberFormat="1" applyFont="1" applyBorder="1" applyAlignment="1">
      <alignment horizontal="center"/>
    </xf>
    <xf numFmtId="6" fontId="9" fillId="0" borderId="4" xfId="0" applyNumberFormat="1" applyFont="1" applyBorder="1" applyAlignment="1">
      <alignment horizontal="center"/>
    </xf>
    <xf numFmtId="6" fontId="9" fillId="0" borderId="27" xfId="0" applyNumberFormat="1" applyFont="1" applyBorder="1" applyAlignment="1">
      <alignment horizontal="center"/>
    </xf>
    <xf numFmtId="6" fontId="9" fillId="0" borderId="25" xfId="0" applyNumberFormat="1" applyFont="1" applyBorder="1" applyAlignment="1">
      <alignment horizontal="center"/>
    </xf>
    <xf numFmtId="0" fontId="3" fillId="0" borderId="4" xfId="0" applyFont="1" applyBorder="1" applyAlignment="1">
      <alignment horizontal="center" vertical="center"/>
    </xf>
    <xf numFmtId="0" fontId="0" fillId="5" borderId="4" xfId="0" applyFill="1" applyBorder="1"/>
    <xf numFmtId="174" fontId="0" fillId="5" borderId="4" xfId="0" applyNumberFormat="1" applyFill="1" applyBorder="1" applyAlignment="1">
      <alignment horizontal="center" vertical="center"/>
    </xf>
    <xf numFmtId="0" fontId="0" fillId="5" borderId="4" xfId="0" applyFill="1" applyBorder="1" applyAlignment="1">
      <alignment horizontal="center"/>
    </xf>
    <xf numFmtId="174" fontId="0" fillId="5" borderId="4" xfId="0" applyNumberFormat="1" applyFill="1" applyBorder="1"/>
    <xf numFmtId="0" fontId="0" fillId="0" borderId="4" xfId="0" applyBorder="1" applyAlignment="1">
      <alignment horizontal="center" vertical="center"/>
    </xf>
    <xf numFmtId="0" fontId="3" fillId="0" borderId="4" xfId="0" applyFont="1" applyBorder="1"/>
    <xf numFmtId="174" fontId="0" fillId="2" borderId="4" xfId="0" applyNumberFormat="1" applyFill="1" applyBorder="1" applyAlignment="1">
      <alignment horizontal="center" vertical="center"/>
    </xf>
    <xf numFmtId="3" fontId="9" fillId="0" borderId="0" xfId="0" applyNumberFormat="1" applyFont="1"/>
    <xf numFmtId="6" fontId="8" fillId="0" borderId="0" xfId="0" applyNumberFormat="1" applyFont="1"/>
    <xf numFmtId="6" fontId="9" fillId="0" borderId="0" xfId="0" applyNumberFormat="1" applyFont="1" applyAlignment="1">
      <alignment horizontal="center"/>
    </xf>
    <xf numFmtId="173" fontId="9" fillId="0" borderId="0" xfId="0" applyNumberFormat="1" applyFont="1"/>
    <xf numFmtId="6" fontId="9" fillId="0" borderId="0" xfId="0" applyNumberFormat="1" applyFont="1" applyAlignment="1">
      <alignment horizontal="right"/>
    </xf>
    <xf numFmtId="0" fontId="0" fillId="0" borderId="66" xfId="0" applyBorder="1"/>
    <xf numFmtId="0" fontId="0" fillId="0" borderId="0" xfId="0" applyAlignment="1">
      <alignment horizontal="left" vertical="top" wrapText="1"/>
    </xf>
    <xf numFmtId="0" fontId="0" fillId="0" borderId="0" xfId="0" applyAlignment="1">
      <alignment vertical="top" wrapText="1"/>
    </xf>
    <xf numFmtId="6" fontId="0" fillId="2" borderId="4" xfId="0" applyNumberFormat="1" applyFill="1" applyBorder="1" applyAlignment="1">
      <alignment horizontal="right"/>
    </xf>
    <xf numFmtId="0" fontId="3" fillId="0" borderId="0" xfId="0" applyFont="1" applyAlignment="1">
      <alignment horizontal="center" vertical="center" textRotation="90" wrapText="1"/>
    </xf>
    <xf numFmtId="0" fontId="27" fillId="0" borderId="0" xfId="7" applyFont="1"/>
    <xf numFmtId="0" fontId="29" fillId="0" borderId="0" xfId="7" applyFont="1"/>
    <xf numFmtId="166" fontId="9" fillId="0" borderId="48" xfId="0" applyNumberFormat="1" applyFont="1" applyBorder="1" applyAlignment="1">
      <alignment horizontal="center"/>
    </xf>
    <xf numFmtId="175" fontId="9" fillId="0" borderId="26" xfId="0" applyNumberFormat="1" applyFont="1" applyBorder="1" applyAlignment="1">
      <alignment horizontal="center"/>
    </xf>
    <xf numFmtId="175" fontId="9" fillId="0" borderId="4" xfId="0" applyNumberFormat="1" applyFont="1" applyBorder="1" applyAlignment="1">
      <alignment horizontal="center"/>
    </xf>
    <xf numFmtId="175" fontId="9" fillId="0" borderId="27" xfId="0" applyNumberFormat="1" applyFont="1" applyBorder="1" applyAlignment="1">
      <alignment horizontal="center"/>
    </xf>
    <xf numFmtId="0" fontId="8" fillId="2" borderId="40" xfId="0" applyFont="1" applyFill="1" applyBorder="1" applyAlignment="1">
      <alignment horizontal="center" vertical="center" wrapText="1"/>
    </xf>
    <xf numFmtId="0" fontId="9" fillId="0" borderId="4" xfId="0" applyFont="1" applyBorder="1" applyAlignment="1">
      <alignment horizontal="center"/>
    </xf>
    <xf numFmtId="0" fontId="16" fillId="0" borderId="0" xfId="0" applyFont="1"/>
    <xf numFmtId="0" fontId="16" fillId="0" borderId="0" xfId="0" applyFont="1" applyAlignment="1">
      <alignment horizontal="center"/>
    </xf>
    <xf numFmtId="0" fontId="8" fillId="0" borderId="5" xfId="0" applyFont="1" applyBorder="1" applyAlignment="1">
      <alignment horizontal="center"/>
    </xf>
    <xf numFmtId="0" fontId="8" fillId="0" borderId="0" xfId="0" applyFont="1" applyAlignment="1">
      <alignment horizontal="left"/>
    </xf>
    <xf numFmtId="0" fontId="9" fillId="0" borderId="0" xfId="0" applyFont="1" applyAlignment="1">
      <alignment horizontal="right"/>
    </xf>
    <xf numFmtId="0" fontId="9" fillId="0" borderId="0" xfId="0" applyFont="1" applyAlignment="1">
      <alignment horizontal="center" wrapText="1"/>
    </xf>
    <xf numFmtId="2" fontId="0" fillId="0" borderId="0" xfId="0" applyNumberFormat="1"/>
    <xf numFmtId="0" fontId="0" fillId="0" borderId="67" xfId="0" applyBorder="1"/>
    <xf numFmtId="0" fontId="0" fillId="0" borderId="17" xfId="0" applyBorder="1"/>
    <xf numFmtId="166" fontId="0" fillId="0" borderId="27" xfId="0" applyNumberFormat="1" applyBorder="1" applyAlignment="1">
      <alignment horizontal="center"/>
    </xf>
    <xf numFmtId="0" fontId="0" fillId="0" borderId="29" xfId="0" applyBorder="1"/>
    <xf numFmtId="10" fontId="17" fillId="0" borderId="0" xfId="2" applyNumberFormat="1" applyFont="1"/>
    <xf numFmtId="9" fontId="0" fillId="0" borderId="0" xfId="0" applyNumberFormat="1"/>
    <xf numFmtId="0" fontId="18" fillId="0" borderId="0" xfId="0" applyFont="1" applyAlignment="1">
      <alignment horizontal="center"/>
    </xf>
    <xf numFmtId="0" fontId="17" fillId="0" borderId="0" xfId="0" applyFont="1" applyAlignment="1">
      <alignment horizontal="center" vertical="center" wrapText="1"/>
    </xf>
    <xf numFmtId="166" fontId="17" fillId="0" borderId="0" xfId="0" applyNumberFormat="1" applyFont="1" applyAlignment="1">
      <alignment horizontal="center" vertical="center" wrapText="1"/>
    </xf>
    <xf numFmtId="166" fontId="17" fillId="0" borderId="0" xfId="0" applyNumberFormat="1" applyFont="1" applyAlignment="1">
      <alignment horizontal="center"/>
    </xf>
    <xf numFmtId="0" fontId="6" fillId="0" borderId="38" xfId="11" applyFont="1" applyBorder="1"/>
    <xf numFmtId="0" fontId="6" fillId="0" borderId="50" xfId="11" applyFont="1" applyBorder="1"/>
    <xf numFmtId="0" fontId="6" fillId="0" borderId="39" xfId="11" applyFont="1" applyBorder="1"/>
    <xf numFmtId="0" fontId="6" fillId="0" borderId="26" xfId="11" applyFont="1" applyBorder="1"/>
    <xf numFmtId="176" fontId="6" fillId="0" borderId="4" xfId="11" applyNumberFormat="1" applyFont="1" applyBorder="1" applyAlignment="1">
      <alignment horizontal="center"/>
    </xf>
    <xf numFmtId="168" fontId="40" fillId="0" borderId="4" xfId="11" applyNumberFormat="1" applyFont="1" applyBorder="1" applyAlignment="1">
      <alignment horizontal="center"/>
    </xf>
    <xf numFmtId="0" fontId="6" fillId="0" borderId="27" xfId="11" applyFont="1" applyBorder="1"/>
    <xf numFmtId="168" fontId="6" fillId="0" borderId="4" xfId="11" applyNumberFormat="1" applyFont="1" applyBorder="1" applyAlignment="1">
      <alignment horizontal="center"/>
    </xf>
    <xf numFmtId="0" fontId="6" fillId="0" borderId="29" xfId="11" applyFont="1" applyBorder="1"/>
    <xf numFmtId="168" fontId="6" fillId="0" borderId="30" xfId="11" applyNumberFormat="1" applyFont="1" applyBorder="1" applyAlignment="1">
      <alignment horizontal="center"/>
    </xf>
    <xf numFmtId="0" fontId="6" fillId="0" borderId="31" xfId="11" applyFont="1" applyBorder="1"/>
    <xf numFmtId="0" fontId="6" fillId="0" borderId="35" xfId="11" applyFont="1" applyBorder="1"/>
    <xf numFmtId="0" fontId="6" fillId="0" borderId="37" xfId="11" applyFont="1" applyBorder="1"/>
    <xf numFmtId="177" fontId="40" fillId="0" borderId="4" xfId="22" applyNumberFormat="1" applyFont="1" applyBorder="1" applyAlignment="1">
      <alignment horizontal="center"/>
    </xf>
    <xf numFmtId="177" fontId="40" fillId="0" borderId="30" xfId="22" applyNumberFormat="1" applyFont="1" applyBorder="1" applyAlignment="1">
      <alignment horizontal="center"/>
    </xf>
    <xf numFmtId="168" fontId="40" fillId="0" borderId="4" xfId="22" applyNumberFormat="1" applyFont="1" applyBorder="1" applyAlignment="1">
      <alignment horizontal="center"/>
    </xf>
    <xf numFmtId="176" fontId="40" fillId="0" borderId="4" xfId="11" applyNumberFormat="1" applyFont="1" applyBorder="1" applyAlignment="1">
      <alignment horizontal="center"/>
    </xf>
    <xf numFmtId="177" fontId="40" fillId="0" borderId="36" xfId="22" applyNumberFormat="1" applyFont="1" applyBorder="1" applyAlignment="1">
      <alignment horizontal="center"/>
    </xf>
    <xf numFmtId="166" fontId="9" fillId="0" borderId="4" xfId="0" applyNumberFormat="1" applyFont="1" applyBorder="1" applyAlignment="1">
      <alignment horizontal="center" vertical="center" wrapText="1"/>
    </xf>
    <xf numFmtId="0" fontId="9" fillId="0" borderId="17" xfId="0" applyFont="1" applyBorder="1" applyAlignment="1">
      <alignment horizontal="center"/>
    </xf>
    <xf numFmtId="166" fontId="9" fillId="0" borderId="18" xfId="0" applyNumberFormat="1" applyFont="1" applyBorder="1" applyAlignment="1">
      <alignment horizontal="center" vertical="center" wrapText="1"/>
    </xf>
    <xf numFmtId="166" fontId="9" fillId="0" borderId="19" xfId="0" applyNumberFormat="1" applyFont="1" applyBorder="1" applyAlignment="1">
      <alignment horizontal="center" vertical="center"/>
    </xf>
    <xf numFmtId="0" fontId="9" fillId="0" borderId="26" xfId="0" applyFont="1" applyBorder="1" applyAlignment="1">
      <alignment horizontal="center"/>
    </xf>
    <xf numFmtId="0" fontId="9" fillId="0" borderId="29" xfId="0" applyFont="1" applyBorder="1" applyAlignment="1">
      <alignment horizontal="center"/>
    </xf>
    <xf numFmtId="166" fontId="9" fillId="0" borderId="30" xfId="0" applyNumberFormat="1" applyFont="1" applyBorder="1" applyAlignment="1">
      <alignment horizontal="center" vertical="center" wrapText="1"/>
    </xf>
    <xf numFmtId="11" fontId="0" fillId="5" borderId="4" xfId="0" applyNumberFormat="1" applyFill="1" applyBorder="1" applyAlignment="1">
      <alignment horizontal="center" vertical="center"/>
    </xf>
    <xf numFmtId="0" fontId="29" fillId="0" borderId="11" xfId="11" applyFont="1" applyBorder="1" applyAlignment="1">
      <alignment horizontal="left" wrapText="1"/>
    </xf>
    <xf numFmtId="0" fontId="29" fillId="0" borderId="12" xfId="11" applyFont="1" applyBorder="1" applyAlignment="1">
      <alignment horizontal="left" wrapText="1"/>
    </xf>
    <xf numFmtId="0" fontId="29" fillId="0" borderId="10" xfId="11" applyFont="1" applyBorder="1" applyAlignment="1">
      <alignment horizontal="left"/>
    </xf>
    <xf numFmtId="0" fontId="29" fillId="0" borderId="4" xfId="7" applyFont="1" applyBorder="1"/>
    <xf numFmtId="0" fontId="27" fillId="0" borderId="4" xfId="7" applyFont="1" applyBorder="1"/>
    <xf numFmtId="0" fontId="27" fillId="0" borderId="4" xfId="7" applyFont="1" applyBorder="1" applyAlignment="1">
      <alignment horizontal="center"/>
    </xf>
    <xf numFmtId="3" fontId="27" fillId="0" borderId="4" xfId="7" applyNumberFormat="1" applyFont="1" applyBorder="1" applyAlignment="1">
      <alignment horizontal="center"/>
    </xf>
    <xf numFmtId="2" fontId="27" fillId="0" borderId="4" xfId="7" applyNumberFormat="1" applyFont="1" applyBorder="1" applyAlignment="1">
      <alignment horizontal="center"/>
    </xf>
    <xf numFmtId="16" fontId="27" fillId="0" borderId="4" xfId="7" quotePrefix="1" applyNumberFormat="1" applyFont="1" applyBorder="1" applyAlignment="1">
      <alignment horizontal="center"/>
    </xf>
    <xf numFmtId="0" fontId="0" fillId="0" borderId="30" xfId="0" applyBorder="1" applyAlignment="1">
      <alignment horizontal="center"/>
    </xf>
    <xf numFmtId="0" fontId="0" fillId="0" borderId="31" xfId="0" applyBorder="1" applyAlignment="1">
      <alignment horizontal="center"/>
    </xf>
    <xf numFmtId="0" fontId="0" fillId="0" borderId="26" xfId="0" applyBorder="1" applyAlignment="1">
      <alignment horizontal="center"/>
    </xf>
    <xf numFmtId="166" fontId="0" fillId="0" borderId="4" xfId="0" applyNumberFormat="1" applyBorder="1" applyAlignment="1">
      <alignment horizontal="center"/>
    </xf>
    <xf numFmtId="0" fontId="0" fillId="0" borderId="29" xfId="0" applyBorder="1" applyAlignment="1">
      <alignment horizontal="center"/>
    </xf>
    <xf numFmtId="2" fontId="0" fillId="0" borderId="30" xfId="0" applyNumberFormat="1" applyBorder="1" applyAlignment="1">
      <alignment horizontal="center"/>
    </xf>
    <xf numFmtId="166" fontId="0" fillId="0" borderId="30" xfId="0" applyNumberFormat="1" applyBorder="1" applyAlignment="1">
      <alignment horizontal="center"/>
    </xf>
    <xf numFmtId="175" fontId="9" fillId="0" borderId="29" xfId="0" applyNumberFormat="1" applyFont="1" applyBorder="1" applyAlignment="1">
      <alignment horizontal="center"/>
    </xf>
    <xf numFmtId="175" fontId="9" fillId="0" borderId="30" xfId="0" applyNumberFormat="1" applyFont="1" applyBorder="1" applyAlignment="1">
      <alignment horizontal="center"/>
    </xf>
    <xf numFmtId="175" fontId="9" fillId="0" borderId="31" xfId="0" applyNumberFormat="1" applyFont="1" applyBorder="1" applyAlignment="1">
      <alignment horizontal="center"/>
    </xf>
    <xf numFmtId="6" fontId="9" fillId="0" borderId="30" xfId="0" applyNumberFormat="1" applyFont="1" applyBorder="1" applyAlignment="1">
      <alignment horizontal="center"/>
    </xf>
    <xf numFmtId="6" fontId="9" fillId="0" borderId="31" xfId="0" applyNumberFormat="1" applyFont="1" applyBorder="1" applyAlignment="1">
      <alignment horizontal="center"/>
    </xf>
    <xf numFmtId="6" fontId="9" fillId="0" borderId="28" xfId="0" applyNumberFormat="1" applyFont="1" applyBorder="1" applyAlignment="1">
      <alignment horizontal="center"/>
    </xf>
    <xf numFmtId="167" fontId="9" fillId="0" borderId="0" xfId="2" applyNumberFormat="1" applyFont="1"/>
    <xf numFmtId="0" fontId="0" fillId="0" borderId="43" xfId="0" applyBorder="1" applyAlignment="1">
      <alignment horizontal="center"/>
    </xf>
    <xf numFmtId="2" fontId="0" fillId="0" borderId="71" xfId="0" applyNumberFormat="1" applyBorder="1" applyAlignment="1">
      <alignment horizontal="center"/>
    </xf>
    <xf numFmtId="2" fontId="0" fillId="0" borderId="63" xfId="0" applyNumberFormat="1" applyBorder="1" applyAlignment="1">
      <alignment horizontal="center"/>
    </xf>
    <xf numFmtId="2" fontId="0" fillId="0" borderId="65" xfId="0" applyNumberFormat="1" applyBorder="1" applyAlignment="1">
      <alignment horizontal="center"/>
    </xf>
    <xf numFmtId="0" fontId="0" fillId="0" borderId="24" xfId="0" applyBorder="1" applyAlignment="1">
      <alignment horizontal="center"/>
    </xf>
    <xf numFmtId="0" fontId="0" fillId="0" borderId="28" xfId="0" applyBorder="1" applyAlignment="1">
      <alignment horizontal="center"/>
    </xf>
    <xf numFmtId="2" fontId="0" fillId="0" borderId="13" xfId="0" applyNumberFormat="1" applyBorder="1" applyAlignment="1">
      <alignment horizontal="center"/>
    </xf>
    <xf numFmtId="11" fontId="0" fillId="0" borderId="42" xfId="0" applyNumberFormat="1" applyBorder="1" applyAlignment="1">
      <alignment horizontal="center"/>
    </xf>
    <xf numFmtId="11" fontId="0" fillId="0" borderId="18" xfId="0" applyNumberFormat="1" applyBorder="1" applyAlignment="1">
      <alignment horizontal="center"/>
    </xf>
    <xf numFmtId="11" fontId="0" fillId="0" borderId="19" xfId="0" applyNumberFormat="1" applyBorder="1" applyAlignment="1">
      <alignment horizontal="center"/>
    </xf>
    <xf numFmtId="2" fontId="0" fillId="0" borderId="43" xfId="0" applyNumberFormat="1" applyBorder="1" applyAlignment="1">
      <alignment horizontal="center"/>
    </xf>
    <xf numFmtId="2" fontId="0" fillId="0" borderId="31" xfId="0" applyNumberFormat="1" applyBorder="1" applyAlignment="1">
      <alignment horizontal="center"/>
    </xf>
    <xf numFmtId="11" fontId="0" fillId="0" borderId="24" xfId="0" applyNumberFormat="1" applyBorder="1" applyAlignment="1">
      <alignment horizontal="center"/>
    </xf>
    <xf numFmtId="43" fontId="0" fillId="0" borderId="28" xfId="0" applyNumberFormat="1" applyBorder="1" applyAlignment="1">
      <alignment horizontal="center"/>
    </xf>
    <xf numFmtId="1" fontId="34" fillId="0" borderId="31" xfId="1" applyNumberFormat="1" applyFont="1" applyBorder="1" applyAlignment="1">
      <alignment horizontal="center" vertical="top" shrinkToFit="1"/>
    </xf>
    <xf numFmtId="0" fontId="0" fillId="0" borderId="38" xfId="0" applyBorder="1"/>
    <xf numFmtId="1" fontId="34" fillId="0" borderId="39" xfId="1" applyNumberFormat="1" applyFont="1" applyBorder="1" applyAlignment="1">
      <alignment horizontal="center" vertical="top" shrinkToFit="1"/>
    </xf>
    <xf numFmtId="1" fontId="34" fillId="0" borderId="9" xfId="0" applyNumberFormat="1" applyFont="1" applyBorder="1" applyAlignment="1">
      <alignment horizontal="center" vertical="center" shrinkToFit="1"/>
    </xf>
    <xf numFmtId="167" fontId="9" fillId="0" borderId="31" xfId="2" applyNumberFormat="1" applyFont="1" applyBorder="1"/>
    <xf numFmtId="0" fontId="9" fillId="0" borderId="0" xfId="0" applyFont="1" applyAlignment="1">
      <alignment vertical="center"/>
    </xf>
    <xf numFmtId="6" fontId="9" fillId="0" borderId="0" xfId="0" applyNumberFormat="1" applyFont="1"/>
    <xf numFmtId="6" fontId="14" fillId="0" borderId="0" xfId="0" applyNumberFormat="1" applyFont="1" applyAlignment="1">
      <alignment horizontal="center"/>
    </xf>
    <xf numFmtId="0" fontId="9" fillId="0" borderId="0" xfId="0" applyFont="1" applyAlignment="1">
      <alignment horizontal="left"/>
    </xf>
    <xf numFmtId="0" fontId="9" fillId="0" borderId="4" xfId="0" applyFont="1" applyBorder="1" applyAlignment="1">
      <alignment horizontal="left"/>
    </xf>
    <xf numFmtId="165" fontId="9" fillId="0" borderId="4" xfId="0" applyNumberFormat="1" applyFont="1" applyBorder="1" applyAlignment="1">
      <alignment horizontal="center"/>
    </xf>
    <xf numFmtId="0" fontId="9" fillId="0" borderId="17" xfId="0" applyFont="1" applyBorder="1"/>
    <xf numFmtId="0" fontId="9" fillId="0" borderId="18" xfId="0" applyFont="1" applyBorder="1"/>
    <xf numFmtId="0" fontId="9" fillId="0" borderId="19" xfId="0" applyFont="1" applyBorder="1"/>
    <xf numFmtId="165" fontId="9" fillId="0" borderId="4" xfId="4" applyNumberFormat="1" applyFont="1" applyFill="1" applyBorder="1" applyAlignment="1">
      <alignment horizontal="center"/>
    </xf>
    <xf numFmtId="0" fontId="9" fillId="0" borderId="26" xfId="0" applyFont="1" applyBorder="1"/>
    <xf numFmtId="0" fontId="9" fillId="0" borderId="4" xfId="0" applyFont="1" applyBorder="1"/>
    <xf numFmtId="2" fontId="9" fillId="0" borderId="27" xfId="0" applyNumberFormat="1" applyFont="1" applyBorder="1"/>
    <xf numFmtId="1" fontId="9" fillId="0" borderId="0" xfId="0" applyNumberFormat="1" applyFont="1"/>
    <xf numFmtId="165" fontId="9" fillId="0" borderId="0" xfId="4" applyNumberFormat="1" applyFont="1" applyFill="1" applyBorder="1" applyAlignment="1">
      <alignment horizontal="center"/>
    </xf>
    <xf numFmtId="167" fontId="9" fillId="0" borderId="4" xfId="2" applyNumberFormat="1" applyFont="1" applyFill="1" applyBorder="1" applyAlignment="1">
      <alignment horizontal="center"/>
    </xf>
    <xf numFmtId="2" fontId="9" fillId="0" borderId="31" xfId="0" applyNumberFormat="1" applyFont="1" applyBorder="1"/>
    <xf numFmtId="44" fontId="9" fillId="0" borderId="0" xfId="4" applyFont="1" applyFill="1" applyBorder="1"/>
    <xf numFmtId="0" fontId="45" fillId="0" borderId="0" xfId="0" applyFont="1"/>
    <xf numFmtId="2" fontId="9" fillId="0" borderId="4" xfId="2" applyNumberFormat="1" applyFont="1" applyFill="1" applyBorder="1" applyAlignment="1">
      <alignment horizontal="center"/>
    </xf>
    <xf numFmtId="0" fontId="9" fillId="0" borderId="27" xfId="0" applyFont="1" applyBorder="1"/>
    <xf numFmtId="167" fontId="9" fillId="0" borderId="27" xfId="2" applyNumberFormat="1" applyFont="1" applyBorder="1"/>
    <xf numFmtId="0" fontId="9" fillId="0" borderId="29" xfId="0" applyFont="1" applyBorder="1"/>
    <xf numFmtId="167" fontId="9" fillId="0" borderId="31" xfId="0" applyNumberFormat="1" applyFont="1" applyBorder="1"/>
    <xf numFmtId="165" fontId="9" fillId="0" borderId="27" xfId="0" applyNumberFormat="1" applyFont="1" applyBorder="1"/>
    <xf numFmtId="165" fontId="9" fillId="0" borderId="31" xfId="0" applyNumberFormat="1" applyFont="1" applyBorder="1"/>
    <xf numFmtId="166" fontId="9" fillId="0" borderId="19" xfId="0" applyNumberFormat="1" applyFont="1" applyBorder="1"/>
    <xf numFmtId="166" fontId="9" fillId="0" borderId="31" xfId="0" applyNumberFormat="1" applyFont="1" applyBorder="1"/>
    <xf numFmtId="3" fontId="9" fillId="0" borderId="19" xfId="0" applyNumberFormat="1" applyFont="1" applyBorder="1" applyAlignment="1">
      <alignment horizontal="center"/>
    </xf>
    <xf numFmtId="3" fontId="9" fillId="0" borderId="27" xfId="0" applyNumberFormat="1" applyFont="1" applyBorder="1" applyAlignment="1">
      <alignment horizontal="center"/>
    </xf>
    <xf numFmtId="9" fontId="9" fillId="0" borderId="31" xfId="2" applyFont="1" applyBorder="1" applyAlignment="1">
      <alignment horizontal="center"/>
    </xf>
    <xf numFmtId="0" fontId="9" fillId="0" borderId="31" xfId="0" applyFont="1" applyBorder="1"/>
    <xf numFmtId="0" fontId="9" fillId="0" borderId="47" xfId="0" applyFont="1" applyBorder="1"/>
    <xf numFmtId="166" fontId="9" fillId="0" borderId="38" xfId="0" applyNumberFormat="1" applyFont="1" applyBorder="1" applyAlignment="1">
      <alignment horizontal="center"/>
    </xf>
    <xf numFmtId="166" fontId="9" fillId="0" borderId="39" xfId="0" applyNumberFormat="1" applyFont="1" applyBorder="1" applyAlignment="1">
      <alignment horizontal="center"/>
    </xf>
    <xf numFmtId="166" fontId="9" fillId="0" borderId="38" xfId="10" applyNumberFormat="1" applyFont="1" applyBorder="1" applyAlignment="1">
      <alignment horizontal="center"/>
    </xf>
    <xf numFmtId="166" fontId="9" fillId="0" borderId="39" xfId="10" applyNumberFormat="1" applyFont="1" applyBorder="1" applyAlignment="1">
      <alignment horizontal="center"/>
    </xf>
    <xf numFmtId="166" fontId="9" fillId="0" borderId="49" xfId="0" applyNumberFormat="1" applyFont="1" applyBorder="1" applyAlignment="1">
      <alignment horizontal="center" vertical="center"/>
    </xf>
    <xf numFmtId="165" fontId="9" fillId="0" borderId="0" xfId="0" applyNumberFormat="1" applyFont="1"/>
    <xf numFmtId="0" fontId="9" fillId="0" borderId="51" xfId="0" applyFont="1" applyBorder="1"/>
    <xf numFmtId="166" fontId="9" fillId="0" borderId="26" xfId="0" applyNumberFormat="1" applyFont="1" applyBorder="1" applyAlignment="1">
      <alignment horizontal="center"/>
    </xf>
    <xf numFmtId="166" fontId="9" fillId="0" borderId="27" xfId="0" applyNumberFormat="1" applyFont="1" applyBorder="1" applyAlignment="1">
      <alignment horizontal="center"/>
    </xf>
    <xf numFmtId="166" fontId="9" fillId="0" borderId="26" xfId="10" applyNumberFormat="1" applyFont="1" applyBorder="1" applyAlignment="1">
      <alignment horizontal="center"/>
    </xf>
    <xf numFmtId="166" fontId="9" fillId="0" borderId="27" xfId="10" applyNumberFormat="1" applyFont="1" applyBorder="1" applyAlignment="1">
      <alignment horizontal="center"/>
    </xf>
    <xf numFmtId="166" fontId="9" fillId="0" borderId="3" xfId="0" applyNumberFormat="1" applyFont="1" applyBorder="1" applyAlignment="1">
      <alignment horizontal="center" vertical="center"/>
    </xf>
    <xf numFmtId="0" fontId="9" fillId="0" borderId="52" xfId="0" applyFont="1" applyBorder="1"/>
    <xf numFmtId="166" fontId="9" fillId="0" borderId="29" xfId="0" applyNumberFormat="1" applyFont="1" applyBorder="1" applyAlignment="1">
      <alignment horizontal="center"/>
    </xf>
    <xf numFmtId="166" fontId="9" fillId="0" borderId="31" xfId="0" applyNumberFormat="1" applyFont="1" applyBorder="1" applyAlignment="1">
      <alignment horizontal="center"/>
    </xf>
    <xf numFmtId="166" fontId="9" fillId="0" borderId="29" xfId="10" applyNumberFormat="1" applyFont="1" applyBorder="1" applyAlignment="1">
      <alignment horizontal="center"/>
    </xf>
    <xf numFmtId="166" fontId="9" fillId="0" borderId="31" xfId="10" applyNumberFormat="1" applyFont="1" applyBorder="1" applyAlignment="1">
      <alignment horizontal="center"/>
    </xf>
    <xf numFmtId="166" fontId="9" fillId="0" borderId="43" xfId="0" applyNumberFormat="1" applyFont="1" applyBorder="1" applyAlignment="1">
      <alignment horizontal="center" vertical="center"/>
    </xf>
    <xf numFmtId="8" fontId="9" fillId="0" borderId="4" xfId="0" applyNumberFormat="1" applyFont="1" applyBorder="1"/>
    <xf numFmtId="8" fontId="9" fillId="0" borderId="0" xfId="0" applyNumberFormat="1" applyFont="1"/>
    <xf numFmtId="0" fontId="9" fillId="0" borderId="0" xfId="0" applyFont="1" applyAlignment="1">
      <alignment vertical="center" wrapText="1"/>
    </xf>
    <xf numFmtId="0" fontId="9" fillId="0" borderId="0" xfId="0" applyFont="1" applyAlignment="1">
      <alignment wrapText="1"/>
    </xf>
    <xf numFmtId="0" fontId="9" fillId="0" borderId="0" xfId="0" applyFont="1" applyAlignment="1">
      <alignment vertical="top" wrapText="1"/>
    </xf>
    <xf numFmtId="0" fontId="4" fillId="0" borderId="4" xfId="3" applyNumberFormat="1" applyFont="1" applyFill="1" applyBorder="1" applyAlignment="1">
      <alignment horizontal="center"/>
    </xf>
    <xf numFmtId="0" fontId="9" fillId="0" borderId="27" xfId="0" applyFont="1" applyBorder="1" applyAlignment="1">
      <alignment horizontal="center"/>
    </xf>
    <xf numFmtId="0" fontId="9" fillId="0" borderId="30" xfId="0" applyFont="1" applyBorder="1" applyAlignment="1">
      <alignment horizontal="center"/>
    </xf>
    <xf numFmtId="0" fontId="9" fillId="0" borderId="31" xfId="0" applyFont="1" applyBorder="1" applyAlignment="1">
      <alignment horizontal="center"/>
    </xf>
    <xf numFmtId="1" fontId="30" fillId="0" borderId="32" xfId="0" applyNumberFormat="1" applyFont="1" applyBorder="1" applyAlignment="1">
      <alignment horizontal="center" vertical="top" shrinkToFit="1"/>
    </xf>
    <xf numFmtId="3" fontId="30" fillId="0" borderId="32" xfId="0" applyNumberFormat="1" applyFont="1" applyBorder="1" applyAlignment="1">
      <alignment horizontal="center" vertical="top" shrinkToFit="1"/>
    </xf>
    <xf numFmtId="0" fontId="9" fillId="0" borderId="73" xfId="0" applyFont="1" applyBorder="1" applyAlignment="1">
      <alignment horizontal="left" vertical="center"/>
    </xf>
    <xf numFmtId="1" fontId="30" fillId="0" borderId="74" xfId="0" applyNumberFormat="1" applyFont="1" applyBorder="1" applyAlignment="1">
      <alignment horizontal="center" vertical="top" shrinkToFit="1"/>
    </xf>
    <xf numFmtId="0" fontId="9" fillId="0" borderId="74" xfId="0" applyFont="1" applyBorder="1" applyAlignment="1">
      <alignment horizontal="center" vertical="top"/>
    </xf>
    <xf numFmtId="0" fontId="4" fillId="0" borderId="74" xfId="0" applyFont="1" applyBorder="1" applyAlignment="1">
      <alignment horizontal="center" vertical="top"/>
    </xf>
    <xf numFmtId="0" fontId="9" fillId="0" borderId="75" xfId="0" applyFont="1" applyBorder="1" applyAlignment="1">
      <alignment horizontal="center" vertical="center"/>
    </xf>
    <xf numFmtId="0" fontId="4" fillId="0" borderId="76" xfId="0" applyFont="1" applyBorder="1" applyAlignment="1">
      <alignment horizontal="left" vertical="top"/>
    </xf>
    <xf numFmtId="0" fontId="4" fillId="0" borderId="77" xfId="0" applyFont="1" applyBorder="1" applyAlignment="1">
      <alignment horizontal="center" vertical="top"/>
    </xf>
    <xf numFmtId="0" fontId="9" fillId="0" borderId="76" xfId="0" applyFont="1" applyBorder="1" applyAlignment="1">
      <alignment horizontal="left" vertical="top"/>
    </xf>
    <xf numFmtId="0" fontId="9" fillId="0" borderId="77" xfId="0" applyFont="1" applyBorder="1" applyAlignment="1">
      <alignment horizontal="center" vertical="top"/>
    </xf>
    <xf numFmtId="0" fontId="4" fillId="0" borderId="78" xfId="0" applyFont="1" applyBorder="1" applyAlignment="1">
      <alignment horizontal="left" vertical="top"/>
    </xf>
    <xf numFmtId="3" fontId="30" fillId="0" borderId="79" xfId="0" applyNumberFormat="1" applyFont="1" applyBorder="1" applyAlignment="1">
      <alignment horizontal="center" vertical="top" shrinkToFit="1"/>
    </xf>
    <xf numFmtId="0" fontId="4" fillId="0" borderId="80" xfId="0" applyFont="1" applyBorder="1" applyAlignment="1">
      <alignment horizontal="center" vertical="top"/>
    </xf>
    <xf numFmtId="1" fontId="9" fillId="0" borderId="19" xfId="4" applyNumberFormat="1" applyFont="1" applyFill="1" applyBorder="1" applyAlignment="1">
      <alignment horizontal="center"/>
    </xf>
    <xf numFmtId="0" fontId="9" fillId="0" borderId="0" xfId="0" applyFont="1" applyAlignment="1">
      <alignment horizontal="right" vertical="center"/>
    </xf>
    <xf numFmtId="0" fontId="3" fillId="0" borderId="0" xfId="0" applyFont="1" applyAlignment="1">
      <alignment horizontal="left"/>
    </xf>
    <xf numFmtId="0" fontId="0" fillId="0" borderId="17" xfId="0" applyBorder="1" applyAlignment="1">
      <alignment horizontal="center"/>
    </xf>
    <xf numFmtId="0" fontId="0" fillId="0" borderId="7" xfId="0" applyBorder="1" applyAlignment="1">
      <alignment horizontal="center"/>
    </xf>
    <xf numFmtId="166" fontId="0" fillId="0" borderId="9" xfId="0" applyNumberFormat="1" applyBorder="1" applyAlignment="1">
      <alignment horizontal="center"/>
    </xf>
    <xf numFmtId="3" fontId="9" fillId="0" borderId="26" xfId="0" applyNumberFormat="1" applyFont="1" applyBorder="1" applyAlignment="1">
      <alignment horizontal="center"/>
    </xf>
    <xf numFmtId="3" fontId="9" fillId="0" borderId="29" xfId="0" applyNumberFormat="1" applyFont="1" applyBorder="1" applyAlignment="1">
      <alignment horizontal="center"/>
    </xf>
    <xf numFmtId="6" fontId="9" fillId="0" borderId="26" xfId="0" applyNumberFormat="1" applyFont="1" applyBorder="1" applyAlignment="1">
      <alignment horizontal="center"/>
    </xf>
    <xf numFmtId="6" fontId="9" fillId="0" borderId="29" xfId="0" applyNumberFormat="1" applyFont="1" applyBorder="1" applyAlignment="1">
      <alignment horizontal="center"/>
    </xf>
    <xf numFmtId="168" fontId="9" fillId="0" borderId="26" xfId="0" applyNumberFormat="1" applyFont="1" applyBorder="1" applyAlignment="1">
      <alignment horizontal="center"/>
    </xf>
    <xf numFmtId="168" fontId="9" fillId="0" borderId="29" xfId="0" applyNumberFormat="1" applyFont="1" applyBorder="1" applyAlignment="1">
      <alignment horizontal="center"/>
    </xf>
    <xf numFmtId="168" fontId="9" fillId="0" borderId="38" xfId="0" applyNumberFormat="1" applyFont="1" applyBorder="1" applyAlignment="1">
      <alignment horizontal="center"/>
    </xf>
    <xf numFmtId="6" fontId="9" fillId="0" borderId="50" xfId="0" applyNumberFormat="1" applyFont="1" applyBorder="1" applyAlignment="1">
      <alignment horizontal="center"/>
    </xf>
    <xf numFmtId="3" fontId="9" fillId="0" borderId="38" xfId="1" applyNumberFormat="1" applyFont="1" applyBorder="1" applyAlignment="1">
      <alignment horizontal="center"/>
    </xf>
    <xf numFmtId="175" fontId="9" fillId="0" borderId="38" xfId="0" applyNumberFormat="1" applyFont="1" applyBorder="1" applyAlignment="1">
      <alignment horizontal="center"/>
    </xf>
    <xf numFmtId="175" fontId="9" fillId="0" borderId="50" xfId="0" applyNumberFormat="1" applyFont="1" applyBorder="1" applyAlignment="1">
      <alignment horizontal="center"/>
    </xf>
    <xf numFmtId="175" fontId="9" fillId="0" borderId="39" xfId="0" applyNumberFormat="1" applyFont="1" applyBorder="1" applyAlignment="1">
      <alignment horizontal="center"/>
    </xf>
    <xf numFmtId="6" fontId="9" fillId="0" borderId="81" xfId="0" applyNumberFormat="1" applyFont="1" applyBorder="1" applyAlignment="1">
      <alignment horizontal="center"/>
    </xf>
    <xf numFmtId="0" fontId="17" fillId="0" borderId="17" xfId="0" applyFont="1" applyBorder="1" applyAlignment="1">
      <alignment horizontal="center" vertical="center" wrapText="1"/>
    </xf>
    <xf numFmtId="166" fontId="17" fillId="0" borderId="18" xfId="0" applyNumberFormat="1" applyFont="1" applyBorder="1" applyAlignment="1">
      <alignment horizontal="center" vertical="center"/>
    </xf>
    <xf numFmtId="166" fontId="17" fillId="0" borderId="18" xfId="0" applyNumberFormat="1" applyFont="1" applyBorder="1" applyAlignment="1">
      <alignment horizontal="center" vertical="center" wrapText="1"/>
    </xf>
    <xf numFmtId="0" fontId="17" fillId="0" borderId="26" xfId="0" applyFont="1" applyBorder="1" applyAlignment="1">
      <alignment horizontal="center" vertical="center" wrapText="1"/>
    </xf>
    <xf numFmtId="166" fontId="17" fillId="0" borderId="4" xfId="0" applyNumberFormat="1" applyFont="1" applyBorder="1" applyAlignment="1">
      <alignment horizontal="center" vertical="center"/>
    </xf>
    <xf numFmtId="166" fontId="17" fillId="0" borderId="27" xfId="0" applyNumberFormat="1" applyFont="1" applyBorder="1" applyAlignment="1">
      <alignment horizontal="center" vertical="center" wrapText="1"/>
    </xf>
    <xf numFmtId="0" fontId="9" fillId="0" borderId="18" xfId="0" applyFont="1" applyBorder="1" applyAlignment="1">
      <alignment horizontal="center"/>
    </xf>
    <xf numFmtId="0" fontId="9" fillId="0" borderId="7" xfId="0" applyFont="1" applyBorder="1" applyAlignment="1">
      <alignment horizontal="center"/>
    </xf>
    <xf numFmtId="0" fontId="9" fillId="0" borderId="8" xfId="0" applyFont="1" applyBorder="1" applyAlignment="1">
      <alignment horizontal="center"/>
    </xf>
    <xf numFmtId="6" fontId="9" fillId="0" borderId="9" xfId="0" applyNumberFormat="1" applyFont="1" applyBorder="1" applyAlignment="1">
      <alignment horizontal="center"/>
    </xf>
    <xf numFmtId="1" fontId="0" fillId="0" borderId="4" xfId="0" applyNumberFormat="1" applyBorder="1" applyAlignment="1">
      <alignment horizontal="center"/>
    </xf>
    <xf numFmtId="1" fontId="0" fillId="0" borderId="30" xfId="0" applyNumberFormat="1" applyBorder="1" applyAlignment="1">
      <alignment horizontal="center"/>
    </xf>
    <xf numFmtId="6" fontId="8" fillId="0" borderId="0" xfId="0" applyNumberFormat="1" applyFont="1" applyAlignment="1">
      <alignment horizontal="center"/>
    </xf>
    <xf numFmtId="0" fontId="46" fillId="0" borderId="0" xfId="5" applyFont="1" applyAlignment="1">
      <alignment horizontal="left"/>
    </xf>
    <xf numFmtId="0" fontId="9" fillId="0" borderId="30" xfId="0" applyFont="1" applyBorder="1"/>
    <xf numFmtId="0" fontId="8" fillId="2" borderId="7" xfId="0" applyFont="1" applyFill="1" applyBorder="1" applyAlignment="1">
      <alignment horizontal="left"/>
    </xf>
    <xf numFmtId="0" fontId="8" fillId="2" borderId="9" xfId="0" applyFont="1" applyFill="1" applyBorder="1" applyAlignment="1">
      <alignment horizontal="center"/>
    </xf>
    <xf numFmtId="0" fontId="9" fillId="0" borderId="38" xfId="0" applyFont="1" applyBorder="1" applyAlignment="1">
      <alignment horizontal="left"/>
    </xf>
    <xf numFmtId="166" fontId="9" fillId="0" borderId="39" xfId="1" applyNumberFormat="1" applyFont="1" applyFill="1" applyBorder="1" applyAlignment="1">
      <alignment horizontal="center"/>
    </xf>
    <xf numFmtId="0" fontId="9" fillId="0" borderId="26" xfId="0" applyFont="1" applyBorder="1" applyAlignment="1">
      <alignment horizontal="left"/>
    </xf>
    <xf numFmtId="0" fontId="9" fillId="0" borderId="29" xfId="0" applyFont="1" applyBorder="1" applyAlignment="1">
      <alignment horizontal="left"/>
    </xf>
    <xf numFmtId="6" fontId="17" fillId="0" borderId="4" xfId="0" applyNumberFormat="1" applyFont="1" applyBorder="1" applyAlignment="1">
      <alignment horizontal="center"/>
    </xf>
    <xf numFmtId="169" fontId="18" fillId="0" borderId="0" xfId="0" applyNumberFormat="1" applyFont="1"/>
    <xf numFmtId="0" fontId="8" fillId="0" borderId="4" xfId="0" applyFont="1" applyBorder="1" applyAlignment="1">
      <alignment horizontal="center"/>
    </xf>
    <xf numFmtId="0" fontId="0" fillId="0" borderId="42" xfId="0" applyBorder="1" applyAlignment="1">
      <alignment horizontal="center"/>
    </xf>
    <xf numFmtId="0" fontId="0" fillId="0" borderId="18" xfId="0" applyBorder="1" applyAlignment="1">
      <alignment horizontal="center"/>
    </xf>
    <xf numFmtId="0" fontId="0" fillId="0" borderId="19" xfId="0" applyBorder="1" applyAlignment="1">
      <alignment horizontal="center"/>
    </xf>
    <xf numFmtId="0" fontId="0" fillId="0" borderId="51" xfId="0" applyBorder="1" applyAlignment="1">
      <alignment horizontal="center"/>
    </xf>
    <xf numFmtId="0" fontId="0" fillId="0" borderId="52" xfId="0" applyBorder="1" applyAlignment="1">
      <alignment horizontal="center"/>
    </xf>
    <xf numFmtId="2" fontId="0" fillId="0" borderId="26" xfId="0" applyNumberFormat="1" applyBorder="1" applyAlignment="1">
      <alignment horizontal="center"/>
    </xf>
    <xf numFmtId="2" fontId="0" fillId="0" borderId="27" xfId="0" applyNumberFormat="1" applyBorder="1" applyAlignment="1">
      <alignment horizontal="center"/>
    </xf>
    <xf numFmtId="2" fontId="0" fillId="0" borderId="29" xfId="0" applyNumberFormat="1" applyBorder="1" applyAlignment="1">
      <alignment horizontal="center"/>
    </xf>
    <xf numFmtId="166" fontId="0" fillId="0" borderId="3" xfId="0" applyNumberFormat="1" applyBorder="1" applyAlignment="1">
      <alignment horizontal="center"/>
    </xf>
    <xf numFmtId="166" fontId="0" fillId="0" borderId="43" xfId="0" applyNumberFormat="1" applyBorder="1" applyAlignment="1">
      <alignment horizontal="center"/>
    </xf>
    <xf numFmtId="0" fontId="0" fillId="0" borderId="61" xfId="0" applyBorder="1" applyAlignment="1">
      <alignment horizontal="center"/>
    </xf>
    <xf numFmtId="2" fontId="0" fillId="0" borderId="0" xfId="0" applyNumberFormat="1" applyAlignment="1">
      <alignment vertical="top" wrapText="1"/>
    </xf>
    <xf numFmtId="0" fontId="49" fillId="0" borderId="0" xfId="0" applyFont="1"/>
    <xf numFmtId="0" fontId="0" fillId="0" borderId="3" xfId="0" applyBorder="1" applyAlignment="1">
      <alignment horizontal="center"/>
    </xf>
    <xf numFmtId="0" fontId="0" fillId="0" borderId="27" xfId="0" applyBorder="1" applyAlignment="1">
      <alignment horizontal="center"/>
    </xf>
    <xf numFmtId="1" fontId="0" fillId="0" borderId="26" xfId="0" applyNumberFormat="1" applyBorder="1" applyAlignment="1">
      <alignment horizontal="center"/>
    </xf>
    <xf numFmtId="1" fontId="0" fillId="0" borderId="27" xfId="0" applyNumberFormat="1" applyBorder="1" applyAlignment="1">
      <alignment horizontal="center"/>
    </xf>
    <xf numFmtId="1" fontId="0" fillId="0" borderId="29" xfId="0" applyNumberFormat="1" applyBorder="1" applyAlignment="1">
      <alignment horizontal="center"/>
    </xf>
    <xf numFmtId="1" fontId="0" fillId="0" borderId="31" xfId="0" applyNumberFormat="1" applyBorder="1" applyAlignment="1">
      <alignment horizontal="center"/>
    </xf>
    <xf numFmtId="18" fontId="0" fillId="0" borderId="25" xfId="0" applyNumberFormat="1" applyBorder="1" applyAlignment="1">
      <alignment horizontal="center"/>
    </xf>
    <xf numFmtId="18" fontId="0" fillId="0" borderId="28" xfId="0" applyNumberFormat="1" applyBorder="1" applyAlignment="1">
      <alignment horizontal="center"/>
    </xf>
    <xf numFmtId="0" fontId="0" fillId="0" borderId="90" xfId="0" applyBorder="1" applyAlignment="1">
      <alignment horizontal="center"/>
    </xf>
    <xf numFmtId="0" fontId="3" fillId="0" borderId="2" xfId="0" applyFont="1" applyBorder="1"/>
    <xf numFmtId="49" fontId="0" fillId="0" borderId="2" xfId="0" applyNumberFormat="1" applyBorder="1"/>
    <xf numFmtId="1" fontId="0" fillId="0" borderId="2" xfId="0" applyNumberFormat="1" applyBorder="1" applyAlignment="1">
      <alignment horizontal="right"/>
    </xf>
    <xf numFmtId="165" fontId="0" fillId="0" borderId="91" xfId="0" applyNumberFormat="1" applyBorder="1" applyAlignment="1">
      <alignment horizontal="center"/>
    </xf>
    <xf numFmtId="165" fontId="0" fillId="0" borderId="92" xfId="0" applyNumberFormat="1" applyBorder="1" applyAlignment="1">
      <alignment horizontal="center"/>
    </xf>
    <xf numFmtId="0" fontId="0" fillId="0" borderId="93" xfId="0" applyBorder="1" applyAlignment="1">
      <alignment horizontal="center"/>
    </xf>
    <xf numFmtId="49" fontId="0" fillId="0" borderId="0" xfId="0" applyNumberFormat="1"/>
    <xf numFmtId="1" fontId="0" fillId="0" borderId="0" xfId="0" applyNumberFormat="1" applyAlignment="1">
      <alignment horizontal="right"/>
    </xf>
    <xf numFmtId="165" fontId="0" fillId="0" borderId="94" xfId="0" applyNumberFormat="1" applyBorder="1" applyAlignment="1">
      <alignment horizontal="center"/>
    </xf>
    <xf numFmtId="0" fontId="0" fillId="0" borderId="2" xfId="0" applyBorder="1"/>
    <xf numFmtId="0" fontId="0" fillId="0" borderId="2" xfId="0" applyBorder="1" applyAlignment="1">
      <alignment horizontal="right"/>
    </xf>
    <xf numFmtId="0" fontId="0" fillId="0" borderId="91" xfId="0" applyBorder="1"/>
    <xf numFmtId="0" fontId="0" fillId="0" borderId="92" xfId="0" applyBorder="1" applyAlignment="1">
      <alignment horizontal="center"/>
    </xf>
    <xf numFmtId="165" fontId="0" fillId="9" borderId="92" xfId="0" applyNumberFormat="1" applyFill="1" applyBorder="1" applyAlignment="1">
      <alignment horizontal="center"/>
    </xf>
    <xf numFmtId="0" fontId="0" fillId="0" borderId="94" xfId="0" applyBorder="1" applyAlignment="1">
      <alignment horizontal="center"/>
    </xf>
    <xf numFmtId="165" fontId="50" fillId="0" borderId="92" xfId="0" applyNumberFormat="1" applyFont="1" applyBorder="1" applyAlignment="1">
      <alignment horizontal="center"/>
    </xf>
    <xf numFmtId="166" fontId="0" fillId="0" borderId="94" xfId="0" applyNumberFormat="1" applyBorder="1" applyAlignment="1">
      <alignment horizontal="center"/>
    </xf>
    <xf numFmtId="0" fontId="0" fillId="0" borderId="94" xfId="0" applyBorder="1"/>
    <xf numFmtId="0" fontId="0" fillId="0" borderId="87" xfId="0" applyBorder="1" applyAlignment="1">
      <alignment horizontal="center"/>
    </xf>
    <xf numFmtId="0" fontId="3" fillId="0" borderId="64" xfId="0" applyFont="1" applyBorder="1"/>
    <xf numFmtId="0" fontId="0" fillId="0" borderId="64" xfId="0" applyBorder="1" applyAlignment="1">
      <alignment horizontal="center"/>
    </xf>
    <xf numFmtId="0" fontId="0" fillId="0" borderId="88" xfId="0" applyBorder="1"/>
    <xf numFmtId="165" fontId="3" fillId="9" borderId="92" xfId="0" applyNumberFormat="1" applyFont="1" applyFill="1" applyBorder="1" applyAlignment="1">
      <alignment horizontal="center"/>
    </xf>
    <xf numFmtId="0" fontId="0" fillId="0" borderId="95" xfId="0" applyBorder="1"/>
    <xf numFmtId="165" fontId="0" fillId="0" borderId="94" xfId="0" applyNumberFormat="1" applyBorder="1"/>
    <xf numFmtId="0" fontId="3" fillId="0" borderId="94" xfId="0" applyFont="1" applyBorder="1" applyAlignment="1">
      <alignment horizontal="center"/>
    </xf>
    <xf numFmtId="165" fontId="3" fillId="0" borderId="92" xfId="0" applyNumberFormat="1" applyFont="1" applyBorder="1" applyAlignment="1">
      <alignment horizontal="center"/>
    </xf>
    <xf numFmtId="0" fontId="0" fillId="0" borderId="93" xfId="0" applyBorder="1"/>
    <xf numFmtId="0" fontId="0" fillId="0" borderId="87" xfId="0" applyBorder="1"/>
    <xf numFmtId="0" fontId="0" fillId="0" borderId="64" xfId="0" applyBorder="1"/>
    <xf numFmtId="0" fontId="0" fillId="0" borderId="88" xfId="0" applyBorder="1" applyAlignment="1">
      <alignment horizontal="center"/>
    </xf>
    <xf numFmtId="0" fontId="0" fillId="0" borderId="96" xfId="0" applyBorder="1" applyAlignment="1">
      <alignment horizontal="center"/>
    </xf>
    <xf numFmtId="0" fontId="3" fillId="0" borderId="36" xfId="0" applyFont="1" applyBorder="1"/>
    <xf numFmtId="0" fontId="0" fillId="0" borderId="36" xfId="0" applyBorder="1" applyAlignment="1">
      <alignment horizontal="center"/>
    </xf>
    <xf numFmtId="0" fontId="0" fillId="0" borderId="36" xfId="0" applyBorder="1"/>
    <xf numFmtId="0" fontId="0" fillId="0" borderId="97" xfId="0" applyBorder="1" applyAlignment="1">
      <alignment horizontal="center"/>
    </xf>
    <xf numFmtId="165" fontId="0" fillId="0" borderId="97" xfId="0" applyNumberFormat="1" applyBorder="1" applyAlignment="1">
      <alignment horizontal="center"/>
    </xf>
    <xf numFmtId="0" fontId="0" fillId="0" borderId="98" xfId="0" applyBorder="1" applyAlignment="1">
      <alignment horizontal="center"/>
    </xf>
    <xf numFmtId="0" fontId="0" fillId="0" borderId="99" xfId="0" applyBorder="1" applyAlignment="1">
      <alignment horizontal="center"/>
    </xf>
    <xf numFmtId="165" fontId="3" fillId="3" borderId="102" xfId="0" applyNumberFormat="1" applyFont="1" applyFill="1" applyBorder="1" applyAlignment="1">
      <alignment horizontal="center"/>
    </xf>
    <xf numFmtId="165" fontId="0" fillId="0" borderId="103" xfId="0" applyNumberFormat="1" applyBorder="1" applyAlignment="1">
      <alignment horizontal="center"/>
    </xf>
    <xf numFmtId="0" fontId="5" fillId="2" borderId="1" xfId="0" applyFont="1" applyFill="1" applyBorder="1" applyAlignment="1">
      <alignment horizontal="center"/>
    </xf>
    <xf numFmtId="0" fontId="53" fillId="0" borderId="104" xfId="0" applyFont="1" applyBorder="1" applyAlignment="1">
      <alignment horizontal="center" vertical="center"/>
    </xf>
    <xf numFmtId="0" fontId="17" fillId="0" borderId="104" xfId="0" applyFont="1" applyBorder="1"/>
    <xf numFmtId="167" fontId="17" fillId="0" borderId="104" xfId="2" applyNumberFormat="1" applyFont="1" applyBorder="1" applyAlignment="1">
      <alignment horizontal="center"/>
    </xf>
    <xf numFmtId="0" fontId="9" fillId="0" borderId="19" xfId="0" applyFont="1" applyBorder="1" applyAlignment="1">
      <alignment horizontal="center"/>
    </xf>
    <xf numFmtId="0" fontId="31" fillId="6" borderId="0" xfId="0" applyFont="1" applyFill="1" applyAlignment="1">
      <alignment horizontal="center" vertical="top"/>
    </xf>
    <xf numFmtId="0" fontId="0" fillId="6" borderId="0" xfId="0" applyFill="1" applyAlignment="1">
      <alignment horizontal="left" vertical="top"/>
    </xf>
    <xf numFmtId="1" fontId="34" fillId="0" borderId="0" xfId="0" applyNumberFormat="1" applyFont="1" applyAlignment="1">
      <alignment horizontal="left" vertical="top" shrinkToFit="1"/>
    </xf>
    <xf numFmtId="2" fontId="34" fillId="0" borderId="0" xfId="0" applyNumberFormat="1" applyFont="1" applyAlignment="1">
      <alignment horizontal="right" vertical="top" shrinkToFit="1"/>
    </xf>
    <xf numFmtId="169" fontId="34" fillId="0" borderId="0" xfId="0" applyNumberFormat="1" applyFont="1" applyAlignment="1">
      <alignment horizontal="right" vertical="top" shrinkToFit="1"/>
    </xf>
    <xf numFmtId="0" fontId="35" fillId="0" borderId="0" xfId="0" applyFont="1" applyAlignment="1">
      <alignment horizontal="left" vertical="top"/>
    </xf>
    <xf numFmtId="0" fontId="31" fillId="6" borderId="0" xfId="0" applyFont="1" applyFill="1" applyAlignment="1">
      <alignment horizontal="center" vertical="top" wrapText="1"/>
    </xf>
    <xf numFmtId="0" fontId="0" fillId="6" borderId="0" xfId="0" applyFill="1" applyAlignment="1">
      <alignment horizontal="left" vertical="top" wrapText="1"/>
    </xf>
    <xf numFmtId="1" fontId="34" fillId="0" borderId="0" xfId="0" applyNumberFormat="1" applyFont="1" applyAlignment="1">
      <alignment horizontal="left" vertical="top" wrapText="1" shrinkToFit="1"/>
    </xf>
    <xf numFmtId="2" fontId="34" fillId="0" borderId="0" xfId="0" applyNumberFormat="1" applyFont="1" applyAlignment="1">
      <alignment horizontal="right" vertical="top" wrapText="1" shrinkToFit="1"/>
    </xf>
    <xf numFmtId="169" fontId="34" fillId="0" borderId="0" xfId="0" applyNumberFormat="1" applyFont="1" applyAlignment="1">
      <alignment horizontal="right" vertical="top" wrapText="1" shrinkToFit="1"/>
    </xf>
    <xf numFmtId="0" fontId="35" fillId="0" borderId="0" xfId="0" applyFont="1" applyAlignment="1">
      <alignment horizontal="left" vertical="top" wrapText="1"/>
    </xf>
    <xf numFmtId="2" fontId="34" fillId="0" borderId="4" xfId="0" applyNumberFormat="1" applyFont="1" applyBorder="1" applyAlignment="1">
      <alignment horizontal="right" vertical="top" shrinkToFit="1"/>
    </xf>
    <xf numFmtId="169" fontId="34" fillId="0" borderId="4" xfId="0" applyNumberFormat="1" applyFont="1" applyBorder="1" applyAlignment="1">
      <alignment horizontal="right" vertical="top" shrinkToFit="1"/>
    </xf>
    <xf numFmtId="0" fontId="31" fillId="6" borderId="17" xfId="0" applyFont="1" applyFill="1" applyBorder="1" applyAlignment="1">
      <alignment horizontal="center" vertical="top"/>
    </xf>
    <xf numFmtId="0" fontId="0" fillId="6" borderId="18" xfId="0" applyFill="1" applyBorder="1" applyAlignment="1">
      <alignment horizontal="left" vertical="top"/>
    </xf>
    <xf numFmtId="0" fontId="0" fillId="6" borderId="19" xfId="0" applyFill="1" applyBorder="1" applyAlignment="1">
      <alignment horizontal="left" vertical="top"/>
    </xf>
    <xf numFmtId="1" fontId="34" fillId="0" borderId="26" xfId="0" applyNumberFormat="1" applyFont="1" applyBorder="1" applyAlignment="1">
      <alignment horizontal="left" vertical="top" shrinkToFit="1"/>
    </xf>
    <xf numFmtId="169" fontId="34" fillId="0" borderId="27" xfId="0" applyNumberFormat="1" applyFont="1" applyBorder="1" applyAlignment="1">
      <alignment horizontal="right" vertical="top" shrinkToFit="1"/>
    </xf>
    <xf numFmtId="2" fontId="34" fillId="0" borderId="27" xfId="0" applyNumberFormat="1" applyFont="1" applyBorder="1" applyAlignment="1">
      <alignment horizontal="right" vertical="top" shrinkToFit="1"/>
    </xf>
    <xf numFmtId="0" fontId="35" fillId="0" borderId="26" xfId="0" applyFont="1" applyBorder="1" applyAlignment="1">
      <alignment horizontal="left" vertical="top"/>
    </xf>
    <xf numFmtId="0" fontId="35" fillId="0" borderId="29" xfId="0" applyFont="1" applyBorder="1" applyAlignment="1">
      <alignment horizontal="left" vertical="top"/>
    </xf>
    <xf numFmtId="2" fontId="34" fillId="0" borderId="30" xfId="0" applyNumberFormat="1" applyFont="1" applyBorder="1" applyAlignment="1">
      <alignment horizontal="right" vertical="top" shrinkToFit="1"/>
    </xf>
    <xf numFmtId="169" fontId="34" fillId="0" borderId="30" xfId="0" applyNumberFormat="1" applyFont="1" applyBorder="1" applyAlignment="1">
      <alignment horizontal="right" vertical="top" shrinkToFit="1"/>
    </xf>
    <xf numFmtId="169" fontId="34" fillId="0" borderId="31" xfId="0" applyNumberFormat="1" applyFont="1" applyBorder="1" applyAlignment="1">
      <alignment horizontal="right" vertical="top" shrinkToFit="1"/>
    </xf>
    <xf numFmtId="0" fontId="31" fillId="6" borderId="17" xfId="0" applyFont="1" applyFill="1" applyBorder="1" applyAlignment="1">
      <alignment horizontal="center" vertical="center"/>
    </xf>
    <xf numFmtId="0" fontId="0" fillId="6" borderId="18" xfId="0" applyFill="1" applyBorder="1" applyAlignment="1">
      <alignment horizontal="left" vertical="center"/>
    </xf>
    <xf numFmtId="0" fontId="0" fillId="6" borderId="18" xfId="0" applyFill="1" applyBorder="1" applyAlignment="1">
      <alignment horizontal="right" vertical="center"/>
    </xf>
    <xf numFmtId="3" fontId="0" fillId="0" borderId="4" xfId="0" applyNumberFormat="1" applyBorder="1" applyAlignment="1">
      <alignment horizontal="center"/>
    </xf>
    <xf numFmtId="173" fontId="0" fillId="0" borderId="4" xfId="0" applyNumberFormat="1" applyBorder="1" applyAlignment="1">
      <alignment horizontal="center"/>
    </xf>
    <xf numFmtId="176" fontId="0" fillId="0" borderId="4" xfId="0" applyNumberFormat="1" applyBorder="1" applyAlignment="1">
      <alignment horizontal="center"/>
    </xf>
    <xf numFmtId="168" fontId="0" fillId="0" borderId="29" xfId="0" applyNumberFormat="1" applyBorder="1" applyAlignment="1">
      <alignment horizontal="center"/>
    </xf>
    <xf numFmtId="168" fontId="0" fillId="0" borderId="30" xfId="0" applyNumberFormat="1" applyBorder="1" applyAlignment="1">
      <alignment horizontal="center"/>
    </xf>
    <xf numFmtId="168" fontId="0" fillId="0" borderId="31" xfId="0" applyNumberFormat="1" applyBorder="1" applyAlignment="1">
      <alignment horizontal="center"/>
    </xf>
    <xf numFmtId="166" fontId="0" fillId="0" borderId="29" xfId="0" applyNumberFormat="1" applyBorder="1" applyAlignment="1">
      <alignment horizontal="center"/>
    </xf>
    <xf numFmtId="9" fontId="0" fillId="0" borderId="19" xfId="0" applyNumberFormat="1" applyBorder="1" applyAlignment="1">
      <alignment horizontal="center"/>
    </xf>
    <xf numFmtId="0" fontId="0" fillId="0" borderId="26" xfId="0" applyBorder="1"/>
    <xf numFmtId="0" fontId="0" fillId="0" borderId="18" xfId="0" applyBorder="1" applyAlignment="1">
      <alignment horizontal="center" vertical="center"/>
    </xf>
    <xf numFmtId="3" fontId="0" fillId="0" borderId="27" xfId="0" applyNumberFormat="1" applyBorder="1" applyAlignment="1">
      <alignment horizontal="center"/>
    </xf>
    <xf numFmtId="168" fontId="0" fillId="0" borderId="4" xfId="0" applyNumberFormat="1" applyBorder="1" applyAlignment="1">
      <alignment horizontal="center"/>
    </xf>
    <xf numFmtId="168" fontId="0" fillId="0" borderId="27" xfId="0" applyNumberFormat="1" applyBorder="1" applyAlignment="1">
      <alignment horizontal="center"/>
    </xf>
    <xf numFmtId="166" fontId="9" fillId="0" borderId="64" xfId="0" applyNumberFormat="1" applyFont="1" applyBorder="1" applyAlignment="1">
      <alignment horizontal="center" vertical="center" wrapText="1"/>
    </xf>
    <xf numFmtId="166" fontId="9" fillId="0" borderId="2" xfId="0" applyNumberFormat="1" applyFont="1" applyBorder="1" applyAlignment="1">
      <alignment horizontal="center" vertical="center" wrapText="1"/>
    </xf>
    <xf numFmtId="166" fontId="9" fillId="0" borderId="70" xfId="0" applyNumberFormat="1" applyFont="1" applyBorder="1" applyAlignment="1">
      <alignment horizontal="center" vertical="center" wrapText="1"/>
    </xf>
    <xf numFmtId="0" fontId="9" fillId="0" borderId="24" xfId="0" applyFont="1" applyBorder="1" applyAlignment="1">
      <alignment horizontal="center" vertical="center" wrapText="1"/>
    </xf>
    <xf numFmtId="2" fontId="0" fillId="0" borderId="25" xfId="0" applyNumberFormat="1" applyBorder="1" applyAlignment="1">
      <alignment horizontal="center"/>
    </xf>
    <xf numFmtId="2" fontId="0" fillId="0" borderId="28" xfId="0" applyNumberFormat="1" applyBorder="1" applyAlignment="1">
      <alignment horizontal="center"/>
    </xf>
    <xf numFmtId="2" fontId="0" fillId="0" borderId="81" xfId="0" applyNumberFormat="1" applyBorder="1" applyAlignment="1">
      <alignment horizontal="center"/>
    </xf>
    <xf numFmtId="18" fontId="0" fillId="0" borderId="81" xfId="0" applyNumberFormat="1" applyBorder="1" applyAlignment="1">
      <alignment horizontal="center"/>
    </xf>
    <xf numFmtId="1" fontId="55" fillId="10" borderId="108" xfId="42" applyNumberFormat="1" applyBorder="1" applyAlignment="1">
      <alignment horizontal="center"/>
    </xf>
    <xf numFmtId="0" fontId="0" fillId="0" borderId="29" xfId="0" applyBorder="1" applyAlignment="1">
      <alignment horizontal="center" wrapText="1"/>
    </xf>
    <xf numFmtId="0" fontId="0" fillId="0" borderId="30" xfId="0" applyBorder="1" applyAlignment="1">
      <alignment horizontal="center" wrapText="1"/>
    </xf>
    <xf numFmtId="1" fontId="36" fillId="8" borderId="33" xfId="0" applyNumberFormat="1" applyFont="1" applyFill="1" applyBorder="1" applyAlignment="1">
      <alignment horizontal="center" vertical="top" shrinkToFit="1"/>
    </xf>
    <xf numFmtId="1" fontId="36" fillId="0" borderId="33" xfId="0" applyNumberFormat="1" applyFont="1" applyBorder="1" applyAlignment="1">
      <alignment horizontal="center" vertical="top" shrinkToFit="1"/>
    </xf>
    <xf numFmtId="1" fontId="36" fillId="8" borderId="34" xfId="0" applyNumberFormat="1" applyFont="1" applyFill="1" applyBorder="1" applyAlignment="1">
      <alignment horizontal="center" vertical="top" shrinkToFit="1"/>
    </xf>
    <xf numFmtId="0" fontId="0" fillId="0" borderId="36" xfId="0" applyBorder="1" applyAlignment="1">
      <alignment horizontal="center" wrapText="1"/>
    </xf>
    <xf numFmtId="0" fontId="5" fillId="7" borderId="69" xfId="0" applyFont="1" applyFill="1" applyBorder="1" applyAlignment="1">
      <alignment horizontal="left" vertical="top" wrapText="1"/>
    </xf>
    <xf numFmtId="0" fontId="4" fillId="0" borderId="44" xfId="0" applyFont="1" applyBorder="1" applyAlignment="1">
      <alignment horizontal="left" vertical="top" wrapText="1"/>
    </xf>
    <xf numFmtId="1" fontId="36" fillId="0" borderId="111" xfId="0" applyNumberFormat="1" applyFont="1" applyBorder="1" applyAlignment="1">
      <alignment horizontal="center" vertical="top" shrinkToFit="1"/>
    </xf>
    <xf numFmtId="168" fontId="0" fillId="0" borderId="18" xfId="0" applyNumberFormat="1" applyBorder="1" applyAlignment="1">
      <alignment horizontal="center"/>
    </xf>
    <xf numFmtId="0" fontId="4" fillId="8" borderId="53" xfId="0" applyFont="1" applyFill="1" applyBorder="1" applyAlignment="1">
      <alignment horizontal="left" vertical="top" wrapText="1"/>
    </xf>
    <xf numFmtId="0" fontId="4" fillId="0" borderId="53" xfId="0" applyFont="1" applyBorder="1" applyAlignment="1">
      <alignment horizontal="left" vertical="top" wrapText="1"/>
    </xf>
    <xf numFmtId="0" fontId="4" fillId="8" borderId="45" xfId="0" applyFont="1" applyFill="1" applyBorder="1" applyAlignment="1">
      <alignment horizontal="left" vertical="top" wrapText="1"/>
    </xf>
    <xf numFmtId="1" fontId="36" fillId="8" borderId="112" xfId="0" applyNumberFormat="1" applyFont="1" applyFill="1" applyBorder="1" applyAlignment="1">
      <alignment horizontal="center" vertical="top" shrinkToFit="1"/>
    </xf>
    <xf numFmtId="0" fontId="4" fillId="8" borderId="113" xfId="0" applyFont="1" applyFill="1" applyBorder="1" applyAlignment="1">
      <alignment horizontal="left" vertical="top" wrapText="1"/>
    </xf>
    <xf numFmtId="0" fontId="5" fillId="7" borderId="114" xfId="0" applyFont="1" applyFill="1" applyBorder="1" applyAlignment="1">
      <alignment horizontal="left" vertical="top" wrapText="1"/>
    </xf>
    <xf numFmtId="3" fontId="36" fillId="7" borderId="115" xfId="0" applyNumberFormat="1" applyFont="1" applyFill="1" applyBorder="1" applyAlignment="1">
      <alignment horizontal="center" vertical="top" shrinkToFit="1"/>
    </xf>
    <xf numFmtId="168" fontId="0" fillId="0" borderId="19" xfId="0" applyNumberFormat="1" applyBorder="1" applyAlignment="1">
      <alignment horizontal="center"/>
    </xf>
    <xf numFmtId="168" fontId="0" fillId="0" borderId="17" xfId="0" applyNumberFormat="1" applyBorder="1" applyAlignment="1">
      <alignment horizontal="center"/>
    </xf>
    <xf numFmtId="168" fontId="0" fillId="0" borderId="26" xfId="0" applyNumberFormat="1" applyBorder="1" applyAlignment="1">
      <alignment horizontal="center"/>
    </xf>
    <xf numFmtId="0" fontId="0" fillId="0" borderId="111" xfId="0" applyBorder="1"/>
    <xf numFmtId="2" fontId="0" fillId="0" borderId="26" xfId="0" applyNumberFormat="1" applyBorder="1"/>
    <xf numFmtId="2" fontId="0" fillId="0" borderId="29" xfId="0" applyNumberFormat="1" applyBorder="1"/>
    <xf numFmtId="2" fontId="3" fillId="0" borderId="0" xfId="0" applyNumberFormat="1" applyFont="1"/>
    <xf numFmtId="166" fontId="9" fillId="0" borderId="0" xfId="0" applyNumberFormat="1" applyFont="1"/>
    <xf numFmtId="2" fontId="0" fillId="0" borderId="18" xfId="0" applyNumberFormat="1" applyBorder="1" applyAlignment="1">
      <alignment horizontal="center"/>
    </xf>
    <xf numFmtId="1" fontId="0" fillId="0" borderId="18" xfId="0" applyNumberFormat="1" applyBorder="1" applyAlignment="1">
      <alignment horizontal="center"/>
    </xf>
    <xf numFmtId="166" fontId="9" fillId="0" borderId="27" xfId="0" applyNumberFormat="1" applyFont="1" applyBorder="1"/>
    <xf numFmtId="9" fontId="9" fillId="0" borderId="27" xfId="2" applyFont="1" applyBorder="1" applyAlignment="1">
      <alignment horizontal="center"/>
    </xf>
    <xf numFmtId="165" fontId="9" fillId="0" borderId="27" xfId="0" applyNumberFormat="1" applyFont="1" applyBorder="1" applyAlignment="1">
      <alignment horizontal="center"/>
    </xf>
    <xf numFmtId="2" fontId="9" fillId="0" borderId="27" xfId="0" applyNumberFormat="1" applyFont="1" applyBorder="1" applyAlignment="1">
      <alignment horizontal="center"/>
    </xf>
    <xf numFmtId="1" fontId="9" fillId="0" borderId="27" xfId="0" applyNumberFormat="1" applyFont="1" applyBorder="1" applyAlignment="1">
      <alignment horizontal="center"/>
    </xf>
    <xf numFmtId="168" fontId="9" fillId="0" borderId="27" xfId="0" applyNumberFormat="1" applyFont="1" applyBorder="1" applyAlignment="1">
      <alignment horizontal="center"/>
    </xf>
    <xf numFmtId="1" fontId="9" fillId="0" borderId="4" xfId="0" applyNumberFormat="1" applyFont="1" applyBorder="1" applyAlignment="1">
      <alignment horizontal="center"/>
    </xf>
    <xf numFmtId="0" fontId="9" fillId="0" borderId="61" xfId="0" applyFont="1" applyBorder="1"/>
    <xf numFmtId="0" fontId="9" fillId="0" borderId="116" xfId="0" applyFont="1" applyBorder="1"/>
    <xf numFmtId="0" fontId="9" fillId="0" borderId="35" xfId="0" applyFont="1" applyBorder="1" applyAlignment="1">
      <alignment horizontal="center"/>
    </xf>
    <xf numFmtId="0" fontId="9" fillId="0" borderId="37" xfId="0" applyFont="1" applyBorder="1" applyAlignment="1">
      <alignment horizontal="center"/>
    </xf>
    <xf numFmtId="0" fontId="9" fillId="0" borderId="117" xfId="0" applyFont="1" applyBorder="1" applyAlignment="1">
      <alignment horizontal="center"/>
    </xf>
    <xf numFmtId="0" fontId="9" fillId="0" borderId="42" xfId="0" applyFont="1" applyBorder="1" applyAlignment="1">
      <alignment horizontal="center"/>
    </xf>
    <xf numFmtId="0" fontId="9" fillId="0" borderId="3" xfId="0" applyFont="1" applyBorder="1" applyAlignment="1">
      <alignment horizontal="center"/>
    </xf>
    <xf numFmtId="0" fontId="9" fillId="0" borderId="43" xfId="0" applyFont="1" applyBorder="1" applyAlignment="1">
      <alignment horizontal="center"/>
    </xf>
    <xf numFmtId="0" fontId="9" fillId="0" borderId="38" xfId="0" applyFont="1" applyBorder="1" applyAlignment="1">
      <alignment horizontal="center"/>
    </xf>
    <xf numFmtId="0" fontId="9" fillId="0" borderId="39" xfId="0" applyFont="1" applyBorder="1" applyAlignment="1">
      <alignment horizontal="center"/>
    </xf>
    <xf numFmtId="0" fontId="9" fillId="0" borderId="49" xfId="0" applyFont="1" applyBorder="1" applyAlignment="1">
      <alignment horizontal="center"/>
    </xf>
    <xf numFmtId="168" fontId="9" fillId="0" borderId="17" xfId="0" applyNumberFormat="1" applyFont="1" applyBorder="1" applyAlignment="1">
      <alignment horizontal="center"/>
    </xf>
    <xf numFmtId="168" fontId="9" fillId="0" borderId="19" xfId="0" applyNumberFormat="1" applyFont="1" applyBorder="1" applyAlignment="1">
      <alignment horizontal="center"/>
    </xf>
    <xf numFmtId="168" fontId="9" fillId="0" borderId="42" xfId="0" applyNumberFormat="1" applyFont="1" applyBorder="1" applyAlignment="1">
      <alignment horizontal="center"/>
    </xf>
    <xf numFmtId="168" fontId="9" fillId="0" borderId="3" xfId="0" applyNumberFormat="1" applyFont="1" applyBorder="1" applyAlignment="1">
      <alignment horizontal="center"/>
    </xf>
    <xf numFmtId="168" fontId="9" fillId="0" borderId="31" xfId="0" applyNumberFormat="1" applyFont="1" applyBorder="1" applyAlignment="1">
      <alignment horizontal="center"/>
    </xf>
    <xf numFmtId="168" fontId="9" fillId="0" borderId="43" xfId="0" applyNumberFormat="1" applyFont="1" applyBorder="1" applyAlignment="1">
      <alignment horizontal="center"/>
    </xf>
    <xf numFmtId="167" fontId="9" fillId="0" borderId="19" xfId="2" applyNumberFormat="1" applyFont="1" applyBorder="1" applyAlignment="1">
      <alignment horizontal="center"/>
    </xf>
    <xf numFmtId="0" fontId="9" fillId="0" borderId="28" xfId="0" applyFont="1" applyBorder="1" applyAlignment="1">
      <alignment horizontal="center" vertical="center" wrapText="1"/>
    </xf>
    <xf numFmtId="0" fontId="9" fillId="0" borderId="81" xfId="0" applyFont="1" applyBorder="1" applyAlignment="1">
      <alignment horizontal="center"/>
    </xf>
    <xf numFmtId="6" fontId="9" fillId="0" borderId="18" xfId="0" applyNumberFormat="1" applyFont="1" applyBorder="1" applyAlignment="1">
      <alignment horizontal="center"/>
    </xf>
    <xf numFmtId="175" fontId="9" fillId="0" borderId="17" xfId="0" applyNumberFormat="1" applyFont="1" applyBorder="1" applyAlignment="1">
      <alignment horizontal="center"/>
    </xf>
    <xf numFmtId="175" fontId="9" fillId="0" borderId="18" xfId="0" applyNumberFormat="1" applyFont="1" applyBorder="1" applyAlignment="1">
      <alignment horizontal="center"/>
    </xf>
    <xf numFmtId="175" fontId="9" fillId="0" borderId="19" xfId="0" applyNumberFormat="1" applyFont="1" applyBorder="1" applyAlignment="1">
      <alignment horizontal="center"/>
    </xf>
    <xf numFmtId="6" fontId="9" fillId="0" borderId="17" xfId="0" applyNumberFormat="1" applyFont="1" applyBorder="1" applyAlignment="1">
      <alignment horizontal="center"/>
    </xf>
    <xf numFmtId="6" fontId="9" fillId="0" borderId="24" xfId="0" applyNumberFormat="1" applyFont="1" applyBorder="1" applyAlignment="1">
      <alignment horizontal="center"/>
    </xf>
    <xf numFmtId="168" fontId="9" fillId="0" borderId="21" xfId="0" applyNumberFormat="1" applyFont="1" applyBorder="1" applyAlignment="1">
      <alignment horizontal="center"/>
    </xf>
    <xf numFmtId="6" fontId="9" fillId="0" borderId="22" xfId="0" applyNumberFormat="1" applyFont="1" applyBorder="1" applyAlignment="1">
      <alignment horizontal="center"/>
    </xf>
    <xf numFmtId="6" fontId="9" fillId="0" borderId="23" xfId="0" applyNumberFormat="1" applyFont="1" applyBorder="1" applyAlignment="1">
      <alignment horizontal="center"/>
    </xf>
    <xf numFmtId="175" fontId="9" fillId="0" borderId="21" xfId="0" applyNumberFormat="1" applyFont="1" applyBorder="1" applyAlignment="1">
      <alignment horizontal="center"/>
    </xf>
    <xf numFmtId="175" fontId="9" fillId="0" borderId="22" xfId="0" applyNumberFormat="1" applyFont="1" applyBorder="1" applyAlignment="1">
      <alignment horizontal="center"/>
    </xf>
    <xf numFmtId="175" fontId="9" fillId="0" borderId="23" xfId="0" applyNumberFormat="1" applyFont="1" applyBorder="1" applyAlignment="1">
      <alignment horizontal="center"/>
    </xf>
    <xf numFmtId="6" fontId="9" fillId="0" borderId="21" xfId="0" applyNumberFormat="1" applyFont="1" applyBorder="1" applyAlignment="1">
      <alignment horizontal="center"/>
    </xf>
    <xf numFmtId="6" fontId="9" fillId="0" borderId="20" xfId="0" applyNumberFormat="1" applyFont="1" applyBorder="1" applyAlignment="1">
      <alignment horizontal="center"/>
    </xf>
    <xf numFmtId="3" fontId="9" fillId="0" borderId="24" xfId="0" applyNumberFormat="1" applyFont="1" applyBorder="1" applyAlignment="1">
      <alignment horizontal="center" vertical="center" wrapText="1"/>
    </xf>
    <xf numFmtId="3" fontId="9" fillId="0" borderId="25" xfId="0" applyNumberFormat="1" applyFont="1" applyBorder="1" applyAlignment="1">
      <alignment horizontal="center" vertical="center" wrapText="1"/>
    </xf>
    <xf numFmtId="3" fontId="9" fillId="0" borderId="28" xfId="1" applyNumberFormat="1" applyFont="1" applyBorder="1" applyAlignment="1">
      <alignment horizontal="center"/>
    </xf>
    <xf numFmtId="0" fontId="9" fillId="0" borderId="25" xfId="0" applyFont="1" applyBorder="1" applyAlignment="1">
      <alignment horizontal="center" vertical="center" wrapText="1"/>
    </xf>
    <xf numFmtId="168" fontId="9" fillId="0" borderId="39" xfId="0" applyNumberFormat="1" applyFont="1" applyBorder="1" applyAlignment="1">
      <alignment horizontal="center"/>
    </xf>
    <xf numFmtId="168" fontId="9" fillId="0" borderId="49" xfId="0" applyNumberFormat="1" applyFont="1" applyBorder="1" applyAlignment="1">
      <alignment horizontal="center"/>
    </xf>
    <xf numFmtId="3" fontId="9" fillId="0" borderId="4" xfId="0" applyNumberFormat="1" applyFont="1" applyBorder="1" applyAlignment="1">
      <alignment horizontal="center"/>
    </xf>
    <xf numFmtId="3" fontId="9" fillId="0" borderId="30" xfId="0" applyNumberFormat="1" applyFont="1" applyBorder="1" applyAlignment="1">
      <alignment horizontal="center"/>
    </xf>
    <xf numFmtId="1" fontId="55" fillId="10" borderId="119" xfId="42" applyNumberFormat="1" applyBorder="1" applyAlignment="1">
      <alignment horizontal="center"/>
    </xf>
    <xf numFmtId="1" fontId="0" fillId="0" borderId="3" xfId="0" applyNumberFormat="1" applyBorder="1" applyAlignment="1">
      <alignment horizontal="center"/>
    </xf>
    <xf numFmtId="1" fontId="0" fillId="0" borderId="43" xfId="0" applyNumberFormat="1" applyBorder="1" applyAlignment="1">
      <alignment horizontal="center"/>
    </xf>
    <xf numFmtId="1" fontId="55" fillId="10" borderId="120" xfId="42" applyNumberFormat="1" applyBorder="1" applyAlignment="1">
      <alignment horizontal="center"/>
    </xf>
    <xf numFmtId="1" fontId="55" fillId="10" borderId="121" xfId="42" applyNumberFormat="1" applyBorder="1" applyAlignment="1">
      <alignment horizontal="center"/>
    </xf>
    <xf numFmtId="0" fontId="9" fillId="0" borderId="0" xfId="0" applyFont="1" applyAlignment="1">
      <alignment horizontal="left" wrapText="1"/>
    </xf>
    <xf numFmtId="0" fontId="8" fillId="2" borderId="44" xfId="0" applyFont="1" applyFill="1" applyBorder="1" applyAlignment="1">
      <alignment horizontal="center" vertical="center" wrapText="1"/>
    </xf>
    <xf numFmtId="0" fontId="8" fillId="2" borderId="53" xfId="0" applyFont="1" applyFill="1" applyBorder="1" applyAlignment="1">
      <alignment horizontal="center" vertical="center" wrapText="1"/>
    </xf>
    <xf numFmtId="2" fontId="9" fillId="0" borderId="4" xfId="0" applyNumberFormat="1" applyFont="1" applyBorder="1" applyAlignment="1">
      <alignment horizontal="center"/>
    </xf>
    <xf numFmtId="2" fontId="9" fillId="0" borderId="30" xfId="0" applyNumberFormat="1" applyFont="1" applyBorder="1" applyAlignment="1">
      <alignment horizontal="center"/>
    </xf>
    <xf numFmtId="1" fontId="9" fillId="0" borderId="30" xfId="0" applyNumberFormat="1" applyFont="1" applyBorder="1" applyAlignment="1">
      <alignment horizontal="center"/>
    </xf>
    <xf numFmtId="166" fontId="9" fillId="0" borderId="4" xfId="0" applyNumberFormat="1" applyFont="1" applyBorder="1"/>
    <xf numFmtId="166" fontId="9" fillId="0" borderId="30" xfId="0" applyNumberFormat="1" applyFont="1" applyBorder="1"/>
    <xf numFmtId="9" fontId="9" fillId="0" borderId="4" xfId="0" applyNumberFormat="1" applyFont="1" applyBorder="1" applyAlignment="1">
      <alignment horizontal="center"/>
    </xf>
    <xf numFmtId="9" fontId="9" fillId="0" borderId="30" xfId="2" applyFont="1" applyBorder="1" applyAlignment="1">
      <alignment horizontal="center"/>
    </xf>
    <xf numFmtId="9" fontId="9" fillId="0" borderId="4" xfId="2" applyFont="1" applyBorder="1" applyAlignment="1">
      <alignment horizontal="center"/>
    </xf>
    <xf numFmtId="167" fontId="9" fillId="0" borderId="4" xfId="0" applyNumberFormat="1" applyFont="1" applyBorder="1" applyAlignment="1">
      <alignment horizontal="center"/>
    </xf>
    <xf numFmtId="171" fontId="9" fillId="0" borderId="0" xfId="0" applyNumberFormat="1" applyFont="1"/>
    <xf numFmtId="167" fontId="9" fillId="0" borderId="31" xfId="2" applyNumberFormat="1" applyFont="1" applyBorder="1" applyAlignment="1">
      <alignment horizontal="center"/>
    </xf>
    <xf numFmtId="168" fontId="9" fillId="0" borderId="4" xfId="0" applyNumberFormat="1" applyFont="1" applyBorder="1" applyAlignment="1">
      <alignment horizontal="center"/>
    </xf>
    <xf numFmtId="0" fontId="9" fillId="0" borderId="3" xfId="0" applyFont="1" applyBorder="1"/>
    <xf numFmtId="0" fontId="9" fillId="0" borderId="60" xfId="0" applyFont="1" applyBorder="1"/>
    <xf numFmtId="171" fontId="9" fillId="0" borderId="27" xfId="10" applyNumberFormat="1" applyFont="1" applyBorder="1" applyAlignment="1">
      <alignment horizontal="center"/>
    </xf>
    <xf numFmtId="171" fontId="9" fillId="0" borderId="31" xfId="10" applyNumberFormat="1" applyFont="1" applyBorder="1" applyAlignment="1">
      <alignment horizontal="center"/>
    </xf>
    <xf numFmtId="0" fontId="0" fillId="0" borderId="35" xfId="0" applyBorder="1" applyAlignment="1">
      <alignment horizontal="center" wrapText="1"/>
    </xf>
    <xf numFmtId="0" fontId="0" fillId="0" borderId="37" xfId="0" applyBorder="1" applyAlignment="1">
      <alignment horizontal="center" wrapText="1"/>
    </xf>
    <xf numFmtId="3" fontId="36" fillId="7" borderId="123" xfId="0" applyNumberFormat="1" applyFont="1" applyFill="1" applyBorder="1" applyAlignment="1">
      <alignment horizontal="center" vertical="top" shrinkToFit="1"/>
    </xf>
    <xf numFmtId="2" fontId="0" fillId="0" borderId="17" xfId="0" applyNumberFormat="1" applyBorder="1" applyAlignment="1">
      <alignment horizontal="center"/>
    </xf>
    <xf numFmtId="2" fontId="0" fillId="0" borderId="44" xfId="0" applyNumberFormat="1" applyBorder="1" applyAlignment="1">
      <alignment horizontal="center"/>
    </xf>
    <xf numFmtId="2" fontId="0" fillId="0" borderId="67" xfId="0" applyNumberFormat="1" applyBorder="1" applyAlignment="1">
      <alignment horizontal="center"/>
    </xf>
    <xf numFmtId="0" fontId="0" fillId="0" borderId="67" xfId="0" applyBorder="1" applyAlignment="1">
      <alignment horizontal="center"/>
    </xf>
    <xf numFmtId="0" fontId="0" fillId="11" borderId="0" xfId="0" applyFill="1"/>
    <xf numFmtId="0" fontId="0" fillId="11" borderId="0" xfId="0" applyFill="1" applyAlignment="1">
      <alignment horizontal="center"/>
    </xf>
    <xf numFmtId="0" fontId="3" fillId="11" borderId="0" xfId="0" applyFont="1" applyFill="1"/>
    <xf numFmtId="0" fontId="3" fillId="11" borderId="0" xfId="0" applyFont="1" applyFill="1" applyAlignment="1">
      <alignment horizontal="left"/>
    </xf>
    <xf numFmtId="14" fontId="0" fillId="0" borderId="0" xfId="0" applyNumberFormat="1"/>
    <xf numFmtId="1" fontId="0" fillId="0" borderId="19" xfId="0" applyNumberFormat="1" applyBorder="1"/>
    <xf numFmtId="1" fontId="0" fillId="0" borderId="31" xfId="0" applyNumberFormat="1" applyBorder="1"/>
    <xf numFmtId="2" fontId="53" fillId="0" borderId="104" xfId="0" applyNumberFormat="1" applyFont="1" applyBorder="1" applyAlignment="1">
      <alignment horizontal="center" vertical="center"/>
    </xf>
    <xf numFmtId="0" fontId="0" fillId="0" borderId="4" xfId="0" applyBorder="1" applyAlignment="1">
      <alignment horizontal="left"/>
    </xf>
    <xf numFmtId="1" fontId="0" fillId="0" borderId="4" xfId="0" applyNumberFormat="1" applyBorder="1" applyAlignment="1">
      <alignment horizontal="left"/>
    </xf>
    <xf numFmtId="174" fontId="46" fillId="0" borderId="0" xfId="0" applyNumberFormat="1" applyFont="1" applyAlignment="1">
      <alignment horizontal="center" wrapText="1"/>
    </xf>
    <xf numFmtId="2" fontId="9" fillId="0" borderId="0" xfId="0" applyNumberFormat="1" applyFont="1" applyAlignment="1">
      <alignment vertical="top" wrapText="1"/>
    </xf>
    <xf numFmtId="0" fontId="0" fillId="0" borderId="53" xfId="0" applyBorder="1"/>
    <xf numFmtId="0" fontId="0" fillId="0" borderId="45" xfId="0" applyBorder="1"/>
    <xf numFmtId="0" fontId="0" fillId="0" borderId="5" xfId="0" applyBorder="1"/>
    <xf numFmtId="0" fontId="0" fillId="11" borderId="0" xfId="0" applyFill="1" applyAlignment="1">
      <alignment horizontal="left" vertical="top" wrapText="1"/>
    </xf>
    <xf numFmtId="0" fontId="3" fillId="0" borderId="62" xfId="0" applyFont="1" applyBorder="1"/>
    <xf numFmtId="0" fontId="0" fillId="0" borderId="18" xfId="0" applyBorder="1"/>
    <xf numFmtId="0" fontId="0" fillId="0" borderId="19" xfId="0" applyBorder="1"/>
    <xf numFmtId="1" fontId="0" fillId="0" borderId="27" xfId="0" applyNumberFormat="1" applyBorder="1"/>
    <xf numFmtId="0" fontId="0" fillId="0" borderId="30" xfId="0" applyBorder="1"/>
    <xf numFmtId="0" fontId="46" fillId="0" borderId="17" xfId="5" applyFont="1" applyBorder="1" applyAlignment="1">
      <alignment horizontal="left" vertical="center"/>
    </xf>
    <xf numFmtId="0" fontId="46" fillId="0" borderId="19" xfId="5" applyFont="1" applyBorder="1" applyAlignment="1">
      <alignment horizontal="center" vertical="center"/>
    </xf>
    <xf numFmtId="0" fontId="46" fillId="0" borderId="26" xfId="5" applyFont="1" applyBorder="1" applyAlignment="1">
      <alignment horizontal="left" vertical="center"/>
    </xf>
    <xf numFmtId="0" fontId="46" fillId="0" borderId="27" xfId="5" applyFont="1" applyBorder="1" applyAlignment="1">
      <alignment horizontal="center" vertical="center"/>
    </xf>
    <xf numFmtId="1" fontId="46" fillId="0" borderId="27" xfId="5" applyNumberFormat="1" applyFont="1" applyBorder="1" applyAlignment="1">
      <alignment horizontal="center" vertical="center"/>
    </xf>
    <xf numFmtId="167" fontId="46" fillId="0" borderId="27" xfId="2" applyNumberFormat="1" applyFont="1" applyBorder="1" applyAlignment="1">
      <alignment horizontal="center" vertical="center"/>
    </xf>
    <xf numFmtId="167" fontId="46" fillId="0" borderId="27" xfId="2" applyNumberFormat="1" applyFont="1" applyFill="1" applyBorder="1" applyAlignment="1">
      <alignment horizontal="center" vertical="center"/>
    </xf>
    <xf numFmtId="165" fontId="46" fillId="0" borderId="27" xfId="5" applyNumberFormat="1" applyFont="1" applyBorder="1" applyAlignment="1">
      <alignment horizontal="center" vertical="center"/>
    </xf>
    <xf numFmtId="168" fontId="46" fillId="0" borderId="27" xfId="5" applyNumberFormat="1" applyFont="1" applyBorder="1" applyAlignment="1">
      <alignment horizontal="center" vertical="center"/>
    </xf>
    <xf numFmtId="0" fontId="9" fillId="0" borderId="0" xfId="0" applyFont="1" applyAlignment="1">
      <alignment horizontal="left" wrapText="1"/>
    </xf>
    <xf numFmtId="0" fontId="8" fillId="4" borderId="6" xfId="0" applyFont="1" applyFill="1" applyBorder="1" applyAlignment="1">
      <alignment horizontal="center" vertical="center" wrapText="1"/>
    </xf>
    <xf numFmtId="0" fontId="8" fillId="4" borderId="13" xfId="0" applyFont="1" applyFill="1" applyBorder="1" applyAlignment="1">
      <alignment horizontal="center" vertical="center" wrapText="1"/>
    </xf>
    <xf numFmtId="0" fontId="8" fillId="4" borderId="6" xfId="0" applyFont="1" applyFill="1" applyBorder="1" applyAlignment="1">
      <alignment horizontal="center" vertical="center"/>
    </xf>
    <xf numFmtId="0" fontId="8" fillId="4" borderId="13" xfId="0" applyFont="1" applyFill="1" applyBorder="1" applyAlignment="1">
      <alignment horizontal="center" vertical="center"/>
    </xf>
    <xf numFmtId="0" fontId="8" fillId="4" borderId="19" xfId="0" applyFont="1" applyFill="1" applyBorder="1" applyAlignment="1">
      <alignment horizontal="center" vertical="center" wrapText="1"/>
    </xf>
    <xf numFmtId="0" fontId="8" fillId="4" borderId="31" xfId="0" applyFont="1" applyFill="1" applyBorder="1" applyAlignment="1">
      <alignment horizontal="center" vertical="center" wrapText="1"/>
    </xf>
    <xf numFmtId="0" fontId="8" fillId="4" borderId="42" xfId="0" applyFont="1" applyFill="1" applyBorder="1" applyAlignment="1">
      <alignment horizontal="center" vertical="center" wrapText="1"/>
    </xf>
    <xf numFmtId="0" fontId="8" fillId="4" borderId="43" xfId="0" applyFont="1" applyFill="1" applyBorder="1" applyAlignment="1">
      <alignment horizontal="center" vertical="center" wrapText="1"/>
    </xf>
    <xf numFmtId="0" fontId="8" fillId="4" borderId="18" xfId="0" applyFont="1" applyFill="1" applyBorder="1" applyAlignment="1">
      <alignment horizontal="center" vertical="center" wrapText="1"/>
    </xf>
    <xf numFmtId="0" fontId="8" fillId="4" borderId="30" xfId="0" applyFont="1" applyFill="1" applyBorder="1" applyAlignment="1">
      <alignment horizontal="center" vertical="center" wrapText="1"/>
    </xf>
    <xf numFmtId="0" fontId="8" fillId="4" borderId="67" xfId="0" applyFont="1" applyFill="1" applyBorder="1" applyAlignment="1">
      <alignment horizontal="center" vertical="center" wrapText="1"/>
    </xf>
    <xf numFmtId="0" fontId="8" fillId="4" borderId="5" xfId="0" applyFont="1" applyFill="1" applyBorder="1" applyAlignment="1">
      <alignment horizontal="center" vertical="center" wrapText="1"/>
    </xf>
    <xf numFmtId="0" fontId="8" fillId="4" borderId="44" xfId="0" applyFont="1" applyFill="1" applyBorder="1" applyAlignment="1">
      <alignment horizontal="center" vertical="center" wrapText="1"/>
    </xf>
    <xf numFmtId="0" fontId="8" fillId="4" borderId="45" xfId="0" applyFont="1" applyFill="1" applyBorder="1" applyAlignment="1">
      <alignment horizontal="center" vertical="center" wrapText="1"/>
    </xf>
    <xf numFmtId="0" fontId="8" fillId="4" borderId="15" xfId="0" applyFont="1" applyFill="1" applyBorder="1" applyAlignment="1">
      <alignment horizontal="center" vertical="center" wrapText="1"/>
    </xf>
    <xf numFmtId="0" fontId="8" fillId="4" borderId="22" xfId="0" applyFont="1" applyFill="1" applyBorder="1" applyAlignment="1">
      <alignment horizontal="center" vertical="center" wrapText="1"/>
    </xf>
    <xf numFmtId="0" fontId="8" fillId="4" borderId="129" xfId="0" applyFont="1" applyFill="1" applyBorder="1" applyAlignment="1">
      <alignment horizontal="center" vertical="center" wrapText="1"/>
    </xf>
    <xf numFmtId="0" fontId="8" fillId="4" borderId="130" xfId="0" applyFont="1" applyFill="1" applyBorder="1" applyAlignment="1">
      <alignment horizontal="center" vertical="center" wrapText="1"/>
    </xf>
    <xf numFmtId="166" fontId="8" fillId="0" borderId="10" xfId="0" applyNumberFormat="1" applyFont="1" applyBorder="1" applyAlignment="1">
      <alignment horizontal="center" vertical="center" wrapText="1"/>
    </xf>
    <xf numFmtId="166" fontId="8" fillId="0" borderId="11" xfId="0" applyNumberFormat="1" applyFont="1" applyBorder="1" applyAlignment="1">
      <alignment horizontal="center" vertical="center" wrapText="1"/>
    </xf>
    <xf numFmtId="166" fontId="8" fillId="0" borderId="12" xfId="0" applyNumberFormat="1" applyFont="1" applyBorder="1" applyAlignment="1">
      <alignment horizontal="center" vertical="center" wrapText="1"/>
    </xf>
    <xf numFmtId="0" fontId="8" fillId="4" borderId="17" xfId="0" applyFont="1" applyFill="1" applyBorder="1" applyAlignment="1">
      <alignment horizontal="center" vertical="center" wrapText="1"/>
    </xf>
    <xf numFmtId="0" fontId="8" fillId="4" borderId="29" xfId="0" applyFont="1" applyFill="1" applyBorder="1" applyAlignment="1">
      <alignment horizontal="center" vertical="center" wrapText="1"/>
    </xf>
    <xf numFmtId="0" fontId="8" fillId="0" borderId="10" xfId="0" applyFont="1" applyBorder="1" applyAlignment="1">
      <alignment horizontal="center" vertical="center"/>
    </xf>
    <xf numFmtId="0" fontId="8" fillId="0" borderId="11" xfId="0" applyFont="1" applyBorder="1" applyAlignment="1">
      <alignment horizontal="center" vertical="center"/>
    </xf>
    <xf numFmtId="0" fontId="8" fillId="0" borderId="12" xfId="0" applyFont="1" applyBorder="1" applyAlignment="1">
      <alignment horizontal="center" vertical="center"/>
    </xf>
    <xf numFmtId="0" fontId="5" fillId="2" borderId="4" xfId="0" applyFont="1" applyFill="1" applyBorder="1" applyAlignment="1">
      <alignment horizontal="center"/>
    </xf>
    <xf numFmtId="0" fontId="8" fillId="2" borderId="11" xfId="0" applyFont="1" applyFill="1" applyBorder="1" applyAlignment="1">
      <alignment horizontal="center" vertical="center" wrapText="1"/>
    </xf>
    <xf numFmtId="0" fontId="8" fillId="2" borderId="12" xfId="0" applyFont="1" applyFill="1" applyBorder="1" applyAlignment="1">
      <alignment horizontal="center" vertical="center" wrapText="1"/>
    </xf>
    <xf numFmtId="0" fontId="5" fillId="2" borderId="42" xfId="0" applyFont="1" applyFill="1" applyBorder="1" applyAlignment="1">
      <alignment horizontal="center" vertical="center"/>
    </xf>
    <xf numFmtId="0" fontId="5" fillId="2" borderId="18" xfId="0" applyFont="1" applyFill="1" applyBorder="1" applyAlignment="1">
      <alignment horizontal="center" vertical="center"/>
    </xf>
    <xf numFmtId="0" fontId="5" fillId="2" borderId="19" xfId="0" applyFont="1" applyFill="1" applyBorder="1" applyAlignment="1">
      <alignment horizontal="center" vertical="center"/>
    </xf>
    <xf numFmtId="0" fontId="8" fillId="2" borderId="6" xfId="0" applyFont="1" applyFill="1" applyBorder="1" applyAlignment="1">
      <alignment horizontal="center" vertical="center" wrapText="1"/>
    </xf>
    <xf numFmtId="0" fontId="8" fillId="2" borderId="13" xfId="0" applyFont="1" applyFill="1" applyBorder="1" applyAlignment="1">
      <alignment horizontal="center" vertical="center" wrapText="1"/>
    </xf>
    <xf numFmtId="0" fontId="8" fillId="2" borderId="20" xfId="0" applyFont="1" applyFill="1" applyBorder="1" applyAlignment="1">
      <alignment horizontal="center" vertical="center" wrapText="1"/>
    </xf>
    <xf numFmtId="0" fontId="9" fillId="0" borderId="4" xfId="0" applyFont="1" applyBorder="1" applyAlignment="1">
      <alignment horizontal="center"/>
    </xf>
    <xf numFmtId="0" fontId="8" fillId="2" borderId="44" xfId="0" applyFont="1" applyFill="1" applyBorder="1" applyAlignment="1">
      <alignment horizontal="center" vertical="center" wrapText="1"/>
    </xf>
    <xf numFmtId="0" fontId="8" fillId="2" borderId="53" xfId="0" applyFont="1" applyFill="1" applyBorder="1" applyAlignment="1">
      <alignment horizontal="center" vertical="center" wrapText="1"/>
    </xf>
    <xf numFmtId="0" fontId="8" fillId="2" borderId="10" xfId="0" applyFont="1" applyFill="1" applyBorder="1" applyAlignment="1">
      <alignment horizontal="center" vertical="center" wrapText="1"/>
    </xf>
    <xf numFmtId="0" fontId="5" fillId="2" borderId="17" xfId="0" applyFont="1" applyFill="1" applyBorder="1" applyAlignment="1">
      <alignment horizontal="center" vertical="center"/>
    </xf>
    <xf numFmtId="0" fontId="9" fillId="0" borderId="125" xfId="0" applyFont="1" applyBorder="1" applyAlignment="1">
      <alignment horizontal="center"/>
    </xf>
    <xf numFmtId="0" fontId="9" fillId="0" borderId="72" xfId="0" applyFont="1" applyBorder="1" applyAlignment="1">
      <alignment horizontal="center"/>
    </xf>
    <xf numFmtId="0" fontId="9" fillId="0" borderId="1" xfId="0" applyFont="1" applyBorder="1" applyAlignment="1">
      <alignment horizontal="center"/>
    </xf>
    <xf numFmtId="0" fontId="9" fillId="0" borderId="126" xfId="0" applyFont="1" applyBorder="1" applyAlignment="1">
      <alignment horizontal="center"/>
    </xf>
    <xf numFmtId="0" fontId="9" fillId="0" borderId="17" xfId="0" applyFont="1" applyBorder="1" applyAlignment="1">
      <alignment horizontal="center" vertical="center"/>
    </xf>
    <xf numFmtId="0" fontId="9" fillId="0" borderId="26" xfId="0" applyFont="1" applyBorder="1" applyAlignment="1">
      <alignment horizontal="center" vertical="center"/>
    </xf>
    <xf numFmtId="0" fontId="9" fillId="0" borderId="18" xfId="0" applyFont="1" applyBorder="1" applyAlignment="1">
      <alignment horizontal="center"/>
    </xf>
    <xf numFmtId="0" fontId="3" fillId="0" borderId="10" xfId="0" applyFont="1" applyBorder="1" applyAlignment="1">
      <alignment horizontal="center"/>
    </xf>
    <xf numFmtId="0" fontId="3" fillId="0" borderId="11" xfId="0" applyFont="1" applyBorder="1" applyAlignment="1">
      <alignment horizontal="center"/>
    </xf>
    <xf numFmtId="0" fontId="3" fillId="0" borderId="12" xfId="0" applyFont="1" applyBorder="1" applyAlignment="1">
      <alignment horizontal="center"/>
    </xf>
    <xf numFmtId="49" fontId="9" fillId="0" borderId="19" xfId="0" applyNumberFormat="1" applyFont="1" applyBorder="1" applyAlignment="1">
      <alignment horizontal="center" vertical="center" wrapText="1"/>
    </xf>
    <xf numFmtId="49" fontId="9" fillId="0" borderId="31" xfId="0" applyNumberFormat="1" applyFont="1" applyBorder="1" applyAlignment="1">
      <alignment horizontal="center" vertical="center" wrapText="1"/>
    </xf>
    <xf numFmtId="0" fontId="0" fillId="0" borderId="0" xfId="0" applyAlignment="1">
      <alignment horizontal="left" vertical="top" wrapText="1"/>
    </xf>
    <xf numFmtId="0" fontId="0" fillId="0" borderId="0" xfId="0" applyAlignment="1">
      <alignment horizontal="left"/>
    </xf>
    <xf numFmtId="0" fontId="3" fillId="0" borderId="10" xfId="0" applyFont="1" applyBorder="1" applyAlignment="1">
      <alignment horizontal="center" vertical="center"/>
    </xf>
    <xf numFmtId="0" fontId="3" fillId="0" borderId="11" xfId="0" applyFont="1" applyBorder="1" applyAlignment="1">
      <alignment horizontal="center" vertical="center"/>
    </xf>
    <xf numFmtId="0" fontId="3" fillId="0" borderId="12" xfId="0" applyFont="1" applyBorder="1" applyAlignment="1">
      <alignment horizontal="center" vertical="center"/>
    </xf>
    <xf numFmtId="0" fontId="9" fillId="0" borderId="17" xfId="0" applyFont="1" applyBorder="1" applyAlignment="1">
      <alignment horizontal="center" vertical="center" wrapText="1"/>
    </xf>
    <xf numFmtId="0" fontId="9" fillId="0" borderId="29" xfId="0" applyFont="1" applyBorder="1" applyAlignment="1">
      <alignment horizontal="center" vertical="center" wrapText="1"/>
    </xf>
    <xf numFmtId="0" fontId="9" fillId="0" borderId="18" xfId="0" applyFont="1" applyBorder="1" applyAlignment="1">
      <alignment horizontal="center" vertical="center" wrapText="1"/>
    </xf>
    <xf numFmtId="0" fontId="9" fillId="0" borderId="30" xfId="0" applyFont="1" applyBorder="1" applyAlignment="1">
      <alignment horizontal="center" vertical="center" wrapText="1"/>
    </xf>
    <xf numFmtId="0" fontId="9" fillId="0" borderId="19" xfId="0" applyFont="1" applyBorder="1" applyAlignment="1">
      <alignment horizontal="center" vertical="center" wrapText="1"/>
    </xf>
    <xf numFmtId="0" fontId="9" fillId="0" borderId="31" xfId="0" applyFont="1" applyBorder="1" applyAlignment="1">
      <alignment horizontal="center" vertical="center" wrapText="1"/>
    </xf>
    <xf numFmtId="0" fontId="9" fillId="0" borderId="6" xfId="0" applyFont="1" applyBorder="1" applyAlignment="1">
      <alignment horizontal="center" vertical="center" wrapText="1"/>
    </xf>
    <xf numFmtId="0" fontId="9" fillId="0" borderId="20" xfId="0" applyFont="1" applyBorder="1" applyAlignment="1">
      <alignment horizontal="center" vertical="center" wrapText="1"/>
    </xf>
    <xf numFmtId="0" fontId="9" fillId="0" borderId="29" xfId="0" applyFont="1" applyBorder="1" applyAlignment="1">
      <alignment horizontal="center" vertical="center"/>
    </xf>
    <xf numFmtId="0" fontId="9" fillId="0" borderId="24" xfId="0" applyFont="1" applyBorder="1" applyAlignment="1">
      <alignment horizontal="center" vertical="center" wrapText="1"/>
    </xf>
    <xf numFmtId="0" fontId="9" fillId="0" borderId="28" xfId="0" applyFont="1" applyBorder="1" applyAlignment="1">
      <alignment horizontal="center" vertical="center" wrapText="1"/>
    </xf>
    <xf numFmtId="0" fontId="9" fillId="0" borderId="31" xfId="0" applyFont="1" applyBorder="1" applyAlignment="1">
      <alignment horizontal="center" vertical="center"/>
    </xf>
    <xf numFmtId="0" fontId="8" fillId="0" borderId="0" xfId="0" applyFont="1" applyAlignment="1">
      <alignment horizontal="left"/>
    </xf>
    <xf numFmtId="0" fontId="5" fillId="2" borderId="10" xfId="0" applyFont="1" applyFill="1" applyBorder="1" applyAlignment="1">
      <alignment horizontal="center"/>
    </xf>
    <xf numFmtId="0" fontId="5" fillId="2" borderId="11" xfId="0" applyFont="1" applyFill="1" applyBorder="1" applyAlignment="1">
      <alignment horizontal="center"/>
    </xf>
    <xf numFmtId="0" fontId="5" fillId="2" borderId="12" xfId="0" applyFont="1" applyFill="1" applyBorder="1" applyAlignment="1">
      <alignment horizontal="center"/>
    </xf>
    <xf numFmtId="0" fontId="8" fillId="2" borderId="16" xfId="0" applyFont="1" applyFill="1" applyBorder="1" applyAlignment="1">
      <alignment horizontal="center" vertical="center"/>
    </xf>
    <xf numFmtId="0" fontId="8" fillId="2" borderId="23" xfId="0" applyFont="1" applyFill="1" applyBorder="1" applyAlignment="1">
      <alignment horizontal="center" vertical="center"/>
    </xf>
    <xf numFmtId="0" fontId="8" fillId="2" borderId="14" xfId="0" applyFont="1" applyFill="1" applyBorder="1" applyAlignment="1">
      <alignment horizontal="center" vertical="center" wrapText="1"/>
    </xf>
    <xf numFmtId="0" fontId="8" fillId="2" borderId="21" xfId="0" applyFont="1" applyFill="1" applyBorder="1" applyAlignment="1">
      <alignment horizontal="center" vertical="center" wrapText="1"/>
    </xf>
    <xf numFmtId="0" fontId="8" fillId="2" borderId="15" xfId="0" applyFont="1" applyFill="1" applyBorder="1" applyAlignment="1">
      <alignment horizontal="center" vertical="center" wrapText="1"/>
    </xf>
    <xf numFmtId="0" fontId="8" fillId="2" borderId="22" xfId="0" applyFont="1" applyFill="1" applyBorder="1" applyAlignment="1">
      <alignment horizontal="center" vertical="center" wrapText="1"/>
    </xf>
    <xf numFmtId="0" fontId="8" fillId="2" borderId="16" xfId="0" applyFont="1" applyFill="1" applyBorder="1" applyAlignment="1">
      <alignment horizontal="center" vertical="center" wrapText="1"/>
    </xf>
    <xf numFmtId="0" fontId="8" fillId="2" borderId="23" xfId="0" applyFont="1" applyFill="1" applyBorder="1" applyAlignment="1">
      <alignment horizontal="center" vertical="center" wrapText="1"/>
    </xf>
    <xf numFmtId="0" fontId="8" fillId="2" borderId="40" xfId="0" applyFont="1" applyFill="1" applyBorder="1" applyAlignment="1">
      <alignment horizontal="center" vertical="center" wrapText="1"/>
    </xf>
    <xf numFmtId="0" fontId="8" fillId="2" borderId="41" xfId="0" applyFont="1" applyFill="1" applyBorder="1" applyAlignment="1">
      <alignment horizontal="center" vertical="center" wrapText="1"/>
    </xf>
    <xf numFmtId="0" fontId="0" fillId="0" borderId="0" xfId="0" applyAlignment="1">
      <alignment horizontal="left" wrapText="1"/>
    </xf>
    <xf numFmtId="0" fontId="3" fillId="0" borderId="44" xfId="0" applyFont="1" applyBorder="1" applyAlignment="1">
      <alignment horizontal="center"/>
    </xf>
    <xf numFmtId="0" fontId="3" fillId="0" borderId="67" xfId="0" applyFont="1" applyBorder="1" applyAlignment="1">
      <alignment horizontal="center"/>
    </xf>
    <xf numFmtId="0" fontId="3" fillId="0" borderId="127" xfId="0" applyFont="1" applyBorder="1" applyAlignment="1">
      <alignment horizontal="center"/>
    </xf>
    <xf numFmtId="0" fontId="9" fillId="0" borderId="0" xfId="0" applyFont="1" applyAlignment="1">
      <alignment horizontal="left" vertical="top" wrapText="1"/>
    </xf>
    <xf numFmtId="0" fontId="9" fillId="0" borderId="128" xfId="0" applyFont="1" applyBorder="1" applyAlignment="1">
      <alignment horizontal="left" vertical="top" wrapText="1"/>
    </xf>
    <xf numFmtId="0" fontId="9" fillId="0" borderId="5" xfId="0" applyFont="1" applyBorder="1" applyAlignment="1">
      <alignment horizontal="left" vertical="top" wrapText="1"/>
    </xf>
    <xf numFmtId="0" fontId="9" fillId="0" borderId="124" xfId="0" applyFont="1" applyBorder="1" applyAlignment="1">
      <alignment horizontal="left" vertical="top" wrapText="1"/>
    </xf>
    <xf numFmtId="174" fontId="46" fillId="0" borderId="0" xfId="0" applyNumberFormat="1" applyFont="1" applyAlignment="1">
      <alignment horizontal="left" vertical="top" wrapText="1"/>
    </xf>
    <xf numFmtId="174" fontId="46" fillId="0" borderId="128" xfId="0" applyNumberFormat="1" applyFont="1" applyBorder="1" applyAlignment="1">
      <alignment horizontal="left" vertical="top" wrapText="1"/>
    </xf>
    <xf numFmtId="174" fontId="46" fillId="0" borderId="5" xfId="0" applyNumberFormat="1" applyFont="1" applyBorder="1" applyAlignment="1">
      <alignment horizontal="left" vertical="top" wrapText="1"/>
    </xf>
    <xf numFmtId="174" fontId="46" fillId="0" borderId="124" xfId="0" applyNumberFormat="1" applyFont="1" applyBorder="1" applyAlignment="1">
      <alignment horizontal="left" vertical="top" wrapText="1"/>
    </xf>
    <xf numFmtId="2" fontId="9" fillId="0" borderId="0" xfId="0" applyNumberFormat="1" applyFont="1" applyAlignment="1">
      <alignment horizontal="left" vertical="top" wrapText="1"/>
    </xf>
    <xf numFmtId="2" fontId="9" fillId="0" borderId="128" xfId="0" applyNumberFormat="1" applyFont="1" applyBorder="1" applyAlignment="1">
      <alignment horizontal="left" vertical="top" wrapText="1"/>
    </xf>
    <xf numFmtId="2" fontId="9" fillId="0" borderId="5" xfId="0" applyNumberFormat="1" applyFont="1" applyBorder="1" applyAlignment="1">
      <alignment horizontal="left" vertical="top" wrapText="1"/>
    </xf>
    <xf numFmtId="2" fontId="9" fillId="0" borderId="124" xfId="0" applyNumberFormat="1" applyFont="1" applyBorder="1" applyAlignment="1">
      <alignment horizontal="left" vertical="top" wrapText="1"/>
    </xf>
    <xf numFmtId="0" fontId="9" fillId="0" borderId="128" xfId="0" applyFont="1" applyBorder="1" applyAlignment="1">
      <alignment horizontal="left" wrapText="1"/>
    </xf>
    <xf numFmtId="0" fontId="9" fillId="0" borderId="5" xfId="0" applyFont="1" applyBorder="1" applyAlignment="1">
      <alignment horizontal="left" wrapText="1"/>
    </xf>
    <xf numFmtId="0" fontId="9" fillId="0" borderId="124" xfId="0" applyFont="1" applyBorder="1" applyAlignment="1">
      <alignment horizontal="left" wrapText="1"/>
    </xf>
    <xf numFmtId="0" fontId="0" fillId="0" borderId="42" xfId="0" applyBorder="1" applyAlignment="1">
      <alignment horizontal="center"/>
    </xf>
    <xf numFmtId="0" fontId="0" fillId="0" borderId="18" xfId="0" applyBorder="1" applyAlignment="1">
      <alignment horizontal="center"/>
    </xf>
    <xf numFmtId="0" fontId="0" fillId="0" borderId="19" xfId="0" applyBorder="1" applyAlignment="1">
      <alignment horizontal="center"/>
    </xf>
    <xf numFmtId="0" fontId="52" fillId="0" borderId="105" xfId="0" applyFont="1" applyBorder="1" applyAlignment="1">
      <alignment horizontal="left" vertical="center"/>
    </xf>
    <xf numFmtId="0" fontId="51" fillId="0" borderId="106" xfId="0" applyFont="1" applyBorder="1" applyAlignment="1">
      <alignment horizontal="left" vertical="center"/>
    </xf>
    <xf numFmtId="0" fontId="5" fillId="0" borderId="4" xfId="0" applyFont="1" applyBorder="1" applyAlignment="1">
      <alignment horizontal="center" wrapText="1"/>
    </xf>
    <xf numFmtId="0" fontId="5" fillId="0" borderId="36" xfId="0" applyFont="1" applyBorder="1" applyAlignment="1">
      <alignment horizontal="left" vertical="center"/>
    </xf>
    <xf numFmtId="0" fontId="5" fillId="0" borderId="63" xfId="0" applyFont="1" applyBorder="1" applyAlignment="1">
      <alignment horizontal="left" vertical="center"/>
    </xf>
    <xf numFmtId="0" fontId="5" fillId="0" borderId="50" xfId="0" applyFont="1" applyBorder="1" applyAlignment="1">
      <alignment horizontal="left" vertical="center"/>
    </xf>
    <xf numFmtId="0" fontId="5" fillId="0" borderId="36" xfId="0" applyFont="1" applyBorder="1" applyAlignment="1">
      <alignment horizontal="center" vertical="center"/>
    </xf>
    <xf numFmtId="0" fontId="5" fillId="0" borderId="63" xfId="0" applyFont="1" applyBorder="1" applyAlignment="1">
      <alignment horizontal="center" vertical="center"/>
    </xf>
    <xf numFmtId="0" fontId="5" fillId="0" borderId="50" xfId="0" applyFont="1" applyBorder="1" applyAlignment="1">
      <alignment horizontal="center" vertical="center"/>
    </xf>
    <xf numFmtId="0" fontId="5" fillId="0" borderId="36" xfId="0" applyFont="1" applyBorder="1" applyAlignment="1">
      <alignment horizontal="center" vertical="center" wrapText="1"/>
    </xf>
    <xf numFmtId="0" fontId="5" fillId="0" borderId="63" xfId="0" applyFont="1" applyBorder="1" applyAlignment="1">
      <alignment horizontal="center" vertical="center" wrapText="1"/>
    </xf>
    <xf numFmtId="0" fontId="5" fillId="0" borderId="50" xfId="0" applyFont="1" applyBorder="1" applyAlignment="1">
      <alignment horizontal="center" vertical="center" wrapText="1"/>
    </xf>
    <xf numFmtId="0" fontId="5" fillId="0" borderId="4" xfId="0" applyFont="1" applyBorder="1" applyAlignment="1">
      <alignment horizontal="left" vertical="center"/>
    </xf>
    <xf numFmtId="0" fontId="5" fillId="0" borderId="4" xfId="6" applyFont="1" applyBorder="1" applyAlignment="1">
      <alignment horizontal="center" vertical="center"/>
    </xf>
    <xf numFmtId="0" fontId="18" fillId="0" borderId="10" xfId="0" applyFont="1" applyBorder="1" applyAlignment="1">
      <alignment horizontal="center"/>
    </xf>
    <xf numFmtId="0" fontId="18" fillId="0" borderId="12" xfId="0" applyFont="1" applyBorder="1" applyAlignment="1">
      <alignment horizontal="center"/>
    </xf>
    <xf numFmtId="0" fontId="18" fillId="0" borderId="60" xfId="0" applyFont="1" applyBorder="1" applyAlignment="1">
      <alignment horizontal="center"/>
    </xf>
    <xf numFmtId="0" fontId="17" fillId="0" borderId="44" xfId="0" applyFont="1" applyBorder="1" applyAlignment="1">
      <alignment horizontal="center" vertical="center" wrapText="1"/>
    </xf>
    <xf numFmtId="0" fontId="17" fillId="0" borderId="45" xfId="0" applyFont="1" applyBorder="1" applyAlignment="1">
      <alignment horizontal="center" vertical="center" wrapText="1"/>
    </xf>
    <xf numFmtId="0" fontId="17" fillId="0" borderId="16" xfId="0" applyFont="1" applyBorder="1" applyAlignment="1">
      <alignment horizontal="center" vertical="center"/>
    </xf>
    <xf numFmtId="0" fontId="17" fillId="0" borderId="23" xfId="0" applyFont="1" applyBorder="1" applyAlignment="1">
      <alignment horizontal="center" vertical="center"/>
    </xf>
    <xf numFmtId="0" fontId="17" fillId="0" borderId="16" xfId="0" applyFont="1" applyBorder="1" applyAlignment="1">
      <alignment horizontal="center" vertical="center" wrapText="1"/>
    </xf>
    <xf numFmtId="0" fontId="17" fillId="0" borderId="23" xfId="0" applyFont="1" applyBorder="1" applyAlignment="1">
      <alignment horizontal="center" vertical="center" wrapText="1"/>
    </xf>
    <xf numFmtId="0" fontId="9" fillId="0" borderId="16" xfId="0" applyFont="1" applyBorder="1" applyAlignment="1">
      <alignment horizontal="center" vertical="center"/>
    </xf>
    <xf numFmtId="0" fontId="9" fillId="0" borderId="23" xfId="0" applyFont="1" applyBorder="1" applyAlignment="1">
      <alignment horizontal="center" vertical="center"/>
    </xf>
    <xf numFmtId="0" fontId="9" fillId="0" borderId="0" xfId="0" applyFont="1" applyAlignment="1">
      <alignment horizontal="left"/>
    </xf>
    <xf numFmtId="0" fontId="9" fillId="0" borderId="17" xfId="0" applyFont="1" applyBorder="1" applyAlignment="1">
      <alignment horizontal="center"/>
    </xf>
    <xf numFmtId="0" fontId="9" fillId="0" borderId="19" xfId="0" applyFont="1" applyBorder="1" applyAlignment="1">
      <alignment horizontal="center"/>
    </xf>
    <xf numFmtId="0" fontId="9" fillId="0" borderId="61" xfId="0" applyFont="1" applyBorder="1" applyAlignment="1">
      <alignment horizontal="center" vertical="center"/>
    </xf>
    <xf numFmtId="0" fontId="9" fillId="0" borderId="52" xfId="0" applyFont="1" applyBorder="1" applyAlignment="1">
      <alignment horizontal="center" vertical="center"/>
    </xf>
    <xf numFmtId="0" fontId="9" fillId="0" borderId="7" xfId="0" applyFont="1" applyBorder="1" applyAlignment="1">
      <alignment horizontal="center"/>
    </xf>
    <xf numFmtId="0" fontId="9" fillId="0" borderId="8" xfId="0" applyFont="1" applyBorder="1" applyAlignment="1">
      <alignment horizontal="center"/>
    </xf>
    <xf numFmtId="0" fontId="9" fillId="0" borderId="9" xfId="0" applyFont="1" applyBorder="1" applyAlignment="1">
      <alignment horizontal="center"/>
    </xf>
    <xf numFmtId="0" fontId="9" fillId="0" borderId="42" xfId="0" applyFont="1" applyBorder="1" applyAlignment="1">
      <alignment horizontal="center" vertical="center"/>
    </xf>
    <xf numFmtId="0" fontId="9" fillId="0" borderId="43" xfId="0" applyFont="1" applyBorder="1" applyAlignment="1">
      <alignment horizontal="center" vertical="center"/>
    </xf>
    <xf numFmtId="0" fontId="9" fillId="0" borderId="19" xfId="0" applyFont="1" applyBorder="1" applyAlignment="1">
      <alignment horizontal="center" vertical="center"/>
    </xf>
    <xf numFmtId="0" fontId="9" fillId="0" borderId="61" xfId="0" applyFont="1" applyBorder="1" applyAlignment="1">
      <alignment horizontal="center"/>
    </xf>
    <xf numFmtId="0" fontId="9" fillId="0" borderId="82" xfId="0" applyFont="1" applyBorder="1" applyAlignment="1">
      <alignment horizontal="center"/>
    </xf>
    <xf numFmtId="168" fontId="9" fillId="0" borderId="52" xfId="0" applyNumberFormat="1" applyFont="1" applyBorder="1" applyAlignment="1">
      <alignment horizontal="center"/>
    </xf>
    <xf numFmtId="168" fontId="9" fillId="0" borderId="118" xfId="0" applyNumberFormat="1" applyFont="1" applyBorder="1" applyAlignment="1">
      <alignment horizontal="center"/>
    </xf>
    <xf numFmtId="0" fontId="55" fillId="10" borderId="107" xfId="42" applyAlignment="1">
      <alignment horizontal="left" wrapText="1"/>
    </xf>
    <xf numFmtId="0" fontId="0" fillId="0" borderId="6" xfId="0" applyBorder="1" applyAlignment="1">
      <alignment horizontal="center" vertical="center" wrapText="1"/>
    </xf>
    <xf numFmtId="0" fontId="0" fillId="0" borderId="20" xfId="0" applyBorder="1" applyAlignment="1">
      <alignment horizontal="center" vertical="center" wrapText="1"/>
    </xf>
    <xf numFmtId="0" fontId="0" fillId="0" borderId="61" xfId="0" applyBorder="1" applyAlignment="1">
      <alignment horizontal="center"/>
    </xf>
    <xf numFmtId="0" fontId="0" fillId="0" borderId="82" xfId="0" applyBorder="1" applyAlignment="1">
      <alignment horizontal="center"/>
    </xf>
    <xf numFmtId="0" fontId="0" fillId="0" borderId="72" xfId="0" applyBorder="1" applyAlignment="1">
      <alignment horizontal="center"/>
    </xf>
    <xf numFmtId="0" fontId="0" fillId="0" borderId="17" xfId="0" applyBorder="1" applyAlignment="1">
      <alignment horizontal="center"/>
    </xf>
    <xf numFmtId="0" fontId="0" fillId="0" borderId="6" xfId="0" applyBorder="1" applyAlignment="1">
      <alignment horizontal="left" vertical="center"/>
    </xf>
    <xf numFmtId="0" fontId="0" fillId="0" borderId="20" xfId="0" applyBorder="1" applyAlignment="1">
      <alignment horizontal="left" vertical="center"/>
    </xf>
    <xf numFmtId="0" fontId="5" fillId="7" borderId="68" xfId="0" applyFont="1" applyFill="1" applyBorder="1" applyAlignment="1">
      <alignment horizontal="center" vertical="center" wrapText="1"/>
    </xf>
    <xf numFmtId="0" fontId="5" fillId="7" borderId="109" xfId="0" applyFont="1" applyFill="1" applyBorder="1" applyAlignment="1">
      <alignment horizontal="center" vertical="center" wrapText="1"/>
    </xf>
    <xf numFmtId="0" fontId="3" fillId="7" borderId="122" xfId="0" applyFont="1" applyFill="1" applyBorder="1" applyAlignment="1">
      <alignment horizontal="center" vertical="center" wrapText="1"/>
    </xf>
    <xf numFmtId="0" fontId="3" fillId="7" borderId="110" xfId="0" applyFont="1" applyFill="1" applyBorder="1" applyAlignment="1">
      <alignment horizontal="center" vertical="center" wrapText="1"/>
    </xf>
    <xf numFmtId="0" fontId="11" fillId="3" borderId="100" xfId="0" applyFont="1" applyFill="1" applyBorder="1" applyAlignment="1">
      <alignment horizontal="center"/>
    </xf>
    <xf numFmtId="0" fontId="0" fillId="3" borderId="101" xfId="0" applyFill="1" applyBorder="1" applyAlignment="1">
      <alignment horizontal="center"/>
    </xf>
    <xf numFmtId="0" fontId="10" fillId="0" borderId="0" xfId="0" applyFont="1" applyAlignment="1">
      <alignment horizontal="center"/>
    </xf>
    <xf numFmtId="0" fontId="3" fillId="0" borderId="83" xfId="0" applyFont="1" applyBorder="1" applyAlignment="1">
      <alignment horizontal="center"/>
    </xf>
    <xf numFmtId="0" fontId="3" fillId="0" borderId="87" xfId="0" applyFont="1" applyBorder="1" applyAlignment="1">
      <alignment horizontal="center"/>
    </xf>
    <xf numFmtId="0" fontId="3" fillId="0" borderId="84" xfId="0" applyFont="1" applyBorder="1" applyAlignment="1">
      <alignment horizontal="center"/>
    </xf>
    <xf numFmtId="0" fontId="3" fillId="0" borderId="64" xfId="0" applyFont="1" applyBorder="1" applyAlignment="1">
      <alignment horizontal="center"/>
    </xf>
    <xf numFmtId="0" fontId="3" fillId="0" borderId="85" xfId="0" applyFont="1" applyBorder="1" applyAlignment="1">
      <alignment horizontal="center"/>
    </xf>
    <xf numFmtId="0" fontId="3" fillId="0" borderId="88" xfId="0" applyFont="1" applyBorder="1" applyAlignment="1">
      <alignment horizontal="center"/>
    </xf>
    <xf numFmtId="0" fontId="3" fillId="0" borderId="86" xfId="0" applyFont="1" applyBorder="1" applyAlignment="1">
      <alignment horizontal="center" wrapText="1"/>
    </xf>
    <xf numFmtId="0" fontId="3" fillId="0" borderId="89" xfId="0" applyFont="1" applyBorder="1" applyAlignment="1">
      <alignment horizontal="center" wrapText="1"/>
    </xf>
    <xf numFmtId="0" fontId="3" fillId="0" borderId="90" xfId="0" applyFont="1" applyBorder="1" applyAlignment="1">
      <alignment horizontal="right"/>
    </xf>
    <xf numFmtId="0" fontId="3" fillId="0" borderId="2" xfId="0" applyFont="1" applyBorder="1" applyAlignment="1">
      <alignment horizontal="right"/>
    </xf>
    <xf numFmtId="0" fontId="3" fillId="0" borderId="91" xfId="0" applyFont="1" applyBorder="1" applyAlignment="1">
      <alignment horizontal="right"/>
    </xf>
    <xf numFmtId="0" fontId="0" fillId="0" borderId="90" xfId="0" applyBorder="1" applyAlignment="1">
      <alignment horizontal="right"/>
    </xf>
    <xf numFmtId="0" fontId="0" fillId="0" borderId="2" xfId="0" applyBorder="1" applyAlignment="1">
      <alignment horizontal="right"/>
    </xf>
    <xf numFmtId="0" fontId="0" fillId="0" borderId="91" xfId="0" applyBorder="1" applyAlignment="1">
      <alignment horizontal="right"/>
    </xf>
    <xf numFmtId="0" fontId="9" fillId="0" borderId="52" xfId="0" applyFont="1" applyBorder="1" applyAlignment="1">
      <alignment horizontal="right"/>
    </xf>
    <xf numFmtId="0" fontId="9" fillId="0" borderId="43" xfId="0" applyFont="1" applyBorder="1" applyAlignment="1">
      <alignment horizontal="right"/>
    </xf>
    <xf numFmtId="0" fontId="9" fillId="0" borderId="61" xfId="0" applyFont="1" applyBorder="1" applyAlignment="1">
      <alignment horizontal="right"/>
    </xf>
    <xf numFmtId="0" fontId="9" fillId="0" borderId="42" xfId="0" applyFont="1" applyBorder="1" applyAlignment="1">
      <alignment horizontal="right"/>
    </xf>
    <xf numFmtId="0" fontId="9" fillId="0" borderId="35" xfId="0" applyFont="1" applyBorder="1" applyAlignment="1">
      <alignment horizontal="center" vertical="center"/>
    </xf>
    <xf numFmtId="0" fontId="9" fillId="0" borderId="38" xfId="0" applyFont="1" applyBorder="1" applyAlignment="1">
      <alignment horizontal="center" vertical="center"/>
    </xf>
    <xf numFmtId="0" fontId="9" fillId="0" borderId="14" xfId="0" applyFont="1" applyBorder="1" applyAlignment="1">
      <alignment horizontal="center" vertical="center"/>
    </xf>
    <xf numFmtId="0" fontId="9" fillId="0" borderId="51" xfId="0" applyFont="1" applyBorder="1" applyAlignment="1">
      <alignment horizontal="right"/>
    </xf>
    <xf numFmtId="0" fontId="9" fillId="0" borderId="2" xfId="0" applyFont="1" applyBorder="1" applyAlignment="1">
      <alignment horizontal="right"/>
    </xf>
    <xf numFmtId="0" fontId="9" fillId="0" borderId="3" xfId="0" applyFont="1" applyBorder="1" applyAlignment="1">
      <alignment horizontal="right"/>
    </xf>
    <xf numFmtId="0" fontId="9" fillId="0" borderId="70" xfId="0" applyFont="1" applyBorder="1" applyAlignment="1">
      <alignment horizontal="right"/>
    </xf>
    <xf numFmtId="171" fontId="9" fillId="0" borderId="0" xfId="10" applyNumberFormat="1" applyFont="1" applyAlignment="1">
      <alignment horizontal="center"/>
    </xf>
  </cellXfs>
  <cellStyles count="43">
    <cellStyle name="Comma" xfId="1" builtinId="3"/>
    <cellStyle name="Comma 2" xfId="3" xr:uid="{CEBD8D4A-619D-4F10-9D94-95AD3555B4FA}"/>
    <cellStyle name="Comma 2 2" xfId="25" xr:uid="{542E352C-A8FE-4559-B03F-4EA5B2560FAE}"/>
    <cellStyle name="Comma 2 3" xfId="18" xr:uid="{A34D2890-C982-4B68-8470-413A864C77E1}"/>
    <cellStyle name="Comma 2 4" xfId="13" xr:uid="{4ACE772B-EEDE-41DD-8412-BF6B7E4ADF97}"/>
    <cellStyle name="Comma 3" xfId="21" xr:uid="{FB2D2EB3-1ADF-42D0-B71C-3B1C2F0B7535}"/>
    <cellStyle name="Comma 4" xfId="24" xr:uid="{D7B1E78B-270D-4F75-B9FC-1F3508E99C5B}"/>
    <cellStyle name="Comma 5" xfId="33" xr:uid="{46E575E2-E3BD-4644-8277-24B3181E9627}"/>
    <cellStyle name="Comma 6" xfId="15" xr:uid="{439969E7-77ED-4FCF-86D4-27D9D4A098B7}"/>
    <cellStyle name="Comma 7" xfId="37" xr:uid="{185ECD54-86C1-4EB1-9902-67327B75B013}"/>
    <cellStyle name="Currency" xfId="10" builtinId="4"/>
    <cellStyle name="Currency 2" xfId="4" xr:uid="{84693B01-AAF0-452B-BAD0-EBECA2B45F50}"/>
    <cellStyle name="Currency 3" xfId="40" xr:uid="{2E0C4BF3-4088-4D33-AD52-8B618E5D5288}"/>
    <cellStyle name="Hyperlink" xfId="8" builtinId="8"/>
    <cellStyle name="Hyperlink 2" xfId="9" xr:uid="{3760AE62-5DA0-4F60-A68B-674107468E42}"/>
    <cellStyle name="Hyperlink 3" xfId="39" xr:uid="{C019B0D4-B5BE-479F-AA25-30AD31356AAF}"/>
    <cellStyle name="Input" xfId="42" builtinId="20"/>
    <cellStyle name="Normal" xfId="0" builtinId="0"/>
    <cellStyle name="Normal 10" xfId="11" xr:uid="{217686AF-FBCD-4967-AAD6-BA426AC78180}"/>
    <cellStyle name="Normal 16" xfId="5" xr:uid="{DC60DD19-BE5D-497E-AC0A-2CC6AA584E3A}"/>
    <cellStyle name="Normal 17" xfId="6" xr:uid="{9587E65F-9E45-4C05-AD3F-906FCEE5D437}"/>
    <cellStyle name="Normal 2" xfId="7" xr:uid="{43E24978-5895-4FD1-A1EB-F1C22C64669E}"/>
    <cellStyle name="Normal 2 2" xfId="26" xr:uid="{4898004F-E5FF-4FDB-84C8-E1ECE69F3993}"/>
    <cellStyle name="Normal 2 3" xfId="35" xr:uid="{62359EC4-9C4D-4F68-A8D3-8159A4B57715}"/>
    <cellStyle name="Normal 2 4" xfId="16" xr:uid="{C548C78E-6FF7-4BF9-AEF5-393F133D507B}"/>
    <cellStyle name="Normal 3" xfId="12" xr:uid="{F67299BB-42A3-406F-9329-9F6EB0026DF1}"/>
    <cellStyle name="Normal 3 2" xfId="27" xr:uid="{718C8377-EC22-4080-BACA-CF3B91235054}"/>
    <cellStyle name="Normal 4" xfId="17" xr:uid="{01330AA7-24FF-41BA-8F16-4FA777AA453F}"/>
    <cellStyle name="Normal 4 2" xfId="28" xr:uid="{CD5BA45D-6A04-48B4-AB02-26618A644695}"/>
    <cellStyle name="Normal 5" xfId="20" xr:uid="{DF6E4FD6-979B-4BA0-899A-CFDFD22CDFEE}"/>
    <cellStyle name="Normal 5 2" xfId="29" xr:uid="{D192DF63-0399-41DB-A75C-368E943233E5}"/>
    <cellStyle name="Normal 6" xfId="23" xr:uid="{A1966B3C-44B1-4C8D-BF97-00F6D3E5C0ED}"/>
    <cellStyle name="Normal 7" xfId="22" xr:uid="{315C165B-24A3-4378-BA72-009E6B186DAD}"/>
    <cellStyle name="Normal 7 2" xfId="36" xr:uid="{EA1B3EEF-A109-4AB2-8259-75EFB2D91CEA}"/>
    <cellStyle name="Normal 8" xfId="32" xr:uid="{C7452B6D-E9F5-4290-B262-D3DE435C4CF0}"/>
    <cellStyle name="Normal 9" xfId="14" xr:uid="{C6571EB5-DEDF-47CF-8EAE-77491E015251}"/>
    <cellStyle name="Percent" xfId="2" builtinId="5"/>
    <cellStyle name="Percent 2" xfId="19" xr:uid="{1272267A-2CBE-40CD-AB83-21A3A8181D14}"/>
    <cellStyle name="Percent 2 2" xfId="30" xr:uid="{51300724-D375-48D0-8651-FADB8CD58263}"/>
    <cellStyle name="Percent 3" xfId="31" xr:uid="{9BD15755-893B-468B-B4AE-80DFE079CBE9}"/>
    <cellStyle name="Percent 4" xfId="34" xr:uid="{0E01953F-6845-4B04-AD9C-3F846956E69D}"/>
    <cellStyle name="Percent 5" xfId="38" xr:uid="{4993C93E-691C-4BE1-AD39-DB7C04E3169A}"/>
    <cellStyle name="Percent 6" xfId="41" xr:uid="{EC545039-CC5E-4150-839A-4B120919C116}"/>
  </cellStyles>
  <dxfs count="0"/>
  <tableStyles count="0" defaultTableStyle="TableStyleMedium2" defaultPivotStyle="PivotStyleLight16"/>
  <colors>
    <mruColors>
      <color rgb="FFB2B2B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microsoft.com/office/2017/10/relationships/person" Target="persons/perso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eetMetadata" Target="metadata.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_rels/chart1.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8.4499841120489042E-2"/>
          <c:y val="5.5797873750629653E-2"/>
          <c:w val="0.87338335003200596"/>
          <c:h val="0.81215726822026024"/>
        </c:manualLayout>
      </c:layout>
      <c:scatterChart>
        <c:scatterStyle val="smoothMarker"/>
        <c:varyColors val="0"/>
        <c:ser>
          <c:idx val="0"/>
          <c:order val="0"/>
          <c:spPr>
            <a:ln w="38100" cap="rnd">
              <a:solidFill>
                <a:schemeClr val="accent1"/>
              </a:solidFill>
              <a:prstDash val="dash"/>
              <a:round/>
            </a:ln>
            <a:effectLst/>
          </c:spPr>
          <c:marker>
            <c:symbol val="none"/>
          </c:marker>
          <c:xVal>
            <c:numRef>
              <c:f>'Traffic Delay'!$AA$74:$AA$85</c:f>
              <c:numCache>
                <c:formatCode>0.0</c:formatCode>
                <c:ptCount val="12"/>
                <c:pt idx="0">
                  <c:v>0</c:v>
                </c:pt>
                <c:pt idx="1">
                  <c:v>0.12736507936507935</c:v>
                </c:pt>
                <c:pt idx="2">
                  <c:v>0.2547301587301587</c:v>
                </c:pt>
                <c:pt idx="3">
                  <c:v>0.38209523809523804</c:v>
                </c:pt>
                <c:pt idx="4">
                  <c:v>0.50946031746031739</c:v>
                </c:pt>
                <c:pt idx="5">
                  <c:v>0.63682539682539674</c:v>
                </c:pt>
                <c:pt idx="6">
                  <c:v>0.76419047619047609</c:v>
                </c:pt>
                <c:pt idx="7">
                  <c:v>0.89155555555555543</c:v>
                </c:pt>
                <c:pt idx="8">
                  <c:v>1.0189206349206348</c:v>
                </c:pt>
                <c:pt idx="9">
                  <c:v>1.1462857142857141</c:v>
                </c:pt>
                <c:pt idx="10">
                  <c:v>1.2736507936507935</c:v>
                </c:pt>
                <c:pt idx="11">
                  <c:v>1.4010158730158728</c:v>
                </c:pt>
              </c:numCache>
            </c:numRef>
          </c:xVal>
          <c:yVal>
            <c:numRef>
              <c:f>'Traffic Delay'!$AB$74:$AB$85</c:f>
              <c:numCache>
                <c:formatCode>0</c:formatCode>
                <c:ptCount val="12"/>
                <c:pt idx="0">
                  <c:v>0</c:v>
                </c:pt>
                <c:pt idx="1">
                  <c:v>16.832006461357878</c:v>
                </c:pt>
                <c:pt idx="2">
                  <c:v>35.39125074529754</c:v>
                </c:pt>
                <c:pt idx="3">
                  <c:v>55.652646731193641</c:v>
                </c:pt>
                <c:pt idx="4">
                  <c:v>77.59385801513298</c:v>
                </c:pt>
                <c:pt idx="5">
                  <c:v>101.1947801717873</c:v>
                </c:pt>
                <c:pt idx="6">
                  <c:v>126.43715474513596</c:v>
                </c:pt>
                <c:pt idx="7">
                  <c:v>153.30427402770431</c:v>
                </c:pt>
                <c:pt idx="8">
                  <c:v>181.78075040091903</c:v>
                </c:pt>
                <c:pt idx="9">
                  <c:v>211.85233281232215</c:v>
                </c:pt>
                <c:pt idx="10">
                  <c:v>243.50575845209121</c:v>
                </c:pt>
                <c:pt idx="11">
                  <c:v>276.72863123163427</c:v>
                </c:pt>
              </c:numCache>
            </c:numRef>
          </c:yVal>
          <c:smooth val="1"/>
          <c:extLst>
            <c:ext xmlns:c16="http://schemas.microsoft.com/office/drawing/2014/chart" uri="{C3380CC4-5D6E-409C-BE32-E72D297353CC}">
              <c16:uniqueId val="{00000000-4C9F-49C1-8079-F0EEF3C06939}"/>
            </c:ext>
          </c:extLst>
        </c:ser>
        <c:dLbls>
          <c:showLegendKey val="0"/>
          <c:showVal val="0"/>
          <c:showCatName val="0"/>
          <c:showSerName val="0"/>
          <c:showPercent val="0"/>
          <c:showBubbleSize val="0"/>
        </c:dLbls>
        <c:axId val="919061680"/>
        <c:axId val="919063840"/>
      </c:scatterChart>
      <c:valAx>
        <c:axId val="919061680"/>
        <c:scaling>
          <c:orientation val="minMax"/>
          <c:max val="1.4"/>
        </c:scaling>
        <c:delete val="0"/>
        <c:axPos val="b"/>
        <c:title>
          <c:tx>
            <c:rich>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US" dirty="0"/>
                  <a:t>Volume/Capacity</a:t>
                </a:r>
              </a:p>
            </c:rich>
          </c:tx>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crossAx val="919063840"/>
        <c:crosses val="autoZero"/>
        <c:crossBetween val="midCat"/>
      </c:valAx>
      <c:valAx>
        <c:axId val="919063840"/>
        <c:scaling>
          <c:orientation val="minMax"/>
        </c:scaling>
        <c:delete val="0"/>
        <c:axPos val="l"/>
        <c:title>
          <c:tx>
            <c:rich>
              <a:bodyPr rot="-54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r>
                  <a:rPr lang="en-US" dirty="0"/>
                  <a:t>Delay</a:t>
                </a:r>
                <a:r>
                  <a:rPr lang="en-US" baseline="0" dirty="0"/>
                  <a:t> (second/Per Car)</a:t>
                </a:r>
                <a:endParaRPr lang="en-US" dirty="0"/>
              </a:p>
            </c:rich>
          </c:tx>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title>
        <c:numFmt formatCode="0" sourceLinked="1"/>
        <c:majorTickMark val="out"/>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crossAx val="919061680"/>
        <c:crosses val="autoZero"/>
        <c:crossBetween val="midCat"/>
      </c:valAx>
      <c:spPr>
        <a:noFill/>
        <a:ln>
          <a:solidFill>
            <a:srgbClr val="B2B2B2"/>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ysClr val="window" lastClr="FFFFFF"/>
    </a:solidFill>
    <a:ln w="9525" cap="flat" cmpd="sng" algn="ctr">
      <a:solidFill>
        <a:srgbClr val="B2B2B2"/>
      </a:solid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 Id="rId4" Type="http://schemas.openxmlformats.org/officeDocument/2006/relationships/image" Target="../media/image8.png"/></Relationships>
</file>

<file path=xl/drawings/_rels/drawing4.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chart" Target="../charts/chart1.xml"/></Relationships>
</file>

<file path=xl/drawings/_rels/drawing5.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2.png"/><Relationship Id="rId1" Type="http://schemas.openxmlformats.org/officeDocument/2006/relationships/image" Target="../media/image1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oneCellAnchor>
    <xdr:from>
      <xdr:col>60</xdr:col>
      <xdr:colOff>102576</xdr:colOff>
      <xdr:row>0</xdr:row>
      <xdr:rowOff>0</xdr:rowOff>
    </xdr:from>
    <xdr:ext cx="7753350" cy="5788269"/>
    <xdr:pic>
      <xdr:nvPicPr>
        <xdr:cNvPr id="2" name="Picture 1" descr="A screenshot of a computer&#10;&#10;Description automatically generated">
          <a:extLst>
            <a:ext uri="{FF2B5EF4-FFF2-40B4-BE49-F238E27FC236}">
              <a16:creationId xmlns:a16="http://schemas.microsoft.com/office/drawing/2014/main" id="{5782F19F-3C86-49DE-94AF-6C91C69CD19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3624"/>
        <a:stretch/>
      </xdr:blipFill>
      <xdr:spPr>
        <a:xfrm>
          <a:off x="15342576" y="0"/>
          <a:ext cx="7753350" cy="5788269"/>
        </a:xfrm>
        <a:prstGeom prst="rect">
          <a:avLst/>
        </a:prstGeom>
      </xdr:spPr>
    </xdr:pic>
    <xdr:clientData/>
  </xdr:oneCellAnchor>
  <xdr:oneCellAnchor>
    <xdr:from>
      <xdr:col>35</xdr:col>
      <xdr:colOff>124558</xdr:colOff>
      <xdr:row>0</xdr:row>
      <xdr:rowOff>0</xdr:rowOff>
    </xdr:from>
    <xdr:ext cx="7671288" cy="5885418"/>
    <xdr:pic>
      <xdr:nvPicPr>
        <xdr:cNvPr id="3" name="Picture 2" descr="A screenshot of a computer&#10;&#10;Description automatically generated">
          <a:extLst>
            <a:ext uri="{FF2B5EF4-FFF2-40B4-BE49-F238E27FC236}">
              <a16:creationId xmlns:a16="http://schemas.microsoft.com/office/drawing/2014/main" id="{BBB22FB7-0114-4706-95EB-7D55AC0FCE6A}"/>
            </a:ext>
          </a:extLst>
        </xdr:cNvPr>
        <xdr:cNvPicPr>
          <a:picLocks noChangeAspect="1"/>
        </xdr:cNvPicPr>
      </xdr:nvPicPr>
      <xdr:blipFill>
        <a:blip xmlns:r="http://schemas.openxmlformats.org/officeDocument/2006/relationships" r:embed="rId2"/>
        <a:stretch>
          <a:fillRect/>
        </a:stretch>
      </xdr:blipFill>
      <xdr:spPr>
        <a:xfrm>
          <a:off x="124558" y="0"/>
          <a:ext cx="7671288" cy="5885418"/>
        </a:xfrm>
        <a:prstGeom prst="rect">
          <a:avLst/>
        </a:prstGeom>
      </xdr:spPr>
    </xdr:pic>
    <xdr:clientData/>
  </xdr:oneCellAnchor>
  <xdr:oneCellAnchor>
    <xdr:from>
      <xdr:col>47</xdr:col>
      <xdr:colOff>535727</xdr:colOff>
      <xdr:row>0</xdr:row>
      <xdr:rowOff>77217</xdr:rowOff>
    </xdr:from>
    <xdr:ext cx="7494581" cy="5791267"/>
    <xdr:pic>
      <xdr:nvPicPr>
        <xdr:cNvPr id="4" name="Picture 3" descr="A screenshot of a computer&#10;&#10;Description automatically generated">
          <a:extLst>
            <a:ext uri="{FF2B5EF4-FFF2-40B4-BE49-F238E27FC236}">
              <a16:creationId xmlns:a16="http://schemas.microsoft.com/office/drawing/2014/main" id="{56704D8A-4768-4138-81EC-71BEDE0C4290}"/>
            </a:ext>
          </a:extLst>
        </xdr:cNvPr>
        <xdr:cNvPicPr>
          <a:picLocks noChangeAspect="1"/>
        </xdr:cNvPicPr>
      </xdr:nvPicPr>
      <xdr:blipFill>
        <a:blip xmlns:r="http://schemas.openxmlformats.org/officeDocument/2006/relationships" r:embed="rId3"/>
        <a:stretch>
          <a:fillRect/>
        </a:stretch>
      </xdr:blipFill>
      <xdr:spPr>
        <a:xfrm>
          <a:off x="7850927" y="77217"/>
          <a:ext cx="7494581" cy="5791267"/>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13</xdr:col>
      <xdr:colOff>100853</xdr:colOff>
      <xdr:row>20</xdr:row>
      <xdr:rowOff>33617</xdr:rowOff>
    </xdr:from>
    <xdr:to>
      <xdr:col>26</xdr:col>
      <xdr:colOff>497507</xdr:colOff>
      <xdr:row>28</xdr:row>
      <xdr:rowOff>191399</xdr:rowOff>
    </xdr:to>
    <xdr:pic>
      <xdr:nvPicPr>
        <xdr:cNvPr id="2" name="Picture 1" descr="A screenshot of a data&#10;&#10;Description automatically generated">
          <a:extLst>
            <a:ext uri="{FF2B5EF4-FFF2-40B4-BE49-F238E27FC236}">
              <a16:creationId xmlns:a16="http://schemas.microsoft.com/office/drawing/2014/main" id="{7E764A9F-4A43-7825-7725-2BBFE93A3E4E}"/>
            </a:ext>
          </a:extLst>
        </xdr:cNvPr>
        <xdr:cNvPicPr>
          <a:picLocks noChangeAspect="1"/>
        </xdr:cNvPicPr>
      </xdr:nvPicPr>
      <xdr:blipFill>
        <a:blip xmlns:r="http://schemas.openxmlformats.org/officeDocument/2006/relationships" r:embed="rId1"/>
        <a:stretch>
          <a:fillRect/>
        </a:stretch>
      </xdr:blipFill>
      <xdr:spPr>
        <a:xfrm>
          <a:off x="11743765" y="3966882"/>
          <a:ext cx="9238095" cy="177142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45</xdr:row>
      <xdr:rowOff>76201</xdr:rowOff>
    </xdr:from>
    <xdr:to>
      <xdr:col>8</xdr:col>
      <xdr:colOff>500029</xdr:colOff>
      <xdr:row>76</xdr:row>
      <xdr:rowOff>28575</xdr:rowOff>
    </xdr:to>
    <xdr:pic>
      <xdr:nvPicPr>
        <xdr:cNvPr id="2" name="Picture 1" descr="A map of a road&#10;&#10;Description automatically generated with medium confidence">
          <a:extLst>
            <a:ext uri="{FF2B5EF4-FFF2-40B4-BE49-F238E27FC236}">
              <a16:creationId xmlns:a16="http://schemas.microsoft.com/office/drawing/2014/main" id="{B68D8D92-D86B-784D-4E86-16508ACD3BD3}"/>
            </a:ext>
          </a:extLst>
        </xdr:cNvPr>
        <xdr:cNvPicPr>
          <a:picLocks noChangeAspect="1"/>
        </xdr:cNvPicPr>
      </xdr:nvPicPr>
      <xdr:blipFill>
        <a:blip xmlns:r="http://schemas.openxmlformats.org/officeDocument/2006/relationships" r:embed="rId1"/>
        <a:stretch>
          <a:fillRect/>
        </a:stretch>
      </xdr:blipFill>
      <xdr:spPr>
        <a:xfrm>
          <a:off x="609600" y="7239001"/>
          <a:ext cx="6634129" cy="4676774"/>
        </a:xfrm>
        <a:prstGeom prst="rect">
          <a:avLst/>
        </a:prstGeom>
      </xdr:spPr>
    </xdr:pic>
    <xdr:clientData/>
  </xdr:twoCellAnchor>
  <xdr:twoCellAnchor editAs="oneCell">
    <xdr:from>
      <xdr:col>9</xdr:col>
      <xdr:colOff>47627</xdr:colOff>
      <xdr:row>46</xdr:row>
      <xdr:rowOff>28576</xdr:rowOff>
    </xdr:from>
    <xdr:to>
      <xdr:col>15</xdr:col>
      <xdr:colOff>186090</xdr:colOff>
      <xdr:row>76</xdr:row>
      <xdr:rowOff>133349</xdr:rowOff>
    </xdr:to>
    <xdr:pic>
      <xdr:nvPicPr>
        <xdr:cNvPr id="3" name="Picture 2" descr="A map of a road&#10;&#10;Description automatically generated">
          <a:extLst>
            <a:ext uri="{FF2B5EF4-FFF2-40B4-BE49-F238E27FC236}">
              <a16:creationId xmlns:a16="http://schemas.microsoft.com/office/drawing/2014/main" id="{A6FF7C85-3594-2C26-F6A3-2905DD37117B}"/>
            </a:ext>
          </a:extLst>
        </xdr:cNvPr>
        <xdr:cNvPicPr>
          <a:picLocks noChangeAspect="1"/>
        </xdr:cNvPicPr>
      </xdr:nvPicPr>
      <xdr:blipFill>
        <a:blip xmlns:r="http://schemas.openxmlformats.org/officeDocument/2006/relationships" r:embed="rId2"/>
        <a:stretch>
          <a:fillRect/>
        </a:stretch>
      </xdr:blipFill>
      <xdr:spPr>
        <a:xfrm>
          <a:off x="7343777" y="7191376"/>
          <a:ext cx="6663088" cy="4676773"/>
        </a:xfrm>
        <a:prstGeom prst="rect">
          <a:avLst/>
        </a:prstGeom>
      </xdr:spPr>
    </xdr:pic>
    <xdr:clientData/>
  </xdr:twoCellAnchor>
  <xdr:twoCellAnchor editAs="oneCell">
    <xdr:from>
      <xdr:col>1</xdr:col>
      <xdr:colOff>9526</xdr:colOff>
      <xdr:row>76</xdr:row>
      <xdr:rowOff>114300</xdr:rowOff>
    </xdr:from>
    <xdr:to>
      <xdr:col>8</xdr:col>
      <xdr:colOff>466725</xdr:colOff>
      <xdr:row>106</xdr:row>
      <xdr:rowOff>127551</xdr:rowOff>
    </xdr:to>
    <xdr:pic>
      <xdr:nvPicPr>
        <xdr:cNvPr id="4" name="Picture 3" descr="A map of a road&#10;&#10;Description automatically generated">
          <a:extLst>
            <a:ext uri="{FF2B5EF4-FFF2-40B4-BE49-F238E27FC236}">
              <a16:creationId xmlns:a16="http://schemas.microsoft.com/office/drawing/2014/main" id="{1A392E91-6ACD-8D7C-182F-A9E5067AD2F1}"/>
            </a:ext>
          </a:extLst>
        </xdr:cNvPr>
        <xdr:cNvPicPr>
          <a:picLocks noChangeAspect="1"/>
        </xdr:cNvPicPr>
      </xdr:nvPicPr>
      <xdr:blipFill>
        <a:blip xmlns:r="http://schemas.openxmlformats.org/officeDocument/2006/relationships" r:embed="rId3"/>
        <a:stretch>
          <a:fillRect/>
        </a:stretch>
      </xdr:blipFill>
      <xdr:spPr>
        <a:xfrm>
          <a:off x="619126" y="12001500"/>
          <a:ext cx="6591299" cy="4585251"/>
        </a:xfrm>
        <a:prstGeom prst="rect">
          <a:avLst/>
        </a:prstGeom>
      </xdr:spPr>
    </xdr:pic>
    <xdr:clientData/>
  </xdr:twoCellAnchor>
  <xdr:twoCellAnchor editAs="oneCell">
    <xdr:from>
      <xdr:col>9</xdr:col>
      <xdr:colOff>9525</xdr:colOff>
      <xdr:row>77</xdr:row>
      <xdr:rowOff>47626</xdr:rowOff>
    </xdr:from>
    <xdr:to>
      <xdr:col>15</xdr:col>
      <xdr:colOff>144437</xdr:colOff>
      <xdr:row>107</xdr:row>
      <xdr:rowOff>28575</xdr:rowOff>
    </xdr:to>
    <xdr:pic>
      <xdr:nvPicPr>
        <xdr:cNvPr id="5" name="Picture 4" descr="A map of a road&#10;&#10;Description automatically generated">
          <a:extLst>
            <a:ext uri="{FF2B5EF4-FFF2-40B4-BE49-F238E27FC236}">
              <a16:creationId xmlns:a16="http://schemas.microsoft.com/office/drawing/2014/main" id="{94D92AF9-D8EE-9758-F4B6-59C233CA0629}"/>
            </a:ext>
          </a:extLst>
        </xdr:cNvPr>
        <xdr:cNvPicPr>
          <a:picLocks noChangeAspect="1"/>
        </xdr:cNvPicPr>
      </xdr:nvPicPr>
      <xdr:blipFill>
        <a:blip xmlns:r="http://schemas.openxmlformats.org/officeDocument/2006/relationships" r:embed="rId4"/>
        <a:stretch>
          <a:fillRect/>
        </a:stretch>
      </xdr:blipFill>
      <xdr:spPr>
        <a:xfrm>
          <a:off x="7305675" y="11934826"/>
          <a:ext cx="6659537" cy="455294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14</xdr:col>
      <xdr:colOff>81640</xdr:colOff>
      <xdr:row>73</xdr:row>
      <xdr:rowOff>13607</xdr:rowOff>
    </xdr:from>
    <xdr:to>
      <xdr:col>23</xdr:col>
      <xdr:colOff>353783</xdr:colOff>
      <xdr:row>97</xdr:row>
      <xdr:rowOff>142873</xdr:rowOff>
    </xdr:to>
    <xdr:graphicFrame macro="">
      <xdr:nvGraphicFramePr>
        <xdr:cNvPr id="5" name="Chart 4">
          <a:extLst>
            <a:ext uri="{FF2B5EF4-FFF2-40B4-BE49-F238E27FC236}">
              <a16:creationId xmlns:a16="http://schemas.microsoft.com/office/drawing/2014/main" id="{2DB38716-3EA8-4BD7-BA52-95ECC16425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7</xdr:col>
      <xdr:colOff>244929</xdr:colOff>
      <xdr:row>47</xdr:row>
      <xdr:rowOff>95250</xdr:rowOff>
    </xdr:from>
    <xdr:to>
      <xdr:col>10</xdr:col>
      <xdr:colOff>1387336</xdr:colOff>
      <xdr:row>69</xdr:row>
      <xdr:rowOff>68621</xdr:rowOff>
    </xdr:to>
    <xdr:pic>
      <xdr:nvPicPr>
        <xdr:cNvPr id="9" name="Picture 8" descr="A screenshot of a math problem&#10;&#10;Description automatically generated">
          <a:extLst>
            <a:ext uri="{FF2B5EF4-FFF2-40B4-BE49-F238E27FC236}">
              <a16:creationId xmlns:a16="http://schemas.microsoft.com/office/drawing/2014/main" id="{276B7292-144E-DE7A-31D3-A1EDB78293C0}"/>
            </a:ext>
          </a:extLst>
        </xdr:cNvPr>
        <xdr:cNvPicPr>
          <a:picLocks noChangeAspect="1"/>
        </xdr:cNvPicPr>
      </xdr:nvPicPr>
      <xdr:blipFill>
        <a:blip xmlns:r="http://schemas.openxmlformats.org/officeDocument/2006/relationships" r:embed="rId2"/>
        <a:stretch>
          <a:fillRect/>
        </a:stretch>
      </xdr:blipFill>
      <xdr:spPr>
        <a:xfrm>
          <a:off x="5701393" y="9525000"/>
          <a:ext cx="5496692" cy="4191585"/>
        </a:xfrm>
        <a:prstGeom prst="rect">
          <a:avLst/>
        </a:prstGeom>
      </xdr:spPr>
    </xdr:pic>
    <xdr:clientData/>
  </xdr:twoCellAnchor>
  <xdr:twoCellAnchor editAs="oneCell">
    <xdr:from>
      <xdr:col>8</xdr:col>
      <xdr:colOff>149679</xdr:colOff>
      <xdr:row>73</xdr:row>
      <xdr:rowOff>122464</xdr:rowOff>
    </xdr:from>
    <xdr:to>
      <xdr:col>13</xdr:col>
      <xdr:colOff>869570</xdr:colOff>
      <xdr:row>98</xdr:row>
      <xdr:rowOff>72580</xdr:rowOff>
    </xdr:to>
    <xdr:pic>
      <xdr:nvPicPr>
        <xdr:cNvPr id="2" name="Picture 1" descr="A graph with a dotted line&#10;&#10;Description automatically generated">
          <a:extLst>
            <a:ext uri="{FF2B5EF4-FFF2-40B4-BE49-F238E27FC236}">
              <a16:creationId xmlns:a16="http://schemas.microsoft.com/office/drawing/2014/main" id="{7908FE25-26B0-E53B-43E3-2A7A1B4AB9BA}"/>
            </a:ext>
          </a:extLst>
        </xdr:cNvPr>
        <xdr:cNvPicPr>
          <a:picLocks noChangeAspect="1"/>
        </xdr:cNvPicPr>
      </xdr:nvPicPr>
      <xdr:blipFill>
        <a:blip xmlns:r="http://schemas.openxmlformats.org/officeDocument/2006/relationships" r:embed="rId3"/>
        <a:stretch>
          <a:fillRect/>
        </a:stretch>
      </xdr:blipFill>
      <xdr:spPr>
        <a:xfrm>
          <a:off x="6422572" y="14478000"/>
          <a:ext cx="7754784" cy="471261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22</xdr:col>
      <xdr:colOff>81163</xdr:colOff>
      <xdr:row>8</xdr:row>
      <xdr:rowOff>119766</xdr:rowOff>
    </xdr:from>
    <xdr:to>
      <xdr:col>45</xdr:col>
      <xdr:colOff>448064</xdr:colOff>
      <xdr:row>51</xdr:row>
      <xdr:rowOff>106897</xdr:rowOff>
    </xdr:to>
    <xdr:pic>
      <xdr:nvPicPr>
        <xdr:cNvPr id="2" name="Picture 1" descr="A screenshot of a computer&#10;&#10;Description automatically generated">
          <a:extLst>
            <a:ext uri="{FF2B5EF4-FFF2-40B4-BE49-F238E27FC236}">
              <a16:creationId xmlns:a16="http://schemas.microsoft.com/office/drawing/2014/main" id="{448E0194-DA3E-BAD8-50A4-B6440E098115}"/>
            </a:ext>
          </a:extLst>
        </xdr:cNvPr>
        <xdr:cNvPicPr>
          <a:picLocks noChangeAspect="1"/>
        </xdr:cNvPicPr>
      </xdr:nvPicPr>
      <xdr:blipFill>
        <a:blip xmlns:r="http://schemas.openxmlformats.org/officeDocument/2006/relationships" r:embed="rId1"/>
        <a:stretch>
          <a:fillRect/>
        </a:stretch>
      </xdr:blipFill>
      <xdr:spPr>
        <a:xfrm>
          <a:off x="15266734" y="1643766"/>
          <a:ext cx="14450294" cy="8178631"/>
        </a:xfrm>
        <a:prstGeom prst="rect">
          <a:avLst/>
        </a:prstGeom>
      </xdr:spPr>
    </xdr:pic>
    <xdr:clientData/>
  </xdr:twoCellAnchor>
  <xdr:twoCellAnchor editAs="oneCell">
    <xdr:from>
      <xdr:col>1</xdr:col>
      <xdr:colOff>7203</xdr:colOff>
      <xdr:row>6</xdr:row>
      <xdr:rowOff>160885</xdr:rowOff>
    </xdr:from>
    <xdr:to>
      <xdr:col>21</xdr:col>
      <xdr:colOff>674176</xdr:colOff>
      <xdr:row>48</xdr:row>
      <xdr:rowOff>150361</xdr:rowOff>
    </xdr:to>
    <xdr:pic>
      <xdr:nvPicPr>
        <xdr:cNvPr id="3" name="Picture 2" descr="A screenshot of a computer&#10;&#10;Description automatically generated">
          <a:extLst>
            <a:ext uri="{FF2B5EF4-FFF2-40B4-BE49-F238E27FC236}">
              <a16:creationId xmlns:a16="http://schemas.microsoft.com/office/drawing/2014/main" id="{2E5835C4-10BB-7B41-26FE-AC7F512C9363}"/>
            </a:ext>
          </a:extLst>
        </xdr:cNvPr>
        <xdr:cNvPicPr>
          <a:picLocks noChangeAspect="1"/>
        </xdr:cNvPicPr>
      </xdr:nvPicPr>
      <xdr:blipFill>
        <a:blip xmlns:r="http://schemas.openxmlformats.org/officeDocument/2006/relationships" r:embed="rId2"/>
        <a:stretch>
          <a:fillRect/>
        </a:stretch>
      </xdr:blipFill>
      <xdr:spPr>
        <a:xfrm>
          <a:off x="612321" y="1303885"/>
          <a:ext cx="13702824" cy="7990476"/>
        </a:xfrm>
        <a:prstGeom prst="rect">
          <a:avLst/>
        </a:prstGeom>
      </xdr:spPr>
    </xdr:pic>
    <xdr:clientData/>
  </xdr:twoCellAnchor>
  <xdr:twoCellAnchor editAs="oneCell">
    <xdr:from>
      <xdr:col>0</xdr:col>
      <xdr:colOff>408214</xdr:colOff>
      <xdr:row>51</xdr:row>
      <xdr:rowOff>54428</xdr:rowOff>
    </xdr:from>
    <xdr:to>
      <xdr:col>11</xdr:col>
      <xdr:colOff>396487</xdr:colOff>
      <xdr:row>68</xdr:row>
      <xdr:rowOff>68873</xdr:rowOff>
    </xdr:to>
    <xdr:pic>
      <xdr:nvPicPr>
        <xdr:cNvPr id="4" name="Picture 3" descr="A blue and white table with black text&#10;&#10;Description automatically generated">
          <a:extLst>
            <a:ext uri="{FF2B5EF4-FFF2-40B4-BE49-F238E27FC236}">
              <a16:creationId xmlns:a16="http://schemas.microsoft.com/office/drawing/2014/main" id="{9FDE841D-53F8-276D-9B46-8B38EEB14226}"/>
            </a:ext>
          </a:extLst>
        </xdr:cNvPr>
        <xdr:cNvPicPr>
          <a:picLocks noChangeAspect="1"/>
        </xdr:cNvPicPr>
      </xdr:nvPicPr>
      <xdr:blipFill>
        <a:blip xmlns:r="http://schemas.openxmlformats.org/officeDocument/2006/relationships" r:embed="rId3"/>
        <a:stretch>
          <a:fillRect/>
        </a:stretch>
      </xdr:blipFill>
      <xdr:spPr>
        <a:xfrm>
          <a:off x="408214" y="9769928"/>
          <a:ext cx="6723809" cy="325294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17</xdr:col>
      <xdr:colOff>361950</xdr:colOff>
      <xdr:row>3</xdr:row>
      <xdr:rowOff>0</xdr:rowOff>
    </xdr:from>
    <xdr:to>
      <xdr:col>28</xdr:col>
      <xdr:colOff>530056</xdr:colOff>
      <xdr:row>22</xdr:row>
      <xdr:rowOff>78967</xdr:rowOff>
    </xdr:to>
    <xdr:pic>
      <xdr:nvPicPr>
        <xdr:cNvPr id="2" name="Picture 1" descr="An aerial view of a city&#10;&#10;Description automatically generated">
          <a:extLst>
            <a:ext uri="{FF2B5EF4-FFF2-40B4-BE49-F238E27FC236}">
              <a16:creationId xmlns:a16="http://schemas.microsoft.com/office/drawing/2014/main" id="{22BB03E8-D3B1-4F31-9471-CC3883FA5871}"/>
            </a:ext>
          </a:extLst>
        </xdr:cNvPr>
        <xdr:cNvPicPr>
          <a:picLocks noChangeAspect="1"/>
        </xdr:cNvPicPr>
      </xdr:nvPicPr>
      <xdr:blipFill>
        <a:blip xmlns:r="http://schemas.openxmlformats.org/officeDocument/2006/relationships" r:embed="rId1"/>
        <a:stretch>
          <a:fillRect/>
        </a:stretch>
      </xdr:blipFill>
      <xdr:spPr>
        <a:xfrm>
          <a:off x="12220575" y="571500"/>
          <a:ext cx="6873706" cy="3850867"/>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person displayName="Hunter Fier" id="{293D7A24-08CF-476C-B269-E7DBB30B2DC2}" userId="S::HFier@srfconsulting.com::be2519ad-b9fa-4fd2-9f9b-68c2b4555e7f"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readedComments/threadedComment1.xml><?xml version="1.0" encoding="utf-8"?>
<ThreadedComments xmlns="http://schemas.microsoft.com/office/spreadsheetml/2018/threadedcomments" xmlns:x="http://schemas.openxmlformats.org/spreadsheetml/2006/main">
  <threadedComment ref="B2" dT="2024-07-22T19:34:47.20" personId="{293D7A24-08CF-476C-B269-E7DBB30B2DC2}" id="{129AE93B-448B-4EE7-B18C-22E8343E35E6}">
    <text>Where do these values come from. Looks like it is supposed to be v/c?</text>
  </threadedComment>
  <threadedComment ref="D3" dT="2024-07-22T19:38:28.12" personId="{293D7A24-08CF-476C-B269-E7DBB30B2DC2}" id="{C60A13E1-5DFF-4FB9-8362-9AE6C08EA95E}">
    <text>Wouldn’t the units on this be sec/capacity if column B is V/C?</text>
  </threadedComment>
  <threadedComment ref="A31" dT="2024-07-22T19:40:02.67" personId="{293D7A24-08CF-476C-B269-E7DBB30B2DC2}" id="{C520D5D6-8C85-4BC3-BB50-945AD1D2B901}">
    <text>What’s the purpose of this table compared to the one above?</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4.xml"/><Relationship Id="rId4" Type="http://schemas.microsoft.com/office/2017/10/relationships/threadedComment" Target="../threadedComments/threadedComment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064128-8553-4224-A3EC-4D477614D8C0}">
  <sheetPr>
    <pageSetUpPr fitToPage="1"/>
  </sheetPr>
  <dimension ref="B3:J41"/>
  <sheetViews>
    <sheetView view="pageBreakPreview" topLeftCell="A3" zoomScaleNormal="100" zoomScaleSheetLayoutView="100" workbookViewId="0">
      <selection activeCell="M28" sqref="M28"/>
    </sheetView>
  </sheetViews>
  <sheetFormatPr defaultColWidth="9.140625" defaultRowHeight="12"/>
  <cols>
    <col min="1" max="1" width="3.140625" style="19" customWidth="1"/>
    <col min="2" max="2" width="4.42578125" style="19" customWidth="1"/>
    <col min="3" max="3" width="33.42578125" style="19" customWidth="1"/>
    <col min="4" max="4" width="12.85546875" style="19" bestFit="1" customWidth="1"/>
    <col min="5" max="5" width="6.7109375" style="19" customWidth="1"/>
    <col min="6" max="6" width="8.140625" style="19" customWidth="1"/>
    <col min="7" max="7" width="6" style="19" bestFit="1" customWidth="1"/>
    <col min="8" max="8" width="13.42578125" style="19" customWidth="1"/>
    <col min="9" max="9" width="12.85546875" style="19" bestFit="1" customWidth="1"/>
    <col min="10" max="10" width="5.85546875" style="19" bestFit="1" customWidth="1"/>
    <col min="11" max="11" width="11.28515625" style="19" bestFit="1" customWidth="1"/>
    <col min="12" max="14" width="9.140625" style="19"/>
    <col min="15" max="15" width="10.42578125" style="19" bestFit="1" customWidth="1"/>
    <col min="16" max="16" width="9.140625" style="19"/>
    <col min="17" max="17" width="10.42578125" style="19" bestFit="1" customWidth="1"/>
    <col min="18" max="16384" width="9.140625" style="19"/>
  </cols>
  <sheetData>
    <row r="3" spans="3:10" ht="14.25" thickBot="1">
      <c r="C3" s="35" t="s">
        <v>325</v>
      </c>
      <c r="D3" s="359"/>
      <c r="H3" s="35" t="s">
        <v>326</v>
      </c>
    </row>
    <row r="4" spans="3:10">
      <c r="C4" s="616" t="s">
        <v>29</v>
      </c>
      <c r="D4" s="617">
        <v>2022</v>
      </c>
      <c r="H4" s="259" t="s">
        <v>289</v>
      </c>
      <c r="I4" s="260" t="s">
        <v>17</v>
      </c>
      <c r="J4" s="261" t="s">
        <v>90</v>
      </c>
    </row>
    <row r="5" spans="3:10">
      <c r="C5" s="618" t="s">
        <v>299</v>
      </c>
      <c r="D5" s="619">
        <v>2026</v>
      </c>
      <c r="H5" s="263" t="s">
        <v>148</v>
      </c>
      <c r="I5" s="264">
        <v>670</v>
      </c>
      <c r="J5" s="273">
        <v>30</v>
      </c>
    </row>
    <row r="6" spans="3:10">
      <c r="C6" s="618" t="s">
        <v>30</v>
      </c>
      <c r="D6" s="619">
        <v>3</v>
      </c>
      <c r="H6" s="263" t="s">
        <v>149</v>
      </c>
      <c r="I6" s="264">
        <v>5615</v>
      </c>
      <c r="J6" s="273">
        <v>100</v>
      </c>
    </row>
    <row r="7" spans="3:10">
      <c r="C7" s="618" t="s">
        <v>31</v>
      </c>
      <c r="D7" s="619">
        <v>20</v>
      </c>
      <c r="H7" s="263" t="s">
        <v>150</v>
      </c>
      <c r="I7" s="264">
        <v>5920</v>
      </c>
      <c r="J7" s="273">
        <v>115</v>
      </c>
    </row>
    <row r="8" spans="3:10">
      <c r="C8" s="618" t="s">
        <v>32</v>
      </c>
      <c r="D8" s="619">
        <f>D5+D6</f>
        <v>2029</v>
      </c>
      <c r="H8" s="263" t="s">
        <v>151</v>
      </c>
      <c r="I8" s="264">
        <v>800</v>
      </c>
      <c r="J8" s="273">
        <v>40</v>
      </c>
    </row>
    <row r="9" spans="3:10" ht="12.75" thickBot="1">
      <c r="C9" s="618" t="s">
        <v>33</v>
      </c>
      <c r="D9" s="619">
        <f>D8+20-1</f>
        <v>2048</v>
      </c>
      <c r="H9" s="275" t="s">
        <v>5</v>
      </c>
      <c r="I9" s="360">
        <f>SUM(I5:I8)</f>
        <v>13005</v>
      </c>
      <c r="J9" s="284">
        <f>SUM(J5:J8)</f>
        <v>285</v>
      </c>
    </row>
    <row r="10" spans="3:10" ht="13.5">
      <c r="C10" s="618" t="s">
        <v>327</v>
      </c>
      <c r="D10" s="619">
        <v>2045</v>
      </c>
    </row>
    <row r="11" spans="3:10" ht="14.25" thickBot="1">
      <c r="C11" s="618" t="s">
        <v>328</v>
      </c>
      <c r="D11" s="619">
        <v>255</v>
      </c>
      <c r="H11" s="35" t="s">
        <v>314</v>
      </c>
    </row>
    <row r="12" spans="3:10" ht="14.25" thickBot="1">
      <c r="C12" s="618" t="s">
        <v>329</v>
      </c>
      <c r="D12" s="620">
        <f>'Traffic Delay'!J16</f>
        <v>279.59057070439781</v>
      </c>
      <c r="H12" s="361" t="s">
        <v>41</v>
      </c>
      <c r="I12" s="362" t="s">
        <v>42</v>
      </c>
    </row>
    <row r="13" spans="3:10">
      <c r="C13" s="618" t="s">
        <v>34</v>
      </c>
      <c r="D13" s="621">
        <v>3.1E-2</v>
      </c>
      <c r="H13" s="363" t="s">
        <v>43</v>
      </c>
      <c r="I13" s="364">
        <v>9100</v>
      </c>
    </row>
    <row r="14" spans="3:10" ht="13.5">
      <c r="C14" s="618" t="s">
        <v>330</v>
      </c>
      <c r="D14" s="622">
        <f>J9/I9</f>
        <v>2.1914648212226068E-2</v>
      </c>
      <c r="H14" s="365" t="s">
        <v>44</v>
      </c>
      <c r="I14" s="14">
        <v>31300</v>
      </c>
    </row>
    <row r="15" spans="3:10" ht="12.75" thickBot="1">
      <c r="C15" s="618" t="s">
        <v>35</v>
      </c>
      <c r="D15" s="619">
        <v>1.67</v>
      </c>
      <c r="H15" s="366" t="s">
        <v>45</v>
      </c>
      <c r="I15" s="18">
        <v>14022900</v>
      </c>
    </row>
    <row r="16" spans="3:10">
      <c r="C16" s="618" t="s">
        <v>36</v>
      </c>
      <c r="D16" s="624">
        <v>1</v>
      </c>
    </row>
    <row r="17" spans="2:5">
      <c r="C17" s="618" t="s">
        <v>37</v>
      </c>
      <c r="D17" s="623">
        <v>19.600000000000001</v>
      </c>
    </row>
    <row r="18" spans="2:5">
      <c r="C18" s="618" t="s">
        <v>38</v>
      </c>
      <c r="D18" s="623">
        <v>33.5</v>
      </c>
    </row>
    <row r="19" spans="2:5">
      <c r="C19" s="618" t="s">
        <v>39</v>
      </c>
      <c r="D19" s="623">
        <v>0.52</v>
      </c>
    </row>
    <row r="20" spans="2:5">
      <c r="C20" s="618" t="s">
        <v>40</v>
      </c>
      <c r="D20" s="623">
        <v>1.32</v>
      </c>
    </row>
    <row r="21" spans="2:5">
      <c r="C21" s="263" t="s">
        <v>545</v>
      </c>
      <c r="D21" s="310">
        <v>133626</v>
      </c>
    </row>
    <row r="22" spans="2:5">
      <c r="C22" s="263" t="s">
        <v>544</v>
      </c>
      <c r="D22" s="310">
        <v>114778</v>
      </c>
    </row>
    <row r="23" spans="2:5" ht="12.75" thickBot="1">
      <c r="C23" s="275" t="s">
        <v>508</v>
      </c>
      <c r="D23" s="582">
        <f>(Assumptions!D21/Assumptions!D22-1)/10</f>
        <v>1.6421265399292541E-2</v>
      </c>
    </row>
    <row r="24" spans="2:5" ht="12" customHeight="1">
      <c r="E24" s="569"/>
    </row>
    <row r="25" spans="2:5">
      <c r="C25" s="256" t="s">
        <v>243</v>
      </c>
      <c r="E25" s="569"/>
    </row>
    <row r="26" spans="2:5">
      <c r="B26" s="172" t="s">
        <v>18</v>
      </c>
      <c r="C26" s="625" t="s">
        <v>331</v>
      </c>
      <c r="D26" s="625"/>
      <c r="E26" s="569"/>
    </row>
    <row r="27" spans="2:5" ht="12" customHeight="1">
      <c r="B27" s="172"/>
      <c r="C27" s="625"/>
      <c r="D27" s="625"/>
      <c r="E27" s="569"/>
    </row>
    <row r="28" spans="2:5">
      <c r="B28" s="172"/>
      <c r="C28" s="625"/>
      <c r="D28" s="625"/>
      <c r="E28" s="569"/>
    </row>
    <row r="29" spans="2:5">
      <c r="B29" s="172" t="s">
        <v>19</v>
      </c>
      <c r="C29" s="625" t="s">
        <v>300</v>
      </c>
      <c r="D29" s="625"/>
      <c r="E29" s="569"/>
    </row>
    <row r="30" spans="2:5">
      <c r="B30" s="172"/>
      <c r="C30" s="625"/>
      <c r="D30" s="625"/>
      <c r="E30" s="569"/>
    </row>
    <row r="31" spans="2:5" ht="12" customHeight="1">
      <c r="B31" s="172"/>
      <c r="C31" s="625"/>
      <c r="D31" s="625"/>
      <c r="E31" s="569"/>
    </row>
    <row r="32" spans="2:5">
      <c r="B32" s="172"/>
      <c r="C32" s="625"/>
      <c r="D32" s="625"/>
      <c r="E32" s="569"/>
    </row>
    <row r="33" spans="2:5" ht="12" customHeight="1">
      <c r="B33" s="172" t="s">
        <v>228</v>
      </c>
      <c r="C33" s="625" t="s">
        <v>315</v>
      </c>
      <c r="D33" s="625"/>
      <c r="E33" s="569"/>
    </row>
    <row r="34" spans="2:5">
      <c r="B34" s="172"/>
      <c r="C34" s="625"/>
      <c r="D34" s="625"/>
      <c r="E34" s="569"/>
    </row>
    <row r="35" spans="2:5">
      <c r="B35" s="172" t="s">
        <v>20</v>
      </c>
      <c r="C35" s="625" t="s">
        <v>301</v>
      </c>
      <c r="D35" s="625"/>
      <c r="E35" s="569"/>
    </row>
    <row r="36" spans="2:5">
      <c r="B36" s="172"/>
      <c r="C36" s="625"/>
      <c r="D36" s="625"/>
    </row>
    <row r="37" spans="2:5">
      <c r="B37" s="172"/>
      <c r="C37" s="625"/>
      <c r="D37" s="625"/>
    </row>
    <row r="38" spans="2:5" ht="12" customHeight="1">
      <c r="B38" s="172" t="s">
        <v>302</v>
      </c>
      <c r="C38" s="625" t="s">
        <v>588</v>
      </c>
      <c r="D38" s="625"/>
    </row>
    <row r="39" spans="2:5">
      <c r="B39" s="172"/>
      <c r="C39" s="625"/>
      <c r="D39" s="625"/>
    </row>
    <row r="40" spans="2:5">
      <c r="B40" s="172"/>
      <c r="C40" s="307"/>
      <c r="D40" s="307"/>
    </row>
    <row r="41" spans="2:5">
      <c r="B41" s="172"/>
      <c r="C41" s="307"/>
      <c r="D41" s="307"/>
    </row>
  </sheetData>
  <mergeCells count="5">
    <mergeCell ref="C26:D28"/>
    <mergeCell ref="C29:D32"/>
    <mergeCell ref="C33:D34"/>
    <mergeCell ref="C35:D37"/>
    <mergeCell ref="C38:D39"/>
  </mergeCells>
  <pageMargins left="0.7" right="0.7" top="0.75" bottom="0.75" header="0.3" footer="0.3"/>
  <pageSetup orientation="portrait" horizontalDpi="1200" verticalDpi="1200"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B37834-3462-4176-A564-DDCEB18EA9AF}">
  <sheetPr>
    <tabColor theme="0" tint="-0.499984740745262"/>
  </sheetPr>
  <dimension ref="A1:AB104"/>
  <sheetViews>
    <sheetView zoomScale="70" zoomScaleNormal="70" workbookViewId="0">
      <selection activeCell="T64" sqref="T64"/>
    </sheetView>
  </sheetViews>
  <sheetFormatPr defaultRowHeight="15"/>
  <cols>
    <col min="1" max="1" width="8.7109375" bestFit="1" customWidth="1"/>
    <col min="2" max="2" width="16.85546875" customWidth="1"/>
    <col min="3" max="3" width="14.85546875" bestFit="1" customWidth="1"/>
    <col min="4" max="8" width="12.140625" customWidth="1"/>
    <col min="9" max="9" width="39.5703125" customWidth="1"/>
    <col min="10" max="10" width="13.42578125" bestFit="1" customWidth="1"/>
    <col min="11" max="11" width="21.42578125" bestFit="1" customWidth="1"/>
    <col min="12" max="12" width="15.7109375" style="8" customWidth="1"/>
    <col min="13" max="15" width="15.28515625" style="8" customWidth="1"/>
    <col min="16" max="16" width="15.28515625" customWidth="1"/>
    <col min="17" max="17" width="11.7109375" customWidth="1"/>
    <col min="19" max="19" width="16.85546875" bestFit="1" customWidth="1"/>
    <col min="20" max="20" width="14" customWidth="1"/>
  </cols>
  <sheetData>
    <row r="1" spans="1:17" ht="15.75" thickBot="1">
      <c r="A1" s="611" t="s">
        <v>432</v>
      </c>
      <c r="B1" s="611"/>
      <c r="L1" s="329" t="s">
        <v>412</v>
      </c>
      <c r="O1"/>
    </row>
    <row r="2" spans="1:17">
      <c r="A2" s="780" t="s">
        <v>175</v>
      </c>
      <c r="B2" s="782" t="s">
        <v>583</v>
      </c>
      <c r="C2" s="774" t="s">
        <v>541</v>
      </c>
      <c r="D2" s="775"/>
      <c r="E2" s="775"/>
      <c r="F2" s="775"/>
      <c r="G2" s="776"/>
      <c r="L2" s="778" t="s">
        <v>411</v>
      </c>
      <c r="M2" s="774" t="s">
        <v>410</v>
      </c>
      <c r="N2" s="775"/>
      <c r="O2" s="777" t="s">
        <v>409</v>
      </c>
      <c r="P2" s="729"/>
      <c r="Q2" s="772" t="s">
        <v>470</v>
      </c>
    </row>
    <row r="3" spans="1:17" ht="30.75" thickBot="1">
      <c r="A3" s="781"/>
      <c r="B3" s="783"/>
      <c r="C3" s="588" t="s">
        <v>474</v>
      </c>
      <c r="D3" s="493" t="s">
        <v>473</v>
      </c>
      <c r="E3" s="493" t="s">
        <v>468</v>
      </c>
      <c r="F3" s="493" t="s">
        <v>486</v>
      </c>
      <c r="G3" s="589" t="s">
        <v>487</v>
      </c>
      <c r="I3" s="511" t="s">
        <v>488</v>
      </c>
      <c r="J3" s="24"/>
      <c r="K3" s="24"/>
      <c r="L3" s="779"/>
      <c r="M3" s="488" t="s">
        <v>471</v>
      </c>
      <c r="N3" s="489" t="s">
        <v>408</v>
      </c>
      <c r="O3" s="488" t="s">
        <v>471</v>
      </c>
      <c r="P3" s="489" t="s">
        <v>408</v>
      </c>
      <c r="Q3" s="773"/>
    </row>
    <row r="4" spans="1:17">
      <c r="A4" s="495" t="s">
        <v>176</v>
      </c>
      <c r="B4" s="496">
        <v>12</v>
      </c>
      <c r="C4" s="591">
        <f t="shared" ref="C4:C15" si="0">$J$27*((1+B4/$J$25))^($J$26)-$J$30</f>
        <v>0.47956591502610024</v>
      </c>
      <c r="D4" s="497">
        <f>B4*C4</f>
        <v>5.7547909803132029</v>
      </c>
      <c r="E4" s="514">
        <f t="shared" ref="E4:E27" si="1">B4*Q4</f>
        <v>14.186011044955908</v>
      </c>
      <c r="F4" s="513">
        <f t="shared" ref="F4:F15" si="2">$J$27*((1+E4/$J$25))^($J$26)-$J$30</f>
        <v>0.56709733174709243</v>
      </c>
      <c r="G4" s="505">
        <f>E4*F4</f>
        <v>8.0448490117292781</v>
      </c>
      <c r="H4" s="174"/>
      <c r="I4" s="176" t="s">
        <v>509</v>
      </c>
      <c r="J4" s="505">
        <f>SUM(D11,D40)/3600</f>
        <v>4.935279792047508</v>
      </c>
      <c r="L4" s="486" t="s">
        <v>571</v>
      </c>
      <c r="M4" s="567">
        <f>AVERAGE(M27,M5)</f>
        <v>259.85869565217394</v>
      </c>
      <c r="N4" s="568">
        <f>AVERAGE(N27,N5)</f>
        <v>229.62686567164181</v>
      </c>
      <c r="O4" s="564">
        <f>AVERAGE(O27,O5)</f>
        <v>148.5925</v>
      </c>
      <c r="P4" s="487">
        <f t="shared" ref="P4" si="3">AVERAGE(P27,P5)</f>
        <v>115.88353413654619</v>
      </c>
      <c r="Q4" s="485">
        <f>SUM(M4,O4)/SUM(N4,P4)</f>
        <v>1.1821675870796591</v>
      </c>
    </row>
    <row r="5" spans="1:17">
      <c r="A5" s="498" t="s">
        <v>177</v>
      </c>
      <c r="B5" s="490">
        <v>7</v>
      </c>
      <c r="C5" s="375">
        <f t="shared" si="0"/>
        <v>0.27955483735699715</v>
      </c>
      <c r="D5" s="477">
        <f t="shared" ref="D5:D27" si="4">B5*C5</f>
        <v>1.9568838614989801</v>
      </c>
      <c r="E5" s="356">
        <f t="shared" si="1"/>
        <v>11.303333734093941</v>
      </c>
      <c r="F5" s="38">
        <f t="shared" si="2"/>
        <v>0.4516812820737357</v>
      </c>
      <c r="G5" s="478">
        <f t="shared" ref="G5:G27" si="5">E5*F5</f>
        <v>5.1055042727228575</v>
      </c>
      <c r="H5" s="174"/>
      <c r="I5" s="474" t="s">
        <v>510</v>
      </c>
      <c r="J5" s="478">
        <f>SUM(D20,D49)/3600</f>
        <v>5.7565255145306677</v>
      </c>
      <c r="L5" s="389">
        <v>4.1666666666666664E-2</v>
      </c>
      <c r="M5" s="385">
        <v>188.52173913043478</v>
      </c>
      <c r="N5" s="386">
        <v>126.19154228855722</v>
      </c>
      <c r="O5" s="565">
        <v>104.69499999999999</v>
      </c>
      <c r="P5" s="356">
        <v>55.393574297188756</v>
      </c>
      <c r="Q5" s="483">
        <f t="shared" ref="Q5:Q27" si="6">SUM(M5,O5)/SUM(N5,P5)</f>
        <v>1.6147619620134201</v>
      </c>
    </row>
    <row r="6" spans="1:17">
      <c r="A6" s="499" t="s">
        <v>178</v>
      </c>
      <c r="B6" s="491">
        <v>9</v>
      </c>
      <c r="C6" s="375">
        <f t="shared" si="0"/>
        <v>0.3595263676033511</v>
      </c>
      <c r="D6" s="477">
        <f t="shared" si="4"/>
        <v>3.2357373084301599</v>
      </c>
      <c r="E6" s="356">
        <f t="shared" si="1"/>
        <v>13.716164265049281</v>
      </c>
      <c r="F6" s="38">
        <f t="shared" si="2"/>
        <v>0.54827948625079159</v>
      </c>
      <c r="G6" s="478">
        <f t="shared" si="5"/>
        <v>7.5202914965726864</v>
      </c>
      <c r="H6" s="174"/>
      <c r="I6" s="474" t="s">
        <v>511</v>
      </c>
      <c r="J6" s="478">
        <f>SUM(J4:J5)</f>
        <v>10.691805306578175</v>
      </c>
      <c r="L6" s="389">
        <v>8.3333333333333301E-2</v>
      </c>
      <c r="M6" s="385">
        <v>112.40760869565217</v>
      </c>
      <c r="N6" s="386">
        <v>84.303482587064678</v>
      </c>
      <c r="O6" s="565">
        <v>72.099999999999994</v>
      </c>
      <c r="P6" s="356">
        <v>36.76305220883534</v>
      </c>
      <c r="Q6" s="483">
        <f t="shared" si="6"/>
        <v>1.5240182516721423</v>
      </c>
    </row>
    <row r="7" spans="1:17">
      <c r="A7" s="498" t="s">
        <v>179</v>
      </c>
      <c r="B7" s="490">
        <v>13</v>
      </c>
      <c r="C7" s="375">
        <f t="shared" si="0"/>
        <v>0.51960102948241627</v>
      </c>
      <c r="D7" s="477">
        <f t="shared" si="4"/>
        <v>6.7548133832714115</v>
      </c>
      <c r="E7" s="356">
        <f t="shared" si="1"/>
        <v>18.336977098261794</v>
      </c>
      <c r="F7" s="38">
        <f t="shared" si="2"/>
        <v>0.73345293006698853</v>
      </c>
      <c r="G7" s="478">
        <f t="shared" si="5"/>
        <v>13.449309581291377</v>
      </c>
      <c r="H7" s="174"/>
      <c r="I7" s="474" t="s">
        <v>512</v>
      </c>
      <c r="J7" s="478">
        <f>SUM(D4:D27,D33:D56)/3600-J6</f>
        <v>31.834207781086214</v>
      </c>
      <c r="L7" s="389">
        <v>0.125</v>
      </c>
      <c r="M7" s="385">
        <v>86.054347826086953</v>
      </c>
      <c r="N7" s="386">
        <v>65.962686567164184</v>
      </c>
      <c r="O7" s="565">
        <v>43.854999999999997</v>
      </c>
      <c r="P7" s="356">
        <v>26.136546184738958</v>
      </c>
      <c r="Q7" s="483">
        <f t="shared" si="6"/>
        <v>1.4105366998662918</v>
      </c>
    </row>
    <row r="8" spans="1:17" ht="16.5">
      <c r="A8" s="499" t="s">
        <v>180</v>
      </c>
      <c r="B8" s="491">
        <v>23</v>
      </c>
      <c r="C8" s="375">
        <f t="shared" si="0"/>
        <v>0.9205551818904496</v>
      </c>
      <c r="D8" s="477">
        <f t="shared" si="4"/>
        <v>21.172769183480341</v>
      </c>
      <c r="E8" s="356">
        <f t="shared" si="1"/>
        <v>21.979105454455961</v>
      </c>
      <c r="F8" s="38">
        <f t="shared" si="2"/>
        <v>0.87957174744319389</v>
      </c>
      <c r="G8" s="478">
        <f t="shared" si="5"/>
        <v>19.332200191814064</v>
      </c>
      <c r="H8" s="174"/>
      <c r="I8" s="474" t="s">
        <v>546</v>
      </c>
      <c r="J8" s="478">
        <f>J7/J6</f>
        <v>2.977439905447969</v>
      </c>
      <c r="L8" s="389">
        <v>0.16666666666666699</v>
      </c>
      <c r="M8" s="385">
        <v>96.336956521739125</v>
      </c>
      <c r="N8" s="386">
        <v>105.68159203980099</v>
      </c>
      <c r="O8" s="565">
        <v>31.67</v>
      </c>
      <c r="P8" s="356">
        <v>28.271084337349397</v>
      </c>
      <c r="Q8" s="483">
        <f t="shared" si="6"/>
        <v>0.95561328062852002</v>
      </c>
    </row>
    <row r="9" spans="1:17">
      <c r="A9" s="498" t="s">
        <v>181</v>
      </c>
      <c r="B9" s="490">
        <v>39</v>
      </c>
      <c r="C9" s="375">
        <f t="shared" si="0"/>
        <v>1.56436140681636</v>
      </c>
      <c r="D9" s="477">
        <f t="shared" si="4"/>
        <v>61.010094865838042</v>
      </c>
      <c r="E9" s="356">
        <f t="shared" si="1"/>
        <v>25.043326354207906</v>
      </c>
      <c r="F9" s="38">
        <f t="shared" si="2"/>
        <v>1.0026180759962244</v>
      </c>
      <c r="G9" s="478">
        <f t="shared" si="5"/>
        <v>25.108891685801474</v>
      </c>
      <c r="H9" s="174"/>
      <c r="I9" s="474" t="s">
        <v>522</v>
      </c>
      <c r="J9" s="384">
        <f>5*52</f>
        <v>260</v>
      </c>
      <c r="L9" s="389">
        <v>0.20833333333333301</v>
      </c>
      <c r="M9" s="385">
        <v>105.68478260869566</v>
      </c>
      <c r="N9" s="386">
        <v>162.76616915422886</v>
      </c>
      <c r="O9" s="565">
        <v>33.265000000000001</v>
      </c>
      <c r="P9" s="356">
        <v>53.620481927710841</v>
      </c>
      <c r="Q9" s="483">
        <f t="shared" si="6"/>
        <v>0.64213657318481809</v>
      </c>
    </row>
    <row r="10" spans="1:17">
      <c r="A10" s="499" t="s">
        <v>182</v>
      </c>
      <c r="B10" s="491">
        <v>55</v>
      </c>
      <c r="C10" s="375">
        <f t="shared" si="0"/>
        <v>2.2109715822235643</v>
      </c>
      <c r="D10" s="477">
        <f t="shared" si="4"/>
        <v>121.60343702229603</v>
      </c>
      <c r="E10" s="356">
        <f t="shared" si="1"/>
        <v>23.137755017545761</v>
      </c>
      <c r="F10" s="38">
        <f t="shared" si="2"/>
        <v>0.92608618089782624</v>
      </c>
      <c r="G10" s="478">
        <f>E10*F10</f>
        <v>21.42755517874847</v>
      </c>
      <c r="H10" s="174"/>
      <c r="I10" s="474" t="s">
        <v>523</v>
      </c>
      <c r="J10" s="384">
        <v>5</v>
      </c>
      <c r="L10" s="389">
        <v>0.25</v>
      </c>
      <c r="M10" s="385">
        <v>167.66847826086956</v>
      </c>
      <c r="N10" s="386">
        <v>391.77860696517411</v>
      </c>
      <c r="O10" s="565">
        <v>51.34</v>
      </c>
      <c r="P10" s="356">
        <v>128.81927710843374</v>
      </c>
      <c r="Q10" s="483">
        <f t="shared" si="6"/>
        <v>0.42068645486446837</v>
      </c>
    </row>
    <row r="11" spans="1:17">
      <c r="A11" s="498" t="s">
        <v>183</v>
      </c>
      <c r="B11" s="490">
        <v>206</v>
      </c>
      <c r="C11" s="375">
        <f>$J$27*((1+B11/$J$25))^($J$26)-$J$30</f>
        <v>8.4510990766721932</v>
      </c>
      <c r="D11" s="477">
        <f>B11*C11</f>
        <v>1740.9264097944717</v>
      </c>
      <c r="E11" s="356">
        <f t="shared" si="1"/>
        <v>63.702310435151752</v>
      </c>
      <c r="F11" s="38">
        <f t="shared" si="2"/>
        <v>2.5638358137822337</v>
      </c>
      <c r="G11" s="478">
        <f t="shared" si="5"/>
        <v>163.32226491431578</v>
      </c>
      <c r="I11" s="474" t="s">
        <v>524</v>
      </c>
      <c r="J11" s="384">
        <f>J9-J10</f>
        <v>255</v>
      </c>
      <c r="L11" s="389">
        <v>0.29166666666666702</v>
      </c>
      <c r="M11" s="385">
        <v>255.40760869565219</v>
      </c>
      <c r="N11" s="386">
        <v>794.92537313432831</v>
      </c>
      <c r="O11" s="565">
        <v>89.105000000000004</v>
      </c>
      <c r="P11" s="356">
        <v>319.15662650602411</v>
      </c>
      <c r="Q11" s="483">
        <f t="shared" si="6"/>
        <v>0.30923451667549395</v>
      </c>
    </row>
    <row r="12" spans="1:17">
      <c r="A12" s="499" t="s">
        <v>184</v>
      </c>
      <c r="B12" s="491">
        <v>184</v>
      </c>
      <c r="C12" s="375">
        <f t="shared" si="0"/>
        <v>7.5264705997323915</v>
      </c>
      <c r="D12" s="477">
        <f>B12*C12</f>
        <v>1384.87059035076</v>
      </c>
      <c r="E12" s="356">
        <f t="shared" si="1"/>
        <v>46.687698639387129</v>
      </c>
      <c r="F12" s="38">
        <f t="shared" si="2"/>
        <v>1.8746955759401374</v>
      </c>
      <c r="G12" s="478">
        <f>E12*F12</f>
        <v>87.525222090085421</v>
      </c>
      <c r="I12" s="474" t="s">
        <v>525</v>
      </c>
      <c r="J12" s="384">
        <f>52*2</f>
        <v>104</v>
      </c>
      <c r="K12" s="8"/>
      <c r="L12" s="389">
        <v>0.33333333333333298</v>
      </c>
      <c r="M12" s="385">
        <v>370.04891304347825</v>
      </c>
      <c r="N12" s="386">
        <v>1386.3034825870648</v>
      </c>
      <c r="O12" s="565">
        <v>151.96</v>
      </c>
      <c r="P12" s="356">
        <v>670.97590361445782</v>
      </c>
      <c r="Q12" s="483">
        <f t="shared" si="6"/>
        <v>0.25373749260536482</v>
      </c>
    </row>
    <row r="13" spans="1:17">
      <c r="A13" s="498" t="s">
        <v>185</v>
      </c>
      <c r="B13" s="490">
        <v>112</v>
      </c>
      <c r="C13" s="375">
        <f t="shared" si="0"/>
        <v>4.5372790955148901</v>
      </c>
      <c r="D13" s="477">
        <f t="shared" si="4"/>
        <v>508.17525869766769</v>
      </c>
      <c r="E13" s="356">
        <f t="shared" si="1"/>
        <v>47.428552933026268</v>
      </c>
      <c r="F13" s="38">
        <f t="shared" si="2"/>
        <v>1.9046362964327699</v>
      </c>
      <c r="G13" s="478">
        <f t="shared" si="5"/>
        <v>90.334143403524735</v>
      </c>
      <c r="I13" s="474" t="s">
        <v>520</v>
      </c>
      <c r="J13" s="386">
        <f>SUM(D4:D27,D33:D56)/3600*J11</f>
        <v>10844.133337354418</v>
      </c>
      <c r="L13" s="389">
        <v>0.375</v>
      </c>
      <c r="M13" s="385">
        <v>463.875</v>
      </c>
      <c r="N13" s="386">
        <v>1134.8059701492537</v>
      </c>
      <c r="O13" s="565">
        <v>262.54000000000002</v>
      </c>
      <c r="P13" s="356">
        <v>580.58433734939763</v>
      </c>
      <c r="Q13" s="483">
        <f t="shared" si="6"/>
        <v>0.42346922261630598</v>
      </c>
    </row>
    <row r="14" spans="1:17">
      <c r="A14" s="499" t="s">
        <v>186</v>
      </c>
      <c r="B14" s="491">
        <v>150</v>
      </c>
      <c r="C14" s="375">
        <f t="shared" si="0"/>
        <v>6.1078649900690181</v>
      </c>
      <c r="D14" s="477">
        <f t="shared" si="4"/>
        <v>916.17974851035274</v>
      </c>
      <c r="E14" s="356">
        <f t="shared" si="1"/>
        <v>109.29566015001473</v>
      </c>
      <c r="F14" s="38">
        <f t="shared" si="2"/>
        <v>4.4261061446281644</v>
      </c>
      <c r="G14" s="478">
        <f t="shared" si="5"/>
        <v>483.75419297117179</v>
      </c>
      <c r="I14" s="474" t="s">
        <v>521</v>
      </c>
      <c r="J14" s="386">
        <f>SUM(G4:G27,G33:G56)/3600*J12</f>
        <v>2564.0714188474167</v>
      </c>
      <c r="L14" s="389">
        <v>0.41666666666666702</v>
      </c>
      <c r="M14" s="385">
        <v>663.65760869565213</v>
      </c>
      <c r="N14" s="386">
        <v>932.3656716417911</v>
      </c>
      <c r="O14" s="565">
        <v>363.315</v>
      </c>
      <c r="P14" s="356">
        <v>477.07630522088351</v>
      </c>
      <c r="Q14" s="483">
        <f t="shared" si="6"/>
        <v>0.72863773433343149</v>
      </c>
    </row>
    <row r="15" spans="1:17">
      <c r="A15" s="498" t="s">
        <v>187</v>
      </c>
      <c r="B15" s="490">
        <v>174</v>
      </c>
      <c r="C15" s="375">
        <f t="shared" si="0"/>
        <v>7.1079264855575133</v>
      </c>
      <c r="D15" s="477">
        <f t="shared" si="4"/>
        <v>1236.7792084870073</v>
      </c>
      <c r="E15" s="356">
        <f t="shared" si="1"/>
        <v>158.45430568182235</v>
      </c>
      <c r="F15" s="38">
        <f t="shared" si="2"/>
        <v>6.459433309534262</v>
      </c>
      <c r="G15" s="478">
        <f t="shared" si="5"/>
        <v>1023.5250201602873</v>
      </c>
      <c r="I15" s="474" t="s">
        <v>469</v>
      </c>
      <c r="J15" s="376">
        <f>J14/J13</f>
        <v>0.23644779523459444</v>
      </c>
      <c r="L15" s="389">
        <v>0.45833333333333298</v>
      </c>
      <c r="M15" s="385">
        <v>869.81521739130437</v>
      </c>
      <c r="N15" s="386">
        <v>972.79601990049753</v>
      </c>
      <c r="O15" s="565">
        <v>482.48</v>
      </c>
      <c r="P15" s="356">
        <v>512.17068273092366</v>
      </c>
      <c r="Q15" s="483">
        <f t="shared" si="6"/>
        <v>0.91065692920587549</v>
      </c>
    </row>
    <row r="16" spans="1:17" ht="17.25" thickBot="1">
      <c r="A16" s="499" t="s">
        <v>188</v>
      </c>
      <c r="B16" s="491">
        <v>191</v>
      </c>
      <c r="C16" s="375">
        <f t="shared" ref="C16:C27" si="7">$J$28*((1+B16/$J$25))^($J$26)-$J$30</f>
        <v>9.3326065646700158</v>
      </c>
      <c r="D16" s="477">
        <f t="shared" si="4"/>
        <v>1782.5278538519731</v>
      </c>
      <c r="E16" s="356">
        <f t="shared" si="1"/>
        <v>219.67368419739262</v>
      </c>
      <c r="F16" s="38">
        <f t="shared" ref="F16:F27" si="8">$J$28*((1+E16/$J$25))^($J$26)-$J$30</f>
        <v>10.565294732486819</v>
      </c>
      <c r="G16" s="478">
        <f t="shared" si="5"/>
        <v>2320.9172185166854</v>
      </c>
      <c r="I16" s="178" t="s">
        <v>547</v>
      </c>
      <c r="J16" s="388">
        <f>J11+J15*J12</f>
        <v>279.59057070439781</v>
      </c>
      <c r="L16" s="389">
        <v>0.5</v>
      </c>
      <c r="M16" s="385">
        <v>235.44021739130434</v>
      </c>
      <c r="N16" s="386">
        <v>206.38308457711443</v>
      </c>
      <c r="O16" s="565">
        <v>120.58499999999999</v>
      </c>
      <c r="P16" s="356">
        <v>103.1706827309237</v>
      </c>
      <c r="Q16" s="483">
        <f t="shared" si="6"/>
        <v>1.1501240010334692</v>
      </c>
    </row>
    <row r="17" spans="1:17">
      <c r="A17" s="498" t="s">
        <v>189</v>
      </c>
      <c r="B17" s="490">
        <v>177</v>
      </c>
      <c r="C17" s="375">
        <f t="shared" si="7"/>
        <v>8.7340592915061706</v>
      </c>
      <c r="D17" s="477">
        <f t="shared" si="4"/>
        <v>1545.9284945965921</v>
      </c>
      <c r="E17" s="356">
        <f t="shared" si="1"/>
        <v>163.42738242462997</v>
      </c>
      <c r="F17" s="38">
        <f t="shared" si="8"/>
        <v>8.155862739703494</v>
      </c>
      <c r="G17" s="478">
        <f t="shared" si="5"/>
        <v>1332.8912989643131</v>
      </c>
      <c r="J17" s="8"/>
      <c r="L17" s="389">
        <v>0.54166666666666696</v>
      </c>
      <c r="M17" s="385">
        <v>1098.7173913043478</v>
      </c>
      <c r="N17" s="386">
        <v>1172.2587064676618</v>
      </c>
      <c r="O17" s="565">
        <v>599.33000000000004</v>
      </c>
      <c r="P17" s="356">
        <v>666.81124497991971</v>
      </c>
      <c r="Q17" s="483">
        <f t="shared" si="6"/>
        <v>0.92331854477192077</v>
      </c>
    </row>
    <row r="18" spans="1:17" ht="15.75" thickBot="1">
      <c r="A18" s="499" t="s">
        <v>190</v>
      </c>
      <c r="B18" s="491">
        <v>187</v>
      </c>
      <c r="C18" s="375">
        <f t="shared" si="7"/>
        <v>9.1613709492618511</v>
      </c>
      <c r="D18" s="477">
        <f t="shared" si="4"/>
        <v>1713.1763675119662</v>
      </c>
      <c r="E18" s="356">
        <f t="shared" si="1"/>
        <v>175.12069216843659</v>
      </c>
      <c r="F18" s="38">
        <f t="shared" si="8"/>
        <v>8.653878267725915</v>
      </c>
      <c r="G18" s="478">
        <f t="shared" si="5"/>
        <v>1515.4731521855533</v>
      </c>
      <c r="I18" s="7" t="s">
        <v>489</v>
      </c>
      <c r="J18" s="8"/>
      <c r="L18" s="389">
        <v>0.58333333333333304</v>
      </c>
      <c r="M18" s="385">
        <v>1096.1521739130435</v>
      </c>
      <c r="N18" s="386">
        <v>1147.9477611940299</v>
      </c>
      <c r="O18" s="565">
        <v>581.03</v>
      </c>
      <c r="P18" s="356">
        <v>643.00602409638554</v>
      </c>
      <c r="Q18" s="483">
        <f t="shared" si="6"/>
        <v>0.93647428967078394</v>
      </c>
    </row>
    <row r="19" spans="1:17">
      <c r="A19" s="498" t="s">
        <v>191</v>
      </c>
      <c r="B19" s="490">
        <v>285</v>
      </c>
      <c r="C19" s="375">
        <f t="shared" si="7"/>
        <v>13.407720297514487</v>
      </c>
      <c r="D19" s="477">
        <f t="shared" si="4"/>
        <v>3821.2002847916287</v>
      </c>
      <c r="E19" s="356">
        <f t="shared" si="1"/>
        <v>255.00063266207295</v>
      </c>
      <c r="F19" s="38">
        <f t="shared" si="8"/>
        <v>12.09654377942725</v>
      </c>
      <c r="G19" s="478">
        <f t="shared" si="5"/>
        <v>3084.6263167784118</v>
      </c>
      <c r="I19" s="176" t="s">
        <v>482</v>
      </c>
      <c r="J19" s="372">
        <f>'Annualized Operations'!M11</f>
        <v>21.8</v>
      </c>
      <c r="L19" s="389">
        <v>0.625</v>
      </c>
      <c r="M19" s="385">
        <v>1053.733695652174</v>
      </c>
      <c r="N19" s="386">
        <v>1148.4452736318408</v>
      </c>
      <c r="O19" s="565">
        <v>572.72</v>
      </c>
      <c r="P19" s="356">
        <v>669.35140562249001</v>
      </c>
      <c r="Q19" s="483">
        <f t="shared" si="6"/>
        <v>0.89473906197218578</v>
      </c>
    </row>
    <row r="20" spans="1:17">
      <c r="A20" s="499" t="s">
        <v>192</v>
      </c>
      <c r="B20" s="491">
        <v>237</v>
      </c>
      <c r="C20" s="375">
        <f t="shared" si="7"/>
        <v>11.314576968207433</v>
      </c>
      <c r="D20" s="477">
        <f t="shared" si="4"/>
        <v>2681.5547414651614</v>
      </c>
      <c r="E20" s="356">
        <f t="shared" si="1"/>
        <v>185.99363839621154</v>
      </c>
      <c r="F20" s="38">
        <f t="shared" si="8"/>
        <v>9.118317684454297</v>
      </c>
      <c r="G20" s="478">
        <f t="shared" si="5"/>
        <v>1695.9490821841734</v>
      </c>
      <c r="I20" s="474" t="s">
        <v>483</v>
      </c>
      <c r="J20" s="384">
        <f>'Annualized Operations'!N11</f>
        <v>23.9</v>
      </c>
      <c r="L20" s="389">
        <v>0.66666666666666696</v>
      </c>
      <c r="M20" s="385">
        <v>1065.7282608695652</v>
      </c>
      <c r="N20" s="386">
        <v>1313.0995024875622</v>
      </c>
      <c r="O20" s="565">
        <v>570.125</v>
      </c>
      <c r="P20" s="356">
        <v>771.36546184738961</v>
      </c>
      <c r="Q20" s="483">
        <f t="shared" si="6"/>
        <v>0.78478328437220057</v>
      </c>
    </row>
    <row r="21" spans="1:17">
      <c r="A21" s="498" t="s">
        <v>193</v>
      </c>
      <c r="B21" s="490">
        <v>236</v>
      </c>
      <c r="C21" s="375">
        <f t="shared" si="7"/>
        <v>11.271241152551497</v>
      </c>
      <c r="D21" s="477">
        <f t="shared" si="4"/>
        <v>2660.0129120021534</v>
      </c>
      <c r="E21" s="356">
        <f t="shared" si="1"/>
        <v>154.24238046678877</v>
      </c>
      <c r="F21" s="38">
        <f t="shared" si="8"/>
        <v>7.7657412358509106</v>
      </c>
      <c r="G21" s="478">
        <f t="shared" si="5"/>
        <v>1197.8064143067465</v>
      </c>
      <c r="I21" s="509" t="s">
        <v>484</v>
      </c>
      <c r="J21" s="478">
        <f>SUM(D11,D40)/SUM(B11,B40)</f>
        <v>21.800008897387766</v>
      </c>
      <c r="L21" s="389">
        <v>0.70833333333333304</v>
      </c>
      <c r="M21" s="385">
        <v>1070.0923913043478</v>
      </c>
      <c r="N21" s="386">
        <v>1631.4776119402984</v>
      </c>
      <c r="O21" s="565">
        <v>557.18499999999995</v>
      </c>
      <c r="P21" s="356">
        <v>858.35341365461852</v>
      </c>
      <c r="Q21" s="483">
        <f t="shared" si="6"/>
        <v>0.65356940875757952</v>
      </c>
    </row>
    <row r="22" spans="1:17" ht="15.75" thickBot="1">
      <c r="A22" s="499" t="s">
        <v>194</v>
      </c>
      <c r="B22" s="491">
        <v>188</v>
      </c>
      <c r="C22" s="375">
        <f t="shared" si="7"/>
        <v>9.2041631974589535</v>
      </c>
      <c r="D22" s="477">
        <f t="shared" si="4"/>
        <v>1730.3826811222832</v>
      </c>
      <c r="E22" s="356">
        <f t="shared" si="1"/>
        <v>115.96106697093597</v>
      </c>
      <c r="F22" s="38">
        <f t="shared" si="8"/>
        <v>6.1498967453139244</v>
      </c>
      <c r="G22" s="478">
        <f t="shared" si="5"/>
        <v>713.14858834768916</v>
      </c>
      <c r="I22" s="510" t="s">
        <v>485</v>
      </c>
      <c r="J22" s="471">
        <f>SUM(D19,D50)/SUM(B19,B50)</f>
        <v>23.899994727251865</v>
      </c>
      <c r="L22" s="389">
        <v>0.75</v>
      </c>
      <c r="M22" s="385">
        <v>1013.5326086956521</v>
      </c>
      <c r="N22" s="386">
        <v>1644.0820895522388</v>
      </c>
      <c r="O22" s="565">
        <v>538.55999999999995</v>
      </c>
      <c r="P22" s="356">
        <v>872.22289156626505</v>
      </c>
      <c r="Q22" s="483">
        <f t="shared" si="6"/>
        <v>0.61681418601561688</v>
      </c>
    </row>
    <row r="23" spans="1:17">
      <c r="A23" s="498" t="s">
        <v>195</v>
      </c>
      <c r="B23" s="490">
        <v>140</v>
      </c>
      <c r="C23" s="375">
        <f t="shared" si="7"/>
        <v>7.1626690956887415</v>
      </c>
      <c r="D23" s="477">
        <f t="shared" si="4"/>
        <v>1002.7736733964239</v>
      </c>
      <c r="E23" s="356">
        <f t="shared" si="1"/>
        <v>109.56194080449464</v>
      </c>
      <c r="F23" s="38">
        <f t="shared" si="8"/>
        <v>5.8813827127739557</v>
      </c>
      <c r="G23" s="478">
        <f t="shared" si="5"/>
        <v>644.37570462551821</v>
      </c>
      <c r="J23" s="8"/>
      <c r="L23" s="389">
        <v>0.79166666666666696</v>
      </c>
      <c r="M23" s="385">
        <v>889.91847826086962</v>
      </c>
      <c r="N23" s="386">
        <v>1164.9427860696517</v>
      </c>
      <c r="O23" s="565">
        <v>479.16500000000002</v>
      </c>
      <c r="P23" s="356">
        <v>584.49397590361446</v>
      </c>
      <c r="Q23" s="483">
        <f t="shared" si="6"/>
        <v>0.78258529146067601</v>
      </c>
    </row>
    <row r="24" spans="1:17">
      <c r="A24" s="499" t="s">
        <v>196</v>
      </c>
      <c r="B24" s="491">
        <v>95</v>
      </c>
      <c r="C24" s="375">
        <f t="shared" si="7"/>
        <v>5.2720488177178169</v>
      </c>
      <c r="D24" s="477">
        <f t="shared" si="4"/>
        <v>500.84463768319262</v>
      </c>
      <c r="E24" s="356">
        <f t="shared" si="1"/>
        <v>85.053777478060539</v>
      </c>
      <c r="F24" s="38">
        <f t="shared" si="8"/>
        <v>4.8572148579225569</v>
      </c>
      <c r="G24" s="478">
        <f t="shared" si="5"/>
        <v>413.12447168887456</v>
      </c>
      <c r="H24" s="174"/>
      <c r="I24" s="7" t="s">
        <v>490</v>
      </c>
      <c r="L24" s="389">
        <v>0.83333333333333304</v>
      </c>
      <c r="M24" s="385">
        <v>702.195652173913</v>
      </c>
      <c r="N24" s="386">
        <v>806.04975124378109</v>
      </c>
      <c r="O24" s="565">
        <v>418.72500000000002</v>
      </c>
      <c r="P24" s="356">
        <v>445.95180722891564</v>
      </c>
      <c r="Q24" s="483">
        <f t="shared" si="6"/>
        <v>0.89530292082168983</v>
      </c>
    </row>
    <row r="25" spans="1:17">
      <c r="A25" s="498" t="s">
        <v>197</v>
      </c>
      <c r="B25" s="490">
        <v>59</v>
      </c>
      <c r="C25" s="375">
        <f t="shared" si="7"/>
        <v>3.7758030048926798</v>
      </c>
      <c r="D25" s="477">
        <f t="shared" si="4"/>
        <v>222.77237728866811</v>
      </c>
      <c r="E25" s="356">
        <f t="shared" si="1"/>
        <v>54.168699518577604</v>
      </c>
      <c r="F25" s="38">
        <f t="shared" si="8"/>
        <v>3.5761033153965514</v>
      </c>
      <c r="G25" s="478">
        <f t="shared" si="5"/>
        <v>193.71286593910494</v>
      </c>
      <c r="H25" s="174"/>
      <c r="I25" s="603" t="s">
        <v>561</v>
      </c>
      <c r="J25" s="356">
        <f>AVERAGE(L34:L35)</f>
        <v>3140.5782652043872</v>
      </c>
      <c r="L25" s="389">
        <v>0.875</v>
      </c>
      <c r="M25" s="385">
        <v>573.03804347826087</v>
      </c>
      <c r="N25" s="386">
        <v>634.32835820895525</v>
      </c>
      <c r="O25" s="565">
        <v>329.97</v>
      </c>
      <c r="P25" s="356">
        <v>349.21887550200802</v>
      </c>
      <c r="Q25" s="483">
        <f t="shared" si="6"/>
        <v>0.91811355116233229</v>
      </c>
    </row>
    <row r="26" spans="1:17">
      <c r="A26" s="499" t="s">
        <v>198</v>
      </c>
      <c r="B26" s="491">
        <v>37</v>
      </c>
      <c r="C26" s="375">
        <f t="shared" si="7"/>
        <v>2.8685518483135439</v>
      </c>
      <c r="D26" s="477">
        <f t="shared" si="4"/>
        <v>106.13641838760113</v>
      </c>
      <c r="E26" s="356">
        <f t="shared" si="1"/>
        <v>34.814801597084525</v>
      </c>
      <c r="F26" s="38">
        <f t="shared" si="8"/>
        <v>2.7787323334851237</v>
      </c>
      <c r="G26" s="478">
        <f t="shared" si="5"/>
        <v>96.741014881688301</v>
      </c>
      <c r="H26" s="174"/>
      <c r="I26" s="603" t="s">
        <v>539</v>
      </c>
      <c r="J26" s="38">
        <v>1.8636139327898242</v>
      </c>
      <c r="L26" s="389">
        <v>0.91666666666666696</v>
      </c>
      <c r="M26" s="385">
        <v>441.7228260869565</v>
      </c>
      <c r="N26" s="386">
        <v>477.13930348258708</v>
      </c>
      <c r="O26" s="565">
        <v>252.59</v>
      </c>
      <c r="P26" s="356">
        <v>260.75301204819277</v>
      </c>
      <c r="Q26" s="483">
        <f t="shared" si="6"/>
        <v>0.94094058370498723</v>
      </c>
    </row>
    <row r="27" spans="1:17" ht="15.75" thickBot="1">
      <c r="A27" s="500" t="s">
        <v>199</v>
      </c>
      <c r="B27" s="501">
        <v>18</v>
      </c>
      <c r="C27" s="377">
        <f t="shared" si="7"/>
        <v>2.0893690829583136</v>
      </c>
      <c r="D27" s="470">
        <f t="shared" si="4"/>
        <v>37.608643493249645</v>
      </c>
      <c r="E27" s="357">
        <f t="shared" si="1"/>
        <v>18.503497209016025</v>
      </c>
      <c r="F27" s="225">
        <f t="shared" si="8"/>
        <v>2.1099652495963142</v>
      </c>
      <c r="G27" s="471">
        <f t="shared" si="5"/>
        <v>39.041736107026203</v>
      </c>
      <c r="H27" s="174"/>
      <c r="I27" s="603" t="s">
        <v>558</v>
      </c>
      <c r="J27" s="477">
        <v>67.236469383384446</v>
      </c>
      <c r="L27" s="390">
        <v>0.95833333333333304</v>
      </c>
      <c r="M27" s="387">
        <v>331.19565217391306</v>
      </c>
      <c r="N27" s="388">
        <v>333.06218905472639</v>
      </c>
      <c r="O27" s="566">
        <v>192.49</v>
      </c>
      <c r="P27" s="357">
        <v>176.37349397590361</v>
      </c>
      <c r="Q27" s="484">
        <f t="shared" si="6"/>
        <v>1.027972067167557</v>
      </c>
    </row>
    <row r="28" spans="1:17" ht="17.25" customHeight="1">
      <c r="A28" s="494" t="s">
        <v>200</v>
      </c>
      <c r="B28" s="590">
        <v>2834</v>
      </c>
      <c r="C28" s="592"/>
      <c r="D28" s="593"/>
      <c r="E28" s="594"/>
      <c r="F28" s="594"/>
      <c r="G28" s="175"/>
      <c r="I28" s="603" t="s">
        <v>559</v>
      </c>
      <c r="J28" s="477">
        <v>68.591389456882368</v>
      </c>
    </row>
    <row r="29" spans="1:17">
      <c r="C29" s="25"/>
      <c r="D29" s="25"/>
      <c r="E29" s="8"/>
      <c r="F29" s="8"/>
      <c r="I29" s="603" t="s">
        <v>560</v>
      </c>
      <c r="J29" s="37" cm="1">
        <f t="array" ref="J29">SUM((C4:C27&lt;0)*1)+SUM((C33:C56&lt;0)*1)</f>
        <v>0</v>
      </c>
      <c r="M29" s="771" t="s">
        <v>572</v>
      </c>
      <c r="N29" s="771"/>
      <c r="O29" s="771"/>
      <c r="P29" s="771"/>
      <c r="Q29" s="771"/>
    </row>
    <row r="30" spans="1:17" ht="15.75" customHeight="1" thickBot="1">
      <c r="A30" s="611" t="s">
        <v>433</v>
      </c>
      <c r="B30" s="611"/>
      <c r="C30" s="25"/>
      <c r="D30" s="25"/>
      <c r="E30" s="8"/>
      <c r="F30" s="8"/>
      <c r="I30" s="603" t="s">
        <v>540</v>
      </c>
      <c r="J30" s="38">
        <f>$J$27*((1))^($J$26)</f>
        <v>67.236469383384446</v>
      </c>
      <c r="M30" s="771"/>
      <c r="N30" s="771"/>
      <c r="O30" s="771"/>
      <c r="P30" s="771"/>
      <c r="Q30" s="771"/>
    </row>
    <row r="31" spans="1:17">
      <c r="A31" s="780" t="s">
        <v>175</v>
      </c>
      <c r="B31" s="782" t="s">
        <v>582</v>
      </c>
      <c r="C31" s="774" t="s">
        <v>541</v>
      </c>
      <c r="D31" s="775"/>
      <c r="E31" s="775"/>
      <c r="F31" s="775"/>
      <c r="G31" s="776"/>
      <c r="I31" s="604" t="s">
        <v>472</v>
      </c>
      <c r="J31" s="38">
        <f>SQRT((J19-J21)^2+(J20-J22)^2)</f>
        <v>1.0342406969416155E-5</v>
      </c>
      <c r="M31" s="771"/>
      <c r="N31" s="771"/>
      <c r="O31" s="771"/>
      <c r="P31" s="771"/>
      <c r="Q31" s="771"/>
    </row>
    <row r="32" spans="1:17" ht="21" customHeight="1" thickBot="1">
      <c r="A32" s="781"/>
      <c r="B32" s="783"/>
      <c r="C32" s="588" t="s">
        <v>474</v>
      </c>
      <c r="D32" s="493" t="s">
        <v>473</v>
      </c>
      <c r="E32" s="493" t="s">
        <v>468</v>
      </c>
      <c r="F32" s="493" t="s">
        <v>486</v>
      </c>
      <c r="G32" s="589" t="s">
        <v>487</v>
      </c>
      <c r="M32" s="771"/>
      <c r="N32" s="771"/>
      <c r="O32" s="771"/>
      <c r="P32" s="771"/>
      <c r="Q32" s="771"/>
    </row>
    <row r="33" spans="1:12">
      <c r="A33" s="495" t="s">
        <v>176</v>
      </c>
      <c r="B33" s="496">
        <v>45</v>
      </c>
      <c r="C33" s="506">
        <f t="shared" ref="C33:C44" si="9">$J$27*((1+B33/$J$25))^($J$26)-$J$30</f>
        <v>1.8065117379522064</v>
      </c>
      <c r="D33" s="497">
        <f>B33*C33</f>
        <v>81.293028207849289</v>
      </c>
      <c r="E33" s="497">
        <f t="shared" ref="E33:E56" si="10">B33*Q4</f>
        <v>53.197541418584656</v>
      </c>
      <c r="F33" s="497">
        <f t="shared" ref="F33:F44" si="11">$J$27*((1+E33/$J$25))^($J$26)-$J$30</f>
        <v>2.137988493549031</v>
      </c>
      <c r="G33" s="505">
        <f t="shared" ref="G33:G56" si="12">E33*F33</f>
        <v>113.73573143803199</v>
      </c>
      <c r="I33" s="176" t="s">
        <v>584</v>
      </c>
      <c r="J33" s="612" t="s">
        <v>587</v>
      </c>
      <c r="K33" s="612" t="s">
        <v>586</v>
      </c>
      <c r="L33" s="613" t="s">
        <v>585</v>
      </c>
    </row>
    <row r="34" spans="1:12" ht="15" customHeight="1">
      <c r="A34" s="498" t="s">
        <v>177</v>
      </c>
      <c r="B34" s="490">
        <v>23</v>
      </c>
      <c r="C34" s="507">
        <f t="shared" si="9"/>
        <v>0.9205551818904496</v>
      </c>
      <c r="D34" s="477">
        <f t="shared" ref="D34:D56" si="13">B34*C34</f>
        <v>21.172769183480341</v>
      </c>
      <c r="E34" s="477">
        <f t="shared" si="10"/>
        <v>37.139525126308662</v>
      </c>
      <c r="F34" s="477">
        <f t="shared" si="11"/>
        <v>1.4893557232822729</v>
      </c>
      <c r="G34" s="478">
        <f t="shared" si="12"/>
        <v>55.313964306853585</v>
      </c>
      <c r="I34" s="474" t="s">
        <v>580</v>
      </c>
      <c r="J34" s="15">
        <v>0.59</v>
      </c>
      <c r="K34" s="15">
        <f>SUM(880+15+415+15+450+265)</f>
        <v>2040</v>
      </c>
      <c r="L34" s="614">
        <f>K34/J34</f>
        <v>3457.6271186440681</v>
      </c>
    </row>
    <row r="35" spans="1:12" ht="15.75" thickBot="1">
      <c r="A35" s="499" t="s">
        <v>178</v>
      </c>
      <c r="B35" s="491">
        <v>15</v>
      </c>
      <c r="C35" s="507">
        <f t="shared" si="9"/>
        <v>0.59970415352209727</v>
      </c>
      <c r="D35" s="477">
        <f t="shared" si="13"/>
        <v>8.9955623028314591</v>
      </c>
      <c r="E35" s="477">
        <f t="shared" si="10"/>
        <v>22.860273775082135</v>
      </c>
      <c r="F35" s="477">
        <f t="shared" si="11"/>
        <v>0.91494524945090916</v>
      </c>
      <c r="G35" s="478">
        <f t="shared" si="12"/>
        <v>20.9158988916586</v>
      </c>
      <c r="I35" s="178" t="s">
        <v>581</v>
      </c>
      <c r="J35" s="615">
        <v>0.68</v>
      </c>
      <c r="K35" s="615">
        <f>SUM(30,60,445,700,285,400)</f>
        <v>1920</v>
      </c>
      <c r="L35" s="601">
        <f>K35/J35</f>
        <v>2823.5294117647059</v>
      </c>
    </row>
    <row r="36" spans="1:12">
      <c r="A36" s="498" t="s">
        <v>179</v>
      </c>
      <c r="B36" s="490">
        <v>16</v>
      </c>
      <c r="C36" s="507">
        <f t="shared" si="9"/>
        <v>0.63977216215732824</v>
      </c>
      <c r="D36" s="477">
        <f t="shared" si="13"/>
        <v>10.236354594517252</v>
      </c>
      <c r="E36" s="477">
        <f t="shared" si="10"/>
        <v>22.568587197860669</v>
      </c>
      <c r="F36" s="477">
        <f t="shared" si="11"/>
        <v>0.90323488059064516</v>
      </c>
      <c r="G36" s="478">
        <f t="shared" si="12"/>
        <v>20.384735162759245</v>
      </c>
    </row>
    <row r="37" spans="1:12">
      <c r="A37" s="499" t="s">
        <v>180</v>
      </c>
      <c r="B37" s="491">
        <v>43</v>
      </c>
      <c r="C37" s="507">
        <f t="shared" si="9"/>
        <v>1.7257511554549865</v>
      </c>
      <c r="D37" s="477">
        <f t="shared" si="13"/>
        <v>74.207299684564418</v>
      </c>
      <c r="E37" s="477">
        <f t="shared" si="10"/>
        <v>41.091371067026358</v>
      </c>
      <c r="F37" s="477">
        <f t="shared" si="11"/>
        <v>1.6487210112890835</v>
      </c>
      <c r="G37" s="478">
        <f t="shared" si="12"/>
        <v>67.748206860882689</v>
      </c>
    </row>
    <row r="38" spans="1:12">
      <c r="A38" s="498" t="s">
        <v>181</v>
      </c>
      <c r="B38" s="490">
        <v>101</v>
      </c>
      <c r="C38" s="507">
        <f t="shared" si="9"/>
        <v>4.0855773935673199</v>
      </c>
      <c r="D38" s="477">
        <f t="shared" si="13"/>
        <v>412.64331675029928</v>
      </c>
      <c r="E38" s="477">
        <f t="shared" si="10"/>
        <v>64.855793891666622</v>
      </c>
      <c r="F38" s="477">
        <f t="shared" si="11"/>
        <v>2.610669851877617</v>
      </c>
      <c r="G38" s="478">
        <f t="shared" si="12"/>
        <v>169.31706583256255</v>
      </c>
    </row>
    <row r="39" spans="1:12">
      <c r="A39" s="499" t="s">
        <v>182</v>
      </c>
      <c r="B39" s="491">
        <v>195</v>
      </c>
      <c r="C39" s="507">
        <f t="shared" si="9"/>
        <v>7.9881265006668372</v>
      </c>
      <c r="D39" s="477">
        <f t="shared" si="13"/>
        <v>1557.6846676300333</v>
      </c>
      <c r="E39" s="477">
        <f t="shared" si="10"/>
        <v>82.033858698571336</v>
      </c>
      <c r="F39" s="477">
        <f t="shared" si="11"/>
        <v>3.3098603950986956</v>
      </c>
      <c r="G39" s="478">
        <f t="shared" si="12"/>
        <v>271.52061996352387</v>
      </c>
    </row>
    <row r="40" spans="1:12">
      <c r="A40" s="498" t="s">
        <v>183</v>
      </c>
      <c r="B40" s="490">
        <v>609</v>
      </c>
      <c r="C40" s="507">
        <f t="shared" si="9"/>
        <v>26.315403680749682</v>
      </c>
      <c r="D40" s="477">
        <f t="shared" si="13"/>
        <v>16026.080841576557</v>
      </c>
      <c r="E40" s="477">
        <f t="shared" si="10"/>
        <v>188.32382065537581</v>
      </c>
      <c r="F40" s="477">
        <f t="shared" si="11"/>
        <v>7.7077787152101678</v>
      </c>
      <c r="G40" s="478">
        <f t="shared" si="12"/>
        <v>1451.5583364145625</v>
      </c>
    </row>
    <row r="41" spans="1:12">
      <c r="A41" s="499" t="s">
        <v>184</v>
      </c>
      <c r="B41" s="491">
        <v>452</v>
      </c>
      <c r="C41" s="507">
        <f t="shared" si="9"/>
        <v>19.147598239023793</v>
      </c>
      <c r="D41" s="477">
        <f t="shared" si="13"/>
        <v>8654.7144040387539</v>
      </c>
      <c r="E41" s="477">
        <f t="shared" si="10"/>
        <v>114.6893466576249</v>
      </c>
      <c r="F41" s="477">
        <f t="shared" si="11"/>
        <v>4.6479148831771511</v>
      </c>
      <c r="G41" s="478">
        <f t="shared" si="12"/>
        <v>533.06632127183843</v>
      </c>
    </row>
    <row r="42" spans="1:12">
      <c r="A42" s="498" t="s">
        <v>185</v>
      </c>
      <c r="B42" s="490">
        <v>239</v>
      </c>
      <c r="C42" s="507">
        <f t="shared" si="9"/>
        <v>9.8479109551516189</v>
      </c>
      <c r="D42" s="477">
        <f t="shared" si="13"/>
        <v>2353.650718281237</v>
      </c>
      <c r="E42" s="477">
        <f t="shared" si="10"/>
        <v>101.20914420529714</v>
      </c>
      <c r="F42" s="477">
        <f t="shared" si="11"/>
        <v>4.094153322436739</v>
      </c>
      <c r="G42" s="478">
        <f t="shared" si="12"/>
        <v>414.36575400909629</v>
      </c>
    </row>
    <row r="43" spans="1:12">
      <c r="A43" s="499" t="s">
        <v>186</v>
      </c>
      <c r="B43" s="491">
        <v>321</v>
      </c>
      <c r="C43" s="507">
        <f t="shared" si="9"/>
        <v>13.369958543941166</v>
      </c>
      <c r="D43" s="477">
        <f t="shared" si="13"/>
        <v>4291.756692605114</v>
      </c>
      <c r="E43" s="477">
        <f t="shared" si="10"/>
        <v>233.8927127210315</v>
      </c>
      <c r="F43" s="477">
        <f t="shared" si="11"/>
        <v>9.6309574856575892</v>
      </c>
      <c r="G43" s="478">
        <f t="shared" si="12"/>
        <v>2252.6107724213784</v>
      </c>
    </row>
    <row r="44" spans="1:12">
      <c r="A44" s="498" t="s">
        <v>187</v>
      </c>
      <c r="B44" s="490">
        <v>391</v>
      </c>
      <c r="C44" s="507">
        <f t="shared" si="9"/>
        <v>16.434192135123141</v>
      </c>
      <c r="D44" s="477">
        <f t="shared" si="13"/>
        <v>6425.7691248331475</v>
      </c>
      <c r="E44" s="477">
        <f t="shared" si="10"/>
        <v>356.06685931949733</v>
      </c>
      <c r="F44" s="477">
        <f t="shared" si="11"/>
        <v>14.898379837662759</v>
      </c>
      <c r="G44" s="478">
        <f t="shared" si="12"/>
        <v>5304.8193177455014</v>
      </c>
    </row>
    <row r="45" spans="1:12" ht="15" customHeight="1">
      <c r="A45" s="499" t="s">
        <v>188</v>
      </c>
      <c r="B45" s="491">
        <v>401</v>
      </c>
      <c r="C45" s="507">
        <f t="shared" ref="C45:C56" si="14">$J$28*((1+B45/$J$25))^($J$26)-$J$30</f>
        <v>18.571265188218106</v>
      </c>
      <c r="D45" s="477">
        <f t="shared" si="13"/>
        <v>7447.0773404754609</v>
      </c>
      <c r="E45" s="477">
        <f t="shared" si="10"/>
        <v>461.19972441442115</v>
      </c>
      <c r="F45" s="477">
        <f t="shared" ref="F45:F56" si="15">$J$28*((1+E45/$J$25))^($J$26)-$J$30</f>
        <v>21.309392431778548</v>
      </c>
      <c r="G45" s="478">
        <f t="shared" si="12"/>
        <v>9827.8859169750176</v>
      </c>
    </row>
    <row r="46" spans="1:12">
      <c r="A46" s="498" t="s">
        <v>189</v>
      </c>
      <c r="B46" s="490">
        <v>380</v>
      </c>
      <c r="C46" s="507">
        <f t="shared" si="14"/>
        <v>17.625483000875008</v>
      </c>
      <c r="D46" s="477">
        <f t="shared" si="13"/>
        <v>6697.6835403325031</v>
      </c>
      <c r="E46" s="477">
        <f t="shared" si="10"/>
        <v>350.86104701332988</v>
      </c>
      <c r="F46" s="477">
        <f t="shared" si="15"/>
        <v>16.321195331249385</v>
      </c>
      <c r="G46" s="478">
        <f t="shared" si="12"/>
        <v>5726.4716824312309</v>
      </c>
    </row>
    <row r="47" spans="1:12">
      <c r="A47" s="499" t="s">
        <v>190</v>
      </c>
      <c r="B47" s="491">
        <v>418</v>
      </c>
      <c r="C47" s="507">
        <f t="shared" si="14"/>
        <v>19.340454973589232</v>
      </c>
      <c r="D47" s="477">
        <f t="shared" si="13"/>
        <v>8084.3101789602988</v>
      </c>
      <c r="E47" s="477">
        <f t="shared" si="10"/>
        <v>391.44625308238767</v>
      </c>
      <c r="F47" s="477">
        <f t="shared" si="15"/>
        <v>18.140388465546025</v>
      </c>
      <c r="G47" s="478">
        <f t="shared" si="12"/>
        <v>7100.9870942969555</v>
      </c>
    </row>
    <row r="48" spans="1:12">
      <c r="A48" s="498" t="s">
        <v>191</v>
      </c>
      <c r="B48" s="490">
        <v>595</v>
      </c>
      <c r="C48" s="507">
        <f t="shared" si="14"/>
        <v>27.537613692669197</v>
      </c>
      <c r="D48" s="477">
        <f t="shared" si="13"/>
        <v>16384.880147138174</v>
      </c>
      <c r="E48" s="477">
        <f t="shared" si="10"/>
        <v>532.36974187345049</v>
      </c>
      <c r="F48" s="477">
        <f t="shared" si="15"/>
        <v>24.597839919001203</v>
      </c>
      <c r="G48" s="478">
        <f t="shared" si="12"/>
        <v>13095.145688323126</v>
      </c>
    </row>
    <row r="49" spans="1:15">
      <c r="A49" s="499" t="s">
        <v>192</v>
      </c>
      <c r="B49" s="491">
        <v>624</v>
      </c>
      <c r="C49" s="507">
        <f t="shared" si="14"/>
        <v>28.913360754559676</v>
      </c>
      <c r="D49" s="477">
        <f t="shared" si="13"/>
        <v>18041.93711084524</v>
      </c>
      <c r="E49" s="477">
        <f t="shared" si="10"/>
        <v>489.70476944825316</v>
      </c>
      <c r="F49" s="477">
        <f t="shared" si="15"/>
        <v>22.619811191358423</v>
      </c>
      <c r="G49" s="478">
        <f t="shared" si="12"/>
        <v>11077.029424427194</v>
      </c>
    </row>
    <row r="50" spans="1:15" ht="15" customHeight="1">
      <c r="A50" s="498" t="s">
        <v>193</v>
      </c>
      <c r="B50" s="490">
        <v>620</v>
      </c>
      <c r="C50" s="507">
        <f t="shared" si="14"/>
        <v>28.723056360276303</v>
      </c>
      <c r="D50" s="477">
        <f t="shared" si="13"/>
        <v>17808.294943371307</v>
      </c>
      <c r="E50" s="477">
        <f t="shared" si="10"/>
        <v>405.21303342969929</v>
      </c>
      <c r="F50" s="477">
        <f t="shared" si="15"/>
        <v>18.761593529576416</v>
      </c>
      <c r="G50" s="478">
        <f t="shared" si="12"/>
        <v>7602.4422260946785</v>
      </c>
      <c r="I50" s="610" t="s">
        <v>564</v>
      </c>
      <c r="J50" s="610"/>
      <c r="K50" s="610"/>
      <c r="L50" s="610"/>
      <c r="M50"/>
      <c r="N50"/>
      <c r="O50"/>
    </row>
    <row r="51" spans="1:15">
      <c r="A51" s="499" t="s">
        <v>194</v>
      </c>
      <c r="B51" s="491">
        <v>406</v>
      </c>
      <c r="C51" s="507">
        <f t="shared" si="14"/>
        <v>18.797167255195006</v>
      </c>
      <c r="D51" s="477">
        <f t="shared" si="13"/>
        <v>7631.6499056091725</v>
      </c>
      <c r="E51" s="477">
        <f t="shared" si="10"/>
        <v>250.42655952234045</v>
      </c>
      <c r="F51" s="477">
        <f t="shared" si="15"/>
        <v>11.897500980216904</v>
      </c>
      <c r="G51" s="478">
        <f t="shared" si="12"/>
        <v>2979.4502373893924</v>
      </c>
      <c r="I51" s="610"/>
      <c r="J51" s="610"/>
      <c r="K51" s="610"/>
      <c r="L51" s="610"/>
      <c r="M51"/>
      <c r="N51"/>
      <c r="O51"/>
    </row>
    <row r="52" spans="1:15">
      <c r="A52" s="498" t="s">
        <v>195</v>
      </c>
      <c r="B52" s="490">
        <v>257</v>
      </c>
      <c r="C52" s="507">
        <f t="shared" si="14"/>
        <v>12.183619899532516</v>
      </c>
      <c r="D52" s="477">
        <f t="shared" si="13"/>
        <v>3131.1903141798566</v>
      </c>
      <c r="E52" s="477">
        <f t="shared" si="10"/>
        <v>201.12441990539372</v>
      </c>
      <c r="F52" s="477">
        <f t="shared" si="15"/>
        <v>9.7668156690235293</v>
      </c>
      <c r="G52" s="478">
        <f t="shared" si="12"/>
        <v>1964.3451357552672</v>
      </c>
      <c r="I52" s="610"/>
      <c r="J52" s="610"/>
      <c r="K52" s="610"/>
      <c r="L52" s="610"/>
      <c r="M52"/>
      <c r="N52"/>
      <c r="O52"/>
    </row>
    <row r="53" spans="1:15">
      <c r="A53" s="499" t="s">
        <v>196</v>
      </c>
      <c r="B53" s="491">
        <v>209</v>
      </c>
      <c r="C53" s="507">
        <f t="shared" si="14"/>
        <v>10.105364751087279</v>
      </c>
      <c r="D53" s="477">
        <f t="shared" si="13"/>
        <v>2112.0212329772412</v>
      </c>
      <c r="E53" s="477">
        <f t="shared" si="10"/>
        <v>187.11831045173318</v>
      </c>
      <c r="F53" s="477">
        <f t="shared" si="15"/>
        <v>9.1664331403117387</v>
      </c>
      <c r="G53" s="478">
        <f t="shared" si="12"/>
        <v>1715.2074820839075</v>
      </c>
      <c r="I53" s="610"/>
      <c r="J53" s="610"/>
      <c r="K53" s="610"/>
      <c r="L53" s="610"/>
      <c r="M53"/>
      <c r="N53"/>
      <c r="O53"/>
    </row>
    <row r="54" spans="1:15">
      <c r="A54" s="498" t="s">
        <v>197</v>
      </c>
      <c r="B54" s="490">
        <v>158</v>
      </c>
      <c r="C54" s="507">
        <f t="shared" si="14"/>
        <v>7.9252280737817529</v>
      </c>
      <c r="D54" s="477">
        <f t="shared" si="13"/>
        <v>1252.1860356575169</v>
      </c>
      <c r="E54" s="477">
        <f t="shared" si="10"/>
        <v>145.06194108364849</v>
      </c>
      <c r="F54" s="477">
        <f t="shared" si="15"/>
        <v>7.3767509130432245</v>
      </c>
      <c r="G54" s="478">
        <f t="shared" si="12"/>
        <v>1070.0858063366265</v>
      </c>
      <c r="I54" s="610"/>
      <c r="J54" s="610"/>
      <c r="K54" s="610"/>
      <c r="L54" s="610"/>
      <c r="M54"/>
      <c r="N54"/>
      <c r="O54"/>
    </row>
    <row r="55" spans="1:15">
      <c r="A55" s="499" t="s">
        <v>198</v>
      </c>
      <c r="B55" s="491">
        <v>100</v>
      </c>
      <c r="C55" s="507">
        <f t="shared" si="14"/>
        <v>5.4810038103171763</v>
      </c>
      <c r="D55" s="477">
        <f t="shared" si="13"/>
        <v>548.10038103171769</v>
      </c>
      <c r="E55" s="477">
        <f t="shared" si="10"/>
        <v>94.094058370498729</v>
      </c>
      <c r="F55" s="477">
        <f t="shared" si="15"/>
        <v>5.2342184315660916</v>
      </c>
      <c r="G55" s="478">
        <f t="shared" si="12"/>
        <v>492.50885462372014</v>
      </c>
      <c r="I55" s="610"/>
      <c r="J55" s="610"/>
      <c r="K55" s="610"/>
      <c r="L55" s="610"/>
      <c r="M55"/>
      <c r="N55"/>
      <c r="O55"/>
    </row>
    <row r="56" spans="1:15" ht="15.75" thickBot="1">
      <c r="A56" s="502" t="s">
        <v>199</v>
      </c>
      <c r="B56" s="492">
        <v>59</v>
      </c>
      <c r="C56" s="469">
        <f t="shared" si="14"/>
        <v>3.7758030048926798</v>
      </c>
      <c r="D56" s="470">
        <f t="shared" si="13"/>
        <v>222.77237728866811</v>
      </c>
      <c r="E56" s="470">
        <f t="shared" si="10"/>
        <v>60.650351962885864</v>
      </c>
      <c r="F56" s="470">
        <f t="shared" si="15"/>
        <v>3.8440792944007995</v>
      </c>
      <c r="G56" s="471">
        <f t="shared" si="12"/>
        <v>233.14476217865044</v>
      </c>
      <c r="I56" s="610"/>
      <c r="J56" s="610"/>
      <c r="K56" s="610"/>
      <c r="L56" s="610"/>
      <c r="M56"/>
      <c r="N56"/>
      <c r="O56"/>
    </row>
    <row r="57" spans="1:15" ht="15.75" thickBot="1">
      <c r="A57" s="503" t="s">
        <v>200</v>
      </c>
      <c r="B57" s="504">
        <v>6677</v>
      </c>
      <c r="C57" s="508"/>
      <c r="D57" s="175"/>
      <c r="E57" s="175"/>
      <c r="F57" s="175"/>
      <c r="G57" s="175"/>
      <c r="I57" s="610"/>
      <c r="J57" s="610"/>
      <c r="K57" s="610"/>
      <c r="L57" s="610"/>
      <c r="M57"/>
      <c r="N57"/>
      <c r="O57"/>
    </row>
    <row r="58" spans="1:15" ht="15" customHeight="1">
      <c r="I58" s="610"/>
      <c r="J58" s="610"/>
      <c r="K58" s="610"/>
      <c r="L58" s="610"/>
      <c r="M58"/>
      <c r="N58"/>
      <c r="O58"/>
    </row>
    <row r="59" spans="1:15">
      <c r="I59" s="610"/>
      <c r="J59" s="610"/>
      <c r="K59" s="610"/>
      <c r="L59" s="610"/>
      <c r="M59"/>
      <c r="N59"/>
      <c r="O59"/>
    </row>
    <row r="60" spans="1:15">
      <c r="I60" s="610"/>
      <c r="J60" s="610"/>
      <c r="K60" s="610"/>
      <c r="L60" s="610"/>
      <c r="M60"/>
      <c r="N60"/>
      <c r="O60"/>
    </row>
    <row r="61" spans="1:15">
      <c r="A61" t="s">
        <v>243</v>
      </c>
      <c r="I61" s="610"/>
      <c r="J61" s="610"/>
      <c r="K61" s="610"/>
      <c r="L61" s="610"/>
      <c r="M61"/>
      <c r="N61"/>
      <c r="O61"/>
    </row>
    <row r="62" spans="1:15">
      <c r="A62" t="s">
        <v>18</v>
      </c>
      <c r="B62" s="678" t="s">
        <v>563</v>
      </c>
      <c r="C62" s="678"/>
      <c r="D62" s="678"/>
      <c r="E62" s="678"/>
      <c r="F62" s="678"/>
      <c r="G62" s="678"/>
      <c r="I62" s="610"/>
      <c r="J62" s="610"/>
      <c r="K62" s="610"/>
      <c r="L62" s="610"/>
      <c r="M62"/>
      <c r="N62"/>
      <c r="O62"/>
    </row>
    <row r="63" spans="1:15">
      <c r="B63" s="678"/>
      <c r="C63" s="678"/>
      <c r="D63" s="678"/>
      <c r="E63" s="678"/>
      <c r="F63" s="678"/>
      <c r="G63" s="678"/>
      <c r="I63" s="610"/>
      <c r="J63" s="610"/>
      <c r="K63" s="610"/>
      <c r="L63" s="610"/>
      <c r="M63"/>
      <c r="N63"/>
      <c r="O63"/>
    </row>
    <row r="64" spans="1:15">
      <c r="B64" s="678"/>
      <c r="C64" s="678"/>
      <c r="D64" s="678"/>
      <c r="E64" s="678"/>
      <c r="F64" s="678"/>
      <c r="G64" s="678"/>
      <c r="I64" s="610"/>
      <c r="J64" s="610"/>
      <c r="K64" s="610"/>
      <c r="L64" s="610"/>
      <c r="M64"/>
      <c r="N64"/>
      <c r="O64"/>
    </row>
    <row r="65" spans="1:28">
      <c r="B65" s="678"/>
      <c r="C65" s="678"/>
      <c r="D65" s="678"/>
      <c r="E65" s="678"/>
      <c r="F65" s="678"/>
      <c r="G65" s="678"/>
      <c r="I65" s="610"/>
      <c r="J65" s="610"/>
      <c r="K65" s="610"/>
      <c r="L65" s="610"/>
      <c r="M65"/>
      <c r="N65"/>
      <c r="O65"/>
    </row>
    <row r="66" spans="1:28">
      <c r="B66" s="678"/>
      <c r="C66" s="678"/>
      <c r="D66" s="678"/>
      <c r="E66" s="678"/>
      <c r="F66" s="678"/>
      <c r="G66" s="678"/>
      <c r="I66" s="610"/>
      <c r="J66" s="610"/>
      <c r="K66" s="610"/>
      <c r="L66" s="610"/>
      <c r="M66"/>
      <c r="N66"/>
      <c r="O66"/>
    </row>
    <row r="67" spans="1:28">
      <c r="B67" s="678"/>
      <c r="C67" s="678"/>
      <c r="D67" s="678"/>
      <c r="E67" s="678"/>
      <c r="F67" s="678"/>
      <c r="G67" s="678"/>
      <c r="I67" s="610"/>
      <c r="J67" s="610"/>
      <c r="K67" s="610"/>
      <c r="L67" s="610"/>
      <c r="M67"/>
      <c r="N67"/>
      <c r="O67"/>
    </row>
    <row r="68" spans="1:28">
      <c r="B68" s="678"/>
      <c r="C68" s="678"/>
      <c r="D68" s="678"/>
      <c r="E68" s="678"/>
      <c r="F68" s="678"/>
      <c r="G68" s="678"/>
      <c r="I68" s="610"/>
      <c r="J68" s="610"/>
      <c r="K68" s="610"/>
      <c r="L68" s="610"/>
      <c r="M68"/>
      <c r="N68"/>
      <c r="O68"/>
    </row>
    <row r="69" spans="1:28">
      <c r="B69" s="678"/>
      <c r="C69" s="678"/>
      <c r="D69" s="678"/>
      <c r="E69" s="678"/>
      <c r="F69" s="678"/>
      <c r="G69" s="678"/>
      <c r="I69" s="610"/>
      <c r="J69" s="610"/>
      <c r="K69" s="610"/>
      <c r="L69" s="610"/>
      <c r="M69"/>
      <c r="N69"/>
      <c r="O69"/>
    </row>
    <row r="70" spans="1:28">
      <c r="B70" s="678"/>
      <c r="C70" s="678"/>
      <c r="D70" s="678"/>
      <c r="E70" s="678"/>
      <c r="F70" s="678"/>
      <c r="G70" s="678"/>
      <c r="I70" s="610"/>
      <c r="J70" s="610"/>
      <c r="K70" s="610"/>
      <c r="L70" s="610"/>
      <c r="M70"/>
      <c r="N70"/>
      <c r="O70"/>
    </row>
    <row r="71" spans="1:28">
      <c r="B71" s="678"/>
      <c r="C71" s="678"/>
      <c r="D71" s="678"/>
      <c r="E71" s="678"/>
      <c r="F71" s="678"/>
      <c r="G71" s="678"/>
      <c r="I71" s="610"/>
      <c r="J71" s="610"/>
      <c r="K71" s="610"/>
      <c r="L71" s="610"/>
    </row>
    <row r="72" spans="1:28">
      <c r="B72" s="678"/>
      <c r="C72" s="678"/>
      <c r="D72" s="678"/>
      <c r="E72" s="678"/>
      <c r="F72" s="678"/>
      <c r="G72" s="678"/>
    </row>
    <row r="73" spans="1:28">
      <c r="B73" s="678"/>
      <c r="C73" s="678"/>
      <c r="D73" s="678"/>
      <c r="E73" s="678"/>
      <c r="F73" s="678"/>
      <c r="G73" s="678"/>
      <c r="I73" s="597" t="s">
        <v>548</v>
      </c>
      <c r="J73" s="595"/>
      <c r="K73" s="595"/>
      <c r="L73" s="596"/>
      <c r="M73" s="596"/>
      <c r="N73" s="596"/>
      <c r="O73" s="598" t="s">
        <v>549</v>
      </c>
      <c r="P73" s="595"/>
      <c r="Q73" s="595"/>
      <c r="R73" s="595"/>
      <c r="S73" s="595"/>
      <c r="T73" s="595"/>
      <c r="U73" s="595"/>
      <c r="V73" s="595"/>
      <c r="W73" s="595"/>
      <c r="X73" s="595"/>
      <c r="Z73" s="7" t="s">
        <v>491</v>
      </c>
    </row>
    <row r="74" spans="1:28">
      <c r="B74" s="678"/>
      <c r="C74" s="678"/>
      <c r="D74" s="678"/>
      <c r="E74" s="678"/>
      <c r="F74" s="678"/>
      <c r="G74" s="678"/>
      <c r="I74" s="595"/>
      <c r="J74" s="595"/>
      <c r="K74" s="595"/>
      <c r="L74" s="596"/>
      <c r="M74" s="596"/>
      <c r="N74" s="596"/>
      <c r="O74" s="596"/>
      <c r="P74" s="595"/>
      <c r="Q74" s="595"/>
      <c r="R74" s="595"/>
      <c r="S74" s="595"/>
      <c r="T74" s="595"/>
      <c r="U74" s="595"/>
      <c r="V74" s="595"/>
      <c r="W74" s="595"/>
      <c r="X74" s="595"/>
      <c r="Z74" s="37">
        <v>0</v>
      </c>
      <c r="AA74" s="477">
        <f t="shared" ref="AA74:AA85" si="16">Z74/$J$25</f>
        <v>0</v>
      </c>
      <c r="AB74" s="356">
        <f t="shared" ref="AB74:AB85" si="17">($J$27*((1+Z74/$J$25))^($J$26)-$J$30)</f>
        <v>0</v>
      </c>
    </row>
    <row r="75" spans="1:28" ht="15" customHeight="1">
      <c r="B75" s="678"/>
      <c r="C75" s="678"/>
      <c r="D75" s="678"/>
      <c r="E75" s="678"/>
      <c r="F75" s="678"/>
      <c r="G75" s="678"/>
      <c r="I75" s="595"/>
      <c r="J75" s="595"/>
      <c r="K75" s="595"/>
      <c r="L75" s="596"/>
      <c r="M75" s="596"/>
      <c r="N75" s="596"/>
      <c r="O75" s="596"/>
      <c r="P75" s="595"/>
      <c r="Q75" s="595"/>
      <c r="R75" s="595"/>
      <c r="S75" s="595"/>
      <c r="T75" s="595"/>
      <c r="U75" s="595"/>
      <c r="V75" s="595"/>
      <c r="W75" s="595"/>
      <c r="X75" s="595"/>
      <c r="Z75" s="37">
        <v>400</v>
      </c>
      <c r="AA75" s="477">
        <f t="shared" si="16"/>
        <v>0.12736507936507935</v>
      </c>
      <c r="AB75" s="356">
        <f t="shared" si="17"/>
        <v>16.832006461357878</v>
      </c>
    </row>
    <row r="76" spans="1:28" ht="15" customHeight="1">
      <c r="A76" t="s">
        <v>19</v>
      </c>
      <c r="B76" s="678" t="s">
        <v>562</v>
      </c>
      <c r="C76" s="678"/>
      <c r="D76" s="678"/>
      <c r="E76" s="678"/>
      <c r="F76" s="678"/>
      <c r="G76" s="678"/>
      <c r="I76" s="595"/>
      <c r="J76" s="595"/>
      <c r="K76" s="595"/>
      <c r="L76" s="596"/>
      <c r="M76" s="596"/>
      <c r="N76" s="596"/>
      <c r="O76" s="596"/>
      <c r="P76" s="595"/>
      <c r="Q76" s="595"/>
      <c r="R76" s="595"/>
      <c r="S76" s="595"/>
      <c r="T76" s="595"/>
      <c r="U76" s="595"/>
      <c r="V76" s="595"/>
      <c r="W76" s="595"/>
      <c r="X76" s="595"/>
      <c r="Z76" s="37">
        <v>800</v>
      </c>
      <c r="AA76" s="477">
        <f t="shared" si="16"/>
        <v>0.2547301587301587</v>
      </c>
      <c r="AB76" s="356">
        <f t="shared" si="17"/>
        <v>35.39125074529754</v>
      </c>
    </row>
    <row r="77" spans="1:28">
      <c r="B77" s="678"/>
      <c r="C77" s="678"/>
      <c r="D77" s="678"/>
      <c r="E77" s="678"/>
      <c r="F77" s="678"/>
      <c r="G77" s="678"/>
      <c r="I77" s="595"/>
      <c r="J77" s="595"/>
      <c r="K77" s="595"/>
      <c r="L77" s="596"/>
      <c r="M77" s="596"/>
      <c r="N77" s="596"/>
      <c r="O77" s="596"/>
      <c r="P77" s="595"/>
      <c r="Q77" s="595"/>
      <c r="R77" s="595"/>
      <c r="S77" s="595"/>
      <c r="T77" s="595"/>
      <c r="U77" s="595"/>
      <c r="V77" s="595"/>
      <c r="W77" s="595"/>
      <c r="X77" s="595"/>
      <c r="Z77" s="37">
        <v>1200</v>
      </c>
      <c r="AA77" s="477">
        <f t="shared" si="16"/>
        <v>0.38209523809523804</v>
      </c>
      <c r="AB77" s="356">
        <f t="shared" si="17"/>
        <v>55.652646731193641</v>
      </c>
    </row>
    <row r="78" spans="1:28">
      <c r="B78" s="678"/>
      <c r="C78" s="678"/>
      <c r="D78" s="678"/>
      <c r="E78" s="678"/>
      <c r="F78" s="678"/>
      <c r="G78" s="678"/>
      <c r="I78" s="595"/>
      <c r="J78" s="595"/>
      <c r="K78" s="595"/>
      <c r="L78" s="596"/>
      <c r="M78" s="596"/>
      <c r="N78" s="596"/>
      <c r="O78" s="596"/>
      <c r="P78" s="595"/>
      <c r="Q78" s="595"/>
      <c r="R78" s="595"/>
      <c r="S78" s="595"/>
      <c r="T78" s="595"/>
      <c r="U78" s="595"/>
      <c r="V78" s="595"/>
      <c r="W78" s="595"/>
      <c r="X78" s="595"/>
      <c r="Z78" s="37">
        <v>1600</v>
      </c>
      <c r="AA78" s="477">
        <f t="shared" si="16"/>
        <v>0.50946031746031739</v>
      </c>
      <c r="AB78" s="356">
        <f t="shared" si="17"/>
        <v>77.59385801513298</v>
      </c>
    </row>
    <row r="79" spans="1:28">
      <c r="B79" s="678"/>
      <c r="C79" s="678"/>
      <c r="D79" s="678"/>
      <c r="E79" s="678"/>
      <c r="F79" s="678"/>
      <c r="G79" s="678"/>
      <c r="I79" s="595"/>
      <c r="J79" s="595"/>
      <c r="K79" s="595"/>
      <c r="L79" s="596"/>
      <c r="M79" s="596"/>
      <c r="N79" s="596"/>
      <c r="O79" s="596"/>
      <c r="P79" s="595"/>
      <c r="Q79" s="595"/>
      <c r="R79" s="595"/>
      <c r="S79" s="595"/>
      <c r="T79" s="595"/>
      <c r="U79" s="595"/>
      <c r="V79" s="595"/>
      <c r="W79" s="595"/>
      <c r="X79" s="595"/>
      <c r="Z79" s="37">
        <v>2000</v>
      </c>
      <c r="AA79" s="477">
        <f t="shared" si="16"/>
        <v>0.63682539682539674</v>
      </c>
      <c r="AB79" s="356">
        <f t="shared" si="17"/>
        <v>101.1947801717873</v>
      </c>
    </row>
    <row r="80" spans="1:28">
      <c r="B80" s="678"/>
      <c r="C80" s="678"/>
      <c r="D80" s="678"/>
      <c r="E80" s="678"/>
      <c r="F80" s="678"/>
      <c r="G80" s="678"/>
      <c r="I80" s="595"/>
      <c r="J80" s="595"/>
      <c r="K80" s="595"/>
      <c r="L80" s="596"/>
      <c r="M80" s="596"/>
      <c r="N80" s="596"/>
      <c r="O80" s="596"/>
      <c r="P80" s="595"/>
      <c r="Q80" s="595"/>
      <c r="R80" s="595"/>
      <c r="S80" s="595"/>
      <c r="T80" s="595"/>
      <c r="U80" s="595"/>
      <c r="V80" s="595"/>
      <c r="W80" s="595"/>
      <c r="X80" s="595"/>
      <c r="Z80" s="37">
        <v>2400</v>
      </c>
      <c r="AA80" s="477">
        <f t="shared" si="16"/>
        <v>0.76419047619047609</v>
      </c>
      <c r="AB80" s="356">
        <f t="shared" si="17"/>
        <v>126.43715474513596</v>
      </c>
    </row>
    <row r="81" spans="2:28">
      <c r="B81" s="678"/>
      <c r="C81" s="678"/>
      <c r="D81" s="678"/>
      <c r="E81" s="678"/>
      <c r="F81" s="678"/>
      <c r="G81" s="678"/>
      <c r="I81" s="595"/>
      <c r="J81" s="595"/>
      <c r="K81" s="595"/>
      <c r="L81" s="596"/>
      <c r="M81" s="596"/>
      <c r="N81" s="596"/>
      <c r="O81" s="596"/>
      <c r="P81" s="595"/>
      <c r="Q81" s="595"/>
      <c r="R81" s="595"/>
      <c r="S81" s="595"/>
      <c r="T81" s="595"/>
      <c r="U81" s="595"/>
      <c r="V81" s="595"/>
      <c r="W81" s="595"/>
      <c r="X81" s="595"/>
      <c r="Z81" s="37">
        <v>2800</v>
      </c>
      <c r="AA81" s="477">
        <f t="shared" si="16"/>
        <v>0.89155555555555543</v>
      </c>
      <c r="AB81" s="356">
        <f t="shared" si="17"/>
        <v>153.30427402770431</v>
      </c>
    </row>
    <row r="82" spans="2:28">
      <c r="B82" s="678"/>
      <c r="C82" s="678"/>
      <c r="D82" s="678"/>
      <c r="E82" s="678"/>
      <c r="F82" s="678"/>
      <c r="G82" s="678"/>
      <c r="I82" s="595"/>
      <c r="J82" s="595"/>
      <c r="K82" s="595"/>
      <c r="L82" s="596"/>
      <c r="M82" s="596"/>
      <c r="N82" s="596"/>
      <c r="O82" s="596"/>
      <c r="P82" s="595"/>
      <c r="Q82" s="595"/>
      <c r="R82" s="595"/>
      <c r="S82" s="595"/>
      <c r="T82" s="595"/>
      <c r="U82" s="595"/>
      <c r="V82" s="595"/>
      <c r="W82" s="595"/>
      <c r="X82" s="595"/>
      <c r="Z82" s="37">
        <v>3200</v>
      </c>
      <c r="AA82" s="477">
        <f t="shared" si="16"/>
        <v>1.0189206349206348</v>
      </c>
      <c r="AB82" s="356">
        <f t="shared" si="17"/>
        <v>181.78075040091903</v>
      </c>
    </row>
    <row r="83" spans="2:28">
      <c r="B83" s="678"/>
      <c r="C83" s="678"/>
      <c r="D83" s="678"/>
      <c r="E83" s="678"/>
      <c r="F83" s="678"/>
      <c r="G83" s="678"/>
      <c r="I83" s="595"/>
      <c r="J83" s="595"/>
      <c r="K83" s="595"/>
      <c r="L83" s="596"/>
      <c r="M83" s="596"/>
      <c r="N83" s="596"/>
      <c r="O83" s="596"/>
      <c r="P83" s="595"/>
      <c r="Q83" s="595"/>
      <c r="R83" s="595"/>
      <c r="S83" s="595"/>
      <c r="T83" s="595"/>
      <c r="U83" s="595"/>
      <c r="V83" s="595"/>
      <c r="W83" s="595"/>
      <c r="X83" s="595"/>
      <c r="Z83" s="37">
        <v>3600</v>
      </c>
      <c r="AA83" s="477">
        <f t="shared" si="16"/>
        <v>1.1462857142857141</v>
      </c>
      <c r="AB83" s="356">
        <f t="shared" si="17"/>
        <v>211.85233281232215</v>
      </c>
    </row>
    <row r="84" spans="2:28">
      <c r="B84" s="678"/>
      <c r="C84" s="678"/>
      <c r="D84" s="678"/>
      <c r="E84" s="678"/>
      <c r="F84" s="678"/>
      <c r="G84" s="678"/>
      <c r="I84" s="595"/>
      <c r="J84" s="595"/>
      <c r="K84" s="595"/>
      <c r="L84" s="596"/>
      <c r="M84" s="596"/>
      <c r="N84" s="596"/>
      <c r="O84" s="596"/>
      <c r="P84" s="595"/>
      <c r="Q84" s="595"/>
      <c r="R84" s="595"/>
      <c r="S84" s="595"/>
      <c r="T84" s="595"/>
      <c r="U84" s="595"/>
      <c r="V84" s="595"/>
      <c r="W84" s="595"/>
      <c r="X84" s="595"/>
      <c r="Z84" s="37">
        <v>4000</v>
      </c>
      <c r="AA84" s="477">
        <f t="shared" si="16"/>
        <v>1.2736507936507935</v>
      </c>
      <c r="AB84" s="356">
        <f t="shared" si="17"/>
        <v>243.50575845209121</v>
      </c>
    </row>
    <row r="85" spans="2:28">
      <c r="B85" s="678"/>
      <c r="C85" s="678"/>
      <c r="D85" s="678"/>
      <c r="E85" s="678"/>
      <c r="F85" s="678"/>
      <c r="G85" s="678"/>
      <c r="I85" s="595"/>
      <c r="J85" s="595"/>
      <c r="K85" s="595"/>
      <c r="L85" s="596"/>
      <c r="M85" s="596"/>
      <c r="N85" s="596"/>
      <c r="O85" s="596"/>
      <c r="P85" s="595"/>
      <c r="Q85" s="595"/>
      <c r="R85" s="595"/>
      <c r="S85" s="595"/>
      <c r="T85" s="595"/>
      <c r="U85" s="595"/>
      <c r="V85" s="595"/>
      <c r="W85" s="595"/>
      <c r="X85" s="595"/>
      <c r="Z85" s="37">
        <v>4400</v>
      </c>
      <c r="AA85" s="477">
        <f t="shared" si="16"/>
        <v>1.4010158730158728</v>
      </c>
      <c r="AB85" s="356">
        <f t="shared" si="17"/>
        <v>276.72863123163427</v>
      </c>
    </row>
    <row r="86" spans="2:28">
      <c r="B86" s="678"/>
      <c r="C86" s="678"/>
      <c r="D86" s="678"/>
      <c r="E86" s="678"/>
      <c r="F86" s="678"/>
      <c r="G86" s="678"/>
      <c r="I86" s="595"/>
      <c r="J86" s="595"/>
      <c r="K86" s="595"/>
      <c r="L86" s="596"/>
      <c r="M86" s="596"/>
      <c r="N86" s="596"/>
      <c r="O86" s="596"/>
      <c r="P86" s="595"/>
      <c r="Q86" s="595"/>
      <c r="R86" s="595"/>
      <c r="S86" s="595"/>
      <c r="T86" s="595"/>
      <c r="U86" s="595"/>
      <c r="V86" s="595"/>
      <c r="W86" s="595"/>
      <c r="X86" s="595"/>
    </row>
    <row r="87" spans="2:28">
      <c r="B87" s="678"/>
      <c r="C87" s="678"/>
      <c r="D87" s="678"/>
      <c r="E87" s="678"/>
      <c r="F87" s="678"/>
      <c r="G87" s="678"/>
      <c r="I87" s="595"/>
      <c r="J87" s="595"/>
      <c r="K87" s="595"/>
      <c r="L87" s="596"/>
      <c r="M87" s="596"/>
      <c r="N87" s="596"/>
      <c r="O87" s="596"/>
      <c r="P87" s="595"/>
      <c r="Q87" s="595"/>
      <c r="R87" s="595"/>
      <c r="S87" s="595"/>
      <c r="T87" s="595"/>
      <c r="U87" s="595"/>
      <c r="V87" s="595"/>
      <c r="W87" s="595"/>
      <c r="X87" s="595"/>
    </row>
    <row r="88" spans="2:28">
      <c r="B88" s="678"/>
      <c r="C88" s="678"/>
      <c r="D88" s="678"/>
      <c r="E88" s="678"/>
      <c r="F88" s="678"/>
      <c r="G88" s="678"/>
      <c r="I88" s="595"/>
      <c r="J88" s="595"/>
      <c r="K88" s="595"/>
      <c r="L88" s="596"/>
      <c r="M88" s="596"/>
      <c r="N88" s="596"/>
      <c r="O88" s="596"/>
      <c r="P88" s="595"/>
      <c r="Q88" s="595"/>
      <c r="R88" s="595"/>
      <c r="S88" s="595"/>
      <c r="T88" s="595"/>
      <c r="U88" s="595"/>
      <c r="V88" s="595"/>
      <c r="W88" s="595"/>
      <c r="X88" s="595"/>
    </row>
    <row r="89" spans="2:28">
      <c r="B89" s="678"/>
      <c r="C89" s="678"/>
      <c r="D89" s="678"/>
      <c r="E89" s="678"/>
      <c r="F89" s="678"/>
      <c r="G89" s="678"/>
      <c r="I89" s="595"/>
      <c r="J89" s="595"/>
      <c r="K89" s="595"/>
      <c r="L89" s="596"/>
      <c r="M89" s="596"/>
      <c r="N89" s="596"/>
      <c r="O89" s="596"/>
      <c r="P89" s="595"/>
      <c r="Q89" s="595"/>
      <c r="R89" s="595"/>
      <c r="S89" s="595"/>
      <c r="T89" s="595"/>
      <c r="U89" s="595"/>
      <c r="V89" s="595"/>
      <c r="W89" s="595"/>
      <c r="X89" s="595"/>
    </row>
    <row r="90" spans="2:28">
      <c r="B90" s="678"/>
      <c r="C90" s="678"/>
      <c r="D90" s="678"/>
      <c r="E90" s="678"/>
      <c r="F90" s="678"/>
      <c r="G90" s="678"/>
      <c r="I90" s="595"/>
      <c r="J90" s="595"/>
      <c r="K90" s="595"/>
      <c r="L90" s="596"/>
      <c r="M90" s="596"/>
      <c r="N90" s="596"/>
      <c r="O90" s="596"/>
      <c r="P90" s="595"/>
      <c r="Q90" s="595"/>
      <c r="R90" s="595"/>
      <c r="S90" s="595"/>
      <c r="T90" s="595"/>
      <c r="U90" s="595"/>
      <c r="V90" s="595"/>
      <c r="W90" s="595"/>
      <c r="X90" s="595"/>
    </row>
    <row r="91" spans="2:28">
      <c r="I91" s="595"/>
      <c r="J91" s="595"/>
      <c r="K91" s="595"/>
      <c r="L91" s="596"/>
      <c r="M91" s="596"/>
      <c r="N91" s="596"/>
      <c r="O91" s="596"/>
      <c r="P91" s="595"/>
      <c r="Q91" s="595"/>
      <c r="R91" s="595"/>
      <c r="S91" s="595"/>
      <c r="T91" s="595"/>
      <c r="U91" s="595"/>
      <c r="V91" s="595"/>
      <c r="W91" s="595"/>
      <c r="X91" s="595"/>
    </row>
    <row r="92" spans="2:28">
      <c r="I92" s="595"/>
      <c r="J92" s="595"/>
      <c r="K92" s="595"/>
      <c r="L92" s="596"/>
      <c r="M92" s="596"/>
      <c r="N92" s="596"/>
      <c r="O92" s="596"/>
      <c r="P92" s="595"/>
      <c r="Q92" s="595"/>
      <c r="R92" s="595"/>
      <c r="S92" s="595"/>
      <c r="T92" s="595"/>
      <c r="U92" s="595"/>
      <c r="V92" s="595"/>
      <c r="W92" s="595"/>
      <c r="X92" s="595"/>
    </row>
    <row r="93" spans="2:28">
      <c r="I93" s="595"/>
      <c r="J93" s="595"/>
      <c r="K93" s="595"/>
      <c r="L93" s="596"/>
      <c r="M93" s="596"/>
      <c r="N93" s="596"/>
      <c r="O93" s="596"/>
      <c r="P93" s="595"/>
      <c r="Q93" s="595"/>
      <c r="R93" s="595"/>
      <c r="S93" s="595"/>
      <c r="T93" s="595"/>
      <c r="U93" s="595"/>
      <c r="V93" s="595"/>
      <c r="W93" s="595"/>
      <c r="X93" s="595"/>
    </row>
    <row r="94" spans="2:28">
      <c r="I94" s="595"/>
      <c r="J94" s="595"/>
      <c r="K94" s="595"/>
      <c r="L94" s="596"/>
      <c r="M94" s="596"/>
      <c r="N94" s="596"/>
      <c r="O94" s="596"/>
      <c r="P94" s="595"/>
      <c r="Q94" s="595"/>
      <c r="R94" s="595"/>
      <c r="S94" s="595"/>
      <c r="T94" s="595"/>
      <c r="U94" s="595"/>
      <c r="V94" s="595"/>
      <c r="W94" s="595"/>
      <c r="X94" s="595"/>
    </row>
    <row r="95" spans="2:28">
      <c r="I95" s="595"/>
      <c r="J95" s="595"/>
      <c r="K95" s="595"/>
      <c r="L95" s="596"/>
      <c r="M95" s="596"/>
      <c r="N95" s="596"/>
      <c r="O95" s="596"/>
      <c r="P95" s="595"/>
      <c r="Q95" s="595"/>
      <c r="R95" s="595"/>
      <c r="S95" s="595"/>
      <c r="T95" s="595"/>
      <c r="U95" s="595"/>
      <c r="V95" s="595"/>
      <c r="W95" s="595"/>
      <c r="X95" s="595"/>
    </row>
    <row r="96" spans="2:28">
      <c r="I96" s="595"/>
      <c r="J96" s="595"/>
      <c r="K96" s="595"/>
      <c r="L96" s="596"/>
      <c r="M96" s="596"/>
      <c r="N96" s="596"/>
      <c r="O96" s="596"/>
      <c r="P96" s="595"/>
      <c r="Q96" s="595"/>
      <c r="R96" s="595"/>
      <c r="S96" s="595"/>
      <c r="T96" s="595"/>
      <c r="U96" s="595"/>
      <c r="V96" s="595"/>
      <c r="W96" s="595"/>
      <c r="X96" s="595"/>
    </row>
    <row r="97" spans="9:24">
      <c r="I97" s="595"/>
      <c r="J97" s="595"/>
      <c r="K97" s="595"/>
      <c r="L97" s="596"/>
      <c r="M97" s="596"/>
      <c r="N97" s="596"/>
      <c r="O97" s="596"/>
      <c r="P97" s="595"/>
      <c r="Q97" s="595"/>
      <c r="R97" s="595"/>
      <c r="S97" s="595"/>
      <c r="T97" s="595"/>
      <c r="U97" s="595"/>
      <c r="V97" s="595"/>
      <c r="W97" s="595"/>
      <c r="X97" s="595"/>
    </row>
    <row r="98" spans="9:24">
      <c r="I98" s="595"/>
      <c r="J98" s="595"/>
      <c r="K98" s="595"/>
      <c r="L98" s="596"/>
      <c r="M98" s="596"/>
      <c r="N98" s="596"/>
      <c r="O98" s="596"/>
      <c r="P98" s="595"/>
      <c r="Q98" s="595"/>
      <c r="R98" s="595"/>
      <c r="S98" s="595"/>
      <c r="T98" s="595"/>
      <c r="U98" s="595"/>
      <c r="V98" s="595"/>
      <c r="W98" s="595"/>
      <c r="X98" s="595"/>
    </row>
    <row r="99" spans="9:24">
      <c r="I99" s="595"/>
      <c r="J99" s="595"/>
      <c r="K99" s="595"/>
      <c r="L99" s="596"/>
      <c r="M99" s="596"/>
      <c r="N99" s="596"/>
      <c r="O99" s="596"/>
      <c r="P99" s="595"/>
      <c r="Q99" s="595"/>
      <c r="R99" s="595"/>
      <c r="S99" s="595"/>
      <c r="T99" s="595"/>
      <c r="U99" s="595"/>
      <c r="V99" s="595"/>
      <c r="W99" s="595"/>
      <c r="X99" s="595"/>
    </row>
    <row r="100" spans="9:24" ht="15" customHeight="1">
      <c r="I100" s="610" t="s">
        <v>570</v>
      </c>
      <c r="J100" s="610"/>
      <c r="K100" s="610"/>
      <c r="L100" s="610"/>
      <c r="M100" s="610"/>
      <c r="N100" s="610"/>
      <c r="O100" s="610"/>
      <c r="P100" s="610"/>
      <c r="Q100" s="610"/>
      <c r="R100" s="610"/>
      <c r="S100" s="610"/>
      <c r="T100" s="610"/>
      <c r="U100" s="610"/>
      <c r="V100" s="610"/>
      <c r="W100" s="610"/>
      <c r="X100" s="610"/>
    </row>
    <row r="101" spans="9:24">
      <c r="I101" s="610"/>
      <c r="J101" s="610"/>
      <c r="K101" s="610"/>
      <c r="L101" s="610"/>
      <c r="M101" s="610"/>
      <c r="N101" s="610"/>
      <c r="O101" s="610"/>
      <c r="P101" s="610"/>
      <c r="Q101" s="610"/>
      <c r="R101" s="610"/>
      <c r="S101" s="610"/>
      <c r="T101" s="610"/>
      <c r="U101" s="610"/>
      <c r="V101" s="610"/>
      <c r="W101" s="610"/>
      <c r="X101" s="610"/>
    </row>
    <row r="102" spans="9:24">
      <c r="I102" s="610"/>
      <c r="J102" s="610"/>
      <c r="K102" s="610"/>
      <c r="L102" s="610"/>
      <c r="M102" s="610"/>
      <c r="N102" s="610"/>
      <c r="O102" s="610"/>
      <c r="P102" s="610"/>
      <c r="Q102" s="610"/>
      <c r="R102" s="610"/>
      <c r="S102" s="610"/>
      <c r="T102" s="610"/>
      <c r="U102" s="610"/>
      <c r="V102" s="610"/>
      <c r="W102" s="610"/>
      <c r="X102" s="610"/>
    </row>
    <row r="103" spans="9:24">
      <c r="I103" s="610"/>
      <c r="J103" s="610"/>
      <c r="K103" s="610"/>
      <c r="L103" s="610"/>
      <c r="M103" s="610"/>
      <c r="N103" s="610"/>
      <c r="O103" s="610"/>
      <c r="P103" s="610"/>
      <c r="Q103" s="610"/>
      <c r="R103" s="610"/>
      <c r="S103" s="610"/>
      <c r="T103" s="610"/>
      <c r="U103" s="610"/>
      <c r="V103" s="610"/>
      <c r="W103" s="610"/>
      <c r="X103" s="610"/>
    </row>
    <row r="104" spans="9:24">
      <c r="I104" s="610"/>
      <c r="J104" s="610"/>
      <c r="K104" s="610"/>
      <c r="L104" s="610"/>
      <c r="M104" s="610"/>
      <c r="N104" s="610"/>
      <c r="O104" s="610"/>
      <c r="P104" s="610"/>
      <c r="Q104" s="610"/>
      <c r="R104" s="610"/>
      <c r="S104" s="610"/>
      <c r="T104" s="610"/>
      <c r="U104" s="610"/>
      <c r="V104" s="610"/>
      <c r="W104" s="610"/>
      <c r="X104" s="610"/>
    </row>
  </sheetData>
  <mergeCells count="13">
    <mergeCell ref="A2:A3"/>
    <mergeCell ref="B2:B3"/>
    <mergeCell ref="B62:G75"/>
    <mergeCell ref="A31:A32"/>
    <mergeCell ref="B31:B32"/>
    <mergeCell ref="C31:G31"/>
    <mergeCell ref="B76:G90"/>
    <mergeCell ref="M29:Q32"/>
    <mergeCell ref="Q2:Q3"/>
    <mergeCell ref="C2:G2"/>
    <mergeCell ref="M2:N2"/>
    <mergeCell ref="O2:P2"/>
    <mergeCell ref="L2:L3"/>
  </mergeCells>
  <pageMargins left="0.7" right="0.7" top="0.75" bottom="0.75" header="0.3" footer="0.3"/>
  <drawing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F0D0F8-8225-46BD-B25F-BDF1499486AD}">
  <sheetPr>
    <tabColor theme="0" tint="-0.499984740745262"/>
  </sheetPr>
  <dimension ref="B3:H52"/>
  <sheetViews>
    <sheetView showGridLines="0" workbookViewId="0">
      <selection activeCell="D10" sqref="D10"/>
    </sheetView>
  </sheetViews>
  <sheetFormatPr defaultRowHeight="15"/>
  <cols>
    <col min="3" max="3" width="30.140625" bestFit="1" customWidth="1"/>
    <col min="6" max="6" width="22" bestFit="1" customWidth="1"/>
    <col min="7" max="7" width="23.28515625" bestFit="1" customWidth="1"/>
    <col min="8" max="8" width="18.7109375" bestFit="1" customWidth="1"/>
    <col min="15" max="15" width="18.7109375" bestFit="1" customWidth="1"/>
  </cols>
  <sheetData>
    <row r="3" spans="2:8" ht="24">
      <c r="B3" s="786" t="s">
        <v>340</v>
      </c>
      <c r="C3" s="786"/>
      <c r="D3" s="786"/>
      <c r="E3" s="786"/>
      <c r="F3" s="786"/>
      <c r="G3" s="786"/>
    </row>
    <row r="4" spans="2:8" ht="24">
      <c r="B4" s="786" t="s">
        <v>89</v>
      </c>
      <c r="C4" s="786"/>
      <c r="D4" s="786"/>
      <c r="E4" s="786"/>
      <c r="F4" s="786"/>
      <c r="G4" s="786"/>
    </row>
    <row r="5" spans="2:8" ht="15.75" thickBot="1"/>
    <row r="6" spans="2:8" ht="15.75" thickTop="1">
      <c r="B6" s="787" t="s">
        <v>341</v>
      </c>
      <c r="C6" s="789" t="s">
        <v>342</v>
      </c>
      <c r="D6" s="789" t="s">
        <v>343</v>
      </c>
      <c r="E6" s="789" t="s">
        <v>344</v>
      </c>
      <c r="F6" s="791" t="s">
        <v>345</v>
      </c>
      <c r="G6" s="793" t="s">
        <v>346</v>
      </c>
      <c r="H6" t="s">
        <v>406</v>
      </c>
    </row>
    <row r="7" spans="2:8">
      <c r="B7" s="788"/>
      <c r="C7" s="790"/>
      <c r="D7" s="790"/>
      <c r="E7" s="790"/>
      <c r="F7" s="792"/>
      <c r="G7" s="794"/>
    </row>
    <row r="8" spans="2:8">
      <c r="B8" s="391">
        <v>1</v>
      </c>
      <c r="C8" s="392" t="s">
        <v>347</v>
      </c>
      <c r="D8" s="393" t="s">
        <v>348</v>
      </c>
      <c r="E8" s="394">
        <v>45860</v>
      </c>
      <c r="F8" s="395">
        <v>15</v>
      </c>
      <c r="G8" s="396">
        <v>687900</v>
      </c>
      <c r="H8" s="119" t="s">
        <v>80</v>
      </c>
    </row>
    <row r="9" spans="2:8">
      <c r="B9" s="397">
        <v>2</v>
      </c>
      <c r="C9" s="7" t="s">
        <v>349</v>
      </c>
      <c r="D9" s="398"/>
      <c r="E9" s="399"/>
      <c r="F9" s="400"/>
      <c r="G9" s="396"/>
    </row>
    <row r="10" spans="2:8">
      <c r="B10" s="397"/>
      <c r="C10" t="s">
        <v>350</v>
      </c>
      <c r="D10" s="398" t="s">
        <v>351</v>
      </c>
      <c r="E10" s="399">
        <v>1150</v>
      </c>
      <c r="F10" s="400">
        <v>180</v>
      </c>
      <c r="G10" s="396">
        <v>207000</v>
      </c>
      <c r="H10" s="119" t="s">
        <v>85</v>
      </c>
    </row>
    <row r="11" spans="2:8">
      <c r="B11" s="397"/>
      <c r="C11" t="s">
        <v>352</v>
      </c>
      <c r="D11" s="398" t="s">
        <v>348</v>
      </c>
      <c r="E11" s="399">
        <v>38850</v>
      </c>
      <c r="F11" s="400">
        <v>100</v>
      </c>
      <c r="G11" s="396">
        <v>3885000</v>
      </c>
      <c r="H11" s="119" t="s">
        <v>85</v>
      </c>
    </row>
    <row r="12" spans="2:8">
      <c r="B12" s="397"/>
      <c r="C12" t="s">
        <v>353</v>
      </c>
      <c r="D12" s="398" t="s">
        <v>351</v>
      </c>
      <c r="E12" s="399">
        <v>730</v>
      </c>
      <c r="F12" s="400">
        <v>180</v>
      </c>
      <c r="G12" s="396">
        <v>131400</v>
      </c>
      <c r="H12" s="119" t="s">
        <v>85</v>
      </c>
    </row>
    <row r="13" spans="2:8">
      <c r="B13" s="397"/>
      <c r="C13" t="s">
        <v>354</v>
      </c>
      <c r="D13" s="398" t="s">
        <v>351</v>
      </c>
      <c r="E13" s="399">
        <v>1170</v>
      </c>
      <c r="F13" s="400">
        <v>180</v>
      </c>
      <c r="G13" s="396">
        <v>210600</v>
      </c>
      <c r="H13" s="119" t="s">
        <v>85</v>
      </c>
    </row>
    <row r="14" spans="2:8">
      <c r="B14" s="397"/>
      <c r="C14" t="s">
        <v>355</v>
      </c>
      <c r="D14" s="398" t="s">
        <v>348</v>
      </c>
      <c r="E14" s="399">
        <v>6530</v>
      </c>
      <c r="F14" s="400">
        <v>150</v>
      </c>
      <c r="G14" s="396">
        <v>979500</v>
      </c>
      <c r="H14" s="119" t="s">
        <v>85</v>
      </c>
    </row>
    <row r="15" spans="2:8">
      <c r="B15" s="397"/>
      <c r="C15" t="s">
        <v>356</v>
      </c>
      <c r="D15" s="398" t="s">
        <v>357</v>
      </c>
      <c r="E15" s="399">
        <v>13400</v>
      </c>
      <c r="F15" s="400">
        <v>50</v>
      </c>
      <c r="G15" s="396">
        <v>670000</v>
      </c>
      <c r="H15" s="119" t="s">
        <v>85</v>
      </c>
    </row>
    <row r="16" spans="2:8">
      <c r="B16" s="397"/>
      <c r="C16" t="s">
        <v>358</v>
      </c>
      <c r="D16" t="s">
        <v>359</v>
      </c>
      <c r="E16" s="399">
        <v>26840</v>
      </c>
      <c r="F16" s="400">
        <v>92</v>
      </c>
      <c r="G16" s="396">
        <v>2469300</v>
      </c>
      <c r="H16" s="119" t="s">
        <v>84</v>
      </c>
    </row>
    <row r="17" spans="2:8">
      <c r="B17" s="391">
        <v>3</v>
      </c>
      <c r="C17" s="392" t="s">
        <v>360</v>
      </c>
      <c r="D17" s="401"/>
      <c r="E17" s="402"/>
      <c r="F17" s="403"/>
      <c r="G17" s="404"/>
    </row>
    <row r="18" spans="2:8">
      <c r="B18" s="397"/>
      <c r="C18" t="s">
        <v>361</v>
      </c>
      <c r="D18" t="s">
        <v>362</v>
      </c>
      <c r="E18" s="23">
        <v>50000</v>
      </c>
      <c r="F18" s="400">
        <v>25</v>
      </c>
      <c r="G18" s="396">
        <v>1250000</v>
      </c>
      <c r="H18" s="119" t="s">
        <v>80</v>
      </c>
    </row>
    <row r="19" spans="2:8">
      <c r="B19" s="397"/>
      <c r="C19" t="s">
        <v>363</v>
      </c>
      <c r="D19" t="s">
        <v>362</v>
      </c>
      <c r="E19" s="23">
        <v>61900</v>
      </c>
      <c r="F19" s="400">
        <v>10</v>
      </c>
      <c r="G19" s="396">
        <v>619000</v>
      </c>
      <c r="H19" s="119" t="s">
        <v>80</v>
      </c>
    </row>
    <row r="20" spans="2:8">
      <c r="B20" s="397"/>
      <c r="C20" t="s">
        <v>364</v>
      </c>
      <c r="D20" t="s">
        <v>365</v>
      </c>
      <c r="E20" s="23">
        <v>0.9</v>
      </c>
      <c r="F20" s="400">
        <v>150000</v>
      </c>
      <c r="G20" s="396">
        <v>135000</v>
      </c>
      <c r="H20" s="119" t="s">
        <v>80</v>
      </c>
    </row>
    <row r="21" spans="2:8">
      <c r="B21" s="795" t="s">
        <v>366</v>
      </c>
      <c r="C21" s="796"/>
      <c r="D21" s="796"/>
      <c r="E21" s="796"/>
      <c r="F21" s="797"/>
      <c r="G21" s="405">
        <v>11244700</v>
      </c>
    </row>
    <row r="22" spans="2:8">
      <c r="B22" s="397">
        <v>4</v>
      </c>
      <c r="C22" s="7" t="s">
        <v>367</v>
      </c>
      <c r="D22" s="8" t="s">
        <v>365</v>
      </c>
      <c r="E22" s="8" t="s">
        <v>368</v>
      </c>
      <c r="F22" s="406" t="s">
        <v>369</v>
      </c>
      <c r="G22" s="407">
        <v>562300</v>
      </c>
      <c r="H22" s="119" t="s">
        <v>83</v>
      </c>
    </row>
    <row r="23" spans="2:8">
      <c r="B23" s="397">
        <v>5</v>
      </c>
      <c r="C23" s="7" t="s">
        <v>370</v>
      </c>
      <c r="D23" s="8" t="s">
        <v>365</v>
      </c>
      <c r="E23" s="8" t="s">
        <v>371</v>
      </c>
      <c r="F23" s="406" t="s">
        <v>369</v>
      </c>
      <c r="G23" s="396">
        <v>337400</v>
      </c>
      <c r="H23" s="119" t="s">
        <v>83</v>
      </c>
    </row>
    <row r="24" spans="2:8">
      <c r="B24" s="397">
        <v>6</v>
      </c>
      <c r="C24" s="7" t="s">
        <v>372</v>
      </c>
      <c r="D24" s="8" t="s">
        <v>365</v>
      </c>
      <c r="E24" s="8" t="s">
        <v>373</v>
      </c>
      <c r="F24" s="406" t="s">
        <v>369</v>
      </c>
      <c r="G24" s="396">
        <v>3373500</v>
      </c>
      <c r="H24" s="119" t="s">
        <v>85</v>
      </c>
    </row>
    <row r="25" spans="2:8">
      <c r="B25" s="397">
        <v>7</v>
      </c>
      <c r="C25" s="7" t="s">
        <v>374</v>
      </c>
      <c r="D25" s="8" t="s">
        <v>365</v>
      </c>
      <c r="E25" s="8" t="s">
        <v>375</v>
      </c>
      <c r="F25" s="406" t="s">
        <v>369</v>
      </c>
      <c r="G25" s="396">
        <v>1124500</v>
      </c>
      <c r="H25" s="119" t="s">
        <v>85</v>
      </c>
    </row>
    <row r="26" spans="2:8">
      <c r="B26" s="397">
        <v>8</v>
      </c>
      <c r="C26" s="7" t="s">
        <v>376</v>
      </c>
      <c r="D26" s="8" t="s">
        <v>365</v>
      </c>
      <c r="E26" s="8" t="s">
        <v>371</v>
      </c>
      <c r="F26" s="406" t="s">
        <v>369</v>
      </c>
      <c r="G26" s="396">
        <v>337400</v>
      </c>
      <c r="H26" s="119" t="s">
        <v>85</v>
      </c>
    </row>
    <row r="27" spans="2:8">
      <c r="B27" s="397">
        <v>9</v>
      </c>
      <c r="C27" s="7" t="s">
        <v>377</v>
      </c>
      <c r="D27" s="8" t="s">
        <v>378</v>
      </c>
      <c r="E27" s="8">
        <v>3</v>
      </c>
      <c r="F27" s="408">
        <v>150000</v>
      </c>
      <c r="G27" s="396">
        <v>450000</v>
      </c>
      <c r="H27" s="119" t="s">
        <v>85</v>
      </c>
    </row>
    <row r="28" spans="2:8">
      <c r="B28" s="397">
        <v>10</v>
      </c>
      <c r="C28" s="7" t="s">
        <v>379</v>
      </c>
      <c r="D28" s="8" t="s">
        <v>378</v>
      </c>
      <c r="E28" s="8">
        <v>3</v>
      </c>
      <c r="F28" s="408">
        <v>300000</v>
      </c>
      <c r="G28" s="396">
        <v>900000</v>
      </c>
      <c r="H28" s="119" t="s">
        <v>85</v>
      </c>
    </row>
    <row r="29" spans="2:8">
      <c r="B29" s="397">
        <v>11</v>
      </c>
      <c r="C29" s="7" t="s">
        <v>380</v>
      </c>
      <c r="D29" s="8" t="s">
        <v>365</v>
      </c>
      <c r="E29" s="8" t="s">
        <v>381</v>
      </c>
      <c r="F29" s="409"/>
      <c r="G29" s="396">
        <v>3433500</v>
      </c>
      <c r="H29" s="119" t="s">
        <v>80</v>
      </c>
    </row>
    <row r="30" spans="2:8">
      <c r="B30" s="410">
        <v>12</v>
      </c>
      <c r="C30" s="411" t="s">
        <v>382</v>
      </c>
      <c r="D30" s="412" t="s">
        <v>365</v>
      </c>
      <c r="E30" s="8" t="s">
        <v>373</v>
      </c>
      <c r="F30" s="413"/>
      <c r="G30" s="396">
        <v>3373500</v>
      </c>
      <c r="H30" s="119" t="s">
        <v>80</v>
      </c>
    </row>
    <row r="31" spans="2:8">
      <c r="B31" s="795" t="s">
        <v>383</v>
      </c>
      <c r="C31" s="796"/>
      <c r="D31" s="796"/>
      <c r="E31" s="796"/>
      <c r="F31" s="797"/>
      <c r="G31" s="414">
        <v>13892100</v>
      </c>
    </row>
    <row r="32" spans="2:8">
      <c r="B32" s="397">
        <v>13</v>
      </c>
      <c r="C32" s="7" t="s">
        <v>384</v>
      </c>
      <c r="D32" s="8"/>
      <c r="F32" s="415"/>
      <c r="G32" s="404"/>
    </row>
    <row r="33" spans="2:8">
      <c r="B33" s="397"/>
      <c r="C33" s="7" t="s">
        <v>245</v>
      </c>
      <c r="D33" s="8" t="s">
        <v>365</v>
      </c>
      <c r="E33">
        <v>1</v>
      </c>
      <c r="F33" s="416">
        <v>13950000</v>
      </c>
      <c r="G33" s="396">
        <v>13950000</v>
      </c>
      <c r="H33" s="119" t="s">
        <v>82</v>
      </c>
    </row>
    <row r="34" spans="2:8">
      <c r="B34" s="397"/>
      <c r="C34" s="7"/>
      <c r="D34" s="8"/>
      <c r="F34" s="409"/>
      <c r="G34" s="404"/>
    </row>
    <row r="35" spans="2:8">
      <c r="B35" s="397"/>
      <c r="C35" s="7"/>
      <c r="D35" s="8"/>
      <c r="F35" s="417" t="s">
        <v>385</v>
      </c>
      <c r="G35" s="396">
        <v>13950000</v>
      </c>
    </row>
    <row r="36" spans="2:8">
      <c r="B36" s="397">
        <v>14</v>
      </c>
      <c r="C36" s="7" t="s">
        <v>386</v>
      </c>
      <c r="D36" s="8"/>
      <c r="F36" s="409"/>
      <c r="G36" s="404"/>
    </row>
    <row r="37" spans="2:8">
      <c r="B37" s="397"/>
      <c r="D37" s="8"/>
      <c r="F37" s="400"/>
      <c r="G37" s="396">
        <v>0</v>
      </c>
    </row>
    <row r="38" spans="2:8">
      <c r="B38" s="397"/>
      <c r="C38" s="7"/>
      <c r="D38" s="8"/>
      <c r="F38" s="417" t="s">
        <v>387</v>
      </c>
      <c r="G38" s="418">
        <v>0</v>
      </c>
    </row>
    <row r="39" spans="2:8">
      <c r="B39" s="397">
        <v>15</v>
      </c>
      <c r="C39" s="7" t="s">
        <v>388</v>
      </c>
      <c r="D39" s="8" t="s">
        <v>365</v>
      </c>
      <c r="E39">
        <v>2</v>
      </c>
      <c r="F39" s="416">
        <v>300000</v>
      </c>
      <c r="G39" s="396">
        <v>600000</v>
      </c>
      <c r="H39" s="119" t="s">
        <v>85</v>
      </c>
    </row>
    <row r="40" spans="2:8">
      <c r="B40" s="397"/>
      <c r="D40" s="8"/>
      <c r="F40" s="400"/>
      <c r="G40" s="396"/>
    </row>
    <row r="41" spans="2:8">
      <c r="B41" s="419"/>
      <c r="F41" s="417" t="s">
        <v>389</v>
      </c>
      <c r="G41" s="418">
        <v>600000</v>
      </c>
    </row>
    <row r="42" spans="2:8">
      <c r="B42" s="420"/>
      <c r="C42" s="421" t="s">
        <v>390</v>
      </c>
      <c r="D42" s="412" t="s">
        <v>365</v>
      </c>
      <c r="E42" s="421" t="s">
        <v>391</v>
      </c>
      <c r="F42" s="422"/>
      <c r="G42" s="396">
        <v>1455000</v>
      </c>
      <c r="H42" s="119" t="s">
        <v>80</v>
      </c>
    </row>
    <row r="43" spans="2:8">
      <c r="B43" s="795" t="s">
        <v>392</v>
      </c>
      <c r="C43" s="796"/>
      <c r="D43" s="796"/>
      <c r="E43" s="796"/>
      <c r="F43" s="797"/>
      <c r="G43" s="414">
        <v>16005000</v>
      </c>
    </row>
    <row r="44" spans="2:8">
      <c r="B44" s="798" t="s">
        <v>393</v>
      </c>
      <c r="C44" s="799"/>
      <c r="D44" s="799"/>
      <c r="E44" s="799"/>
      <c r="F44" s="800"/>
      <c r="G44" s="396">
        <v>41141800</v>
      </c>
    </row>
    <row r="45" spans="2:8">
      <c r="B45" s="423">
        <v>16</v>
      </c>
      <c r="C45" s="424" t="s">
        <v>394</v>
      </c>
      <c r="D45" s="425" t="s">
        <v>365</v>
      </c>
      <c r="E45" s="426" t="s">
        <v>395</v>
      </c>
      <c r="F45" s="427" t="s">
        <v>369</v>
      </c>
      <c r="G45" s="396">
        <v>4114180</v>
      </c>
      <c r="H45" s="119" t="s">
        <v>80</v>
      </c>
    </row>
    <row r="46" spans="2:8">
      <c r="B46" s="423">
        <v>17</v>
      </c>
      <c r="C46" s="424" t="s">
        <v>396</v>
      </c>
      <c r="D46" s="425" t="s">
        <v>365</v>
      </c>
      <c r="E46" s="426" t="s">
        <v>397</v>
      </c>
      <c r="F46" s="427" t="s">
        <v>369</v>
      </c>
      <c r="G46" s="396">
        <v>2057090</v>
      </c>
      <c r="H46" s="119" t="s">
        <v>80</v>
      </c>
    </row>
    <row r="47" spans="2:8">
      <c r="B47" s="423">
        <v>18</v>
      </c>
      <c r="C47" s="424" t="s">
        <v>398</v>
      </c>
      <c r="D47" s="425" t="s">
        <v>399</v>
      </c>
      <c r="E47" s="426">
        <v>0.16</v>
      </c>
      <c r="F47" s="428">
        <v>350000</v>
      </c>
      <c r="G47" s="396">
        <v>56000</v>
      </c>
      <c r="H47" s="119" t="s">
        <v>81</v>
      </c>
    </row>
    <row r="48" spans="2:8">
      <c r="B48" s="423">
        <v>19</v>
      </c>
      <c r="C48" s="424" t="s">
        <v>400</v>
      </c>
      <c r="D48" s="425" t="s">
        <v>365</v>
      </c>
      <c r="E48" s="426" t="s">
        <v>401</v>
      </c>
      <c r="F48" s="427" t="s">
        <v>369</v>
      </c>
      <c r="G48" s="396">
        <v>710536.05</v>
      </c>
      <c r="H48" s="119" t="s">
        <v>85</v>
      </c>
    </row>
    <row r="49" spans="2:8">
      <c r="B49" s="795" t="s">
        <v>402</v>
      </c>
      <c r="C49" s="796"/>
      <c r="D49" s="796"/>
      <c r="E49" s="796"/>
      <c r="F49" s="797"/>
      <c r="G49" s="414">
        <v>48079606.049999997</v>
      </c>
    </row>
    <row r="50" spans="2:8">
      <c r="B50" s="429">
        <v>20</v>
      </c>
      <c r="C50" s="148" t="s">
        <v>403</v>
      </c>
      <c r="D50" s="383" t="s">
        <v>365</v>
      </c>
      <c r="E50" s="15" t="s">
        <v>404</v>
      </c>
      <c r="F50" s="430" t="s">
        <v>369</v>
      </c>
      <c r="G50" s="396">
        <v>4807960.6100000003</v>
      </c>
      <c r="H50" s="119" t="s">
        <v>80</v>
      </c>
    </row>
    <row r="51" spans="2:8" ht="16.5" thickBot="1">
      <c r="B51" s="784" t="s">
        <v>405</v>
      </c>
      <c r="C51" s="785"/>
      <c r="D51" s="785"/>
      <c r="E51" s="785"/>
      <c r="F51" s="785"/>
      <c r="G51" s="431">
        <v>52887566.659999996</v>
      </c>
    </row>
    <row r="52" spans="2:8" ht="15.75" thickTop="1">
      <c r="F52" t="s">
        <v>413</v>
      </c>
      <c r="G52" s="432">
        <v>4900000</v>
      </c>
      <c r="H52" s="119" t="s">
        <v>80</v>
      </c>
    </row>
  </sheetData>
  <mergeCells count="14">
    <mergeCell ref="B51:F51"/>
    <mergeCell ref="B3:G3"/>
    <mergeCell ref="B4:G4"/>
    <mergeCell ref="B6:B7"/>
    <mergeCell ref="C6:C7"/>
    <mergeCell ref="D6:D7"/>
    <mergeCell ref="E6:E7"/>
    <mergeCell ref="F6:F7"/>
    <mergeCell ref="G6:G7"/>
    <mergeCell ref="B21:F21"/>
    <mergeCell ref="B31:F31"/>
    <mergeCell ref="B43:F43"/>
    <mergeCell ref="B44:F44"/>
    <mergeCell ref="B49:F49"/>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818AF7-B7BA-41C6-B059-40CF1F0198DC}">
  <sheetPr>
    <tabColor theme="0" tint="-0.499984740745262"/>
  </sheetPr>
  <dimension ref="A1"/>
  <sheetViews>
    <sheetView showGridLines="0" zoomScale="70" zoomScaleNormal="70" workbookViewId="0">
      <selection activeCell="L69" sqref="L69"/>
    </sheetView>
  </sheetViews>
  <sheetFormatPr defaultRowHeight="15"/>
  <cols>
    <col min="16" max="16" width="23.140625" bestFit="1" customWidth="1"/>
    <col min="22" max="22" width="21" bestFit="1" customWidth="1"/>
  </cols>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315D13-9A4F-49C5-BE97-382AF246BEEF}">
  <dimension ref="B3:X45"/>
  <sheetViews>
    <sheetView showGridLines="0" workbookViewId="0">
      <selection activeCell="C20" sqref="C20"/>
    </sheetView>
  </sheetViews>
  <sheetFormatPr defaultRowHeight="15"/>
  <cols>
    <col min="2" max="2" width="12" bestFit="1" customWidth="1"/>
    <col min="3" max="3" width="12.7109375" bestFit="1" customWidth="1"/>
    <col min="4" max="4" width="19.140625" bestFit="1" customWidth="1"/>
    <col min="5" max="5" width="19.42578125" bestFit="1" customWidth="1"/>
    <col min="6" max="6" width="13.140625" bestFit="1" customWidth="1"/>
    <col min="7" max="7" width="27.140625" bestFit="1" customWidth="1"/>
    <col min="8" max="8" width="29.140625" bestFit="1" customWidth="1"/>
    <col min="9" max="9" width="12.7109375" bestFit="1" customWidth="1"/>
    <col min="10" max="10" width="13" bestFit="1" customWidth="1"/>
    <col min="11" max="12" width="11.28515625" bestFit="1" customWidth="1"/>
    <col min="14" max="14" width="12.7109375" bestFit="1" customWidth="1"/>
    <col min="15" max="15" width="11.140625" bestFit="1" customWidth="1"/>
    <col min="17" max="17" width="12.7109375" bestFit="1" customWidth="1"/>
  </cols>
  <sheetData>
    <row r="3" spans="2:17" ht="15.75" thickBot="1"/>
    <row r="4" spans="2:17">
      <c r="B4" s="777" t="s">
        <v>1</v>
      </c>
      <c r="C4" s="729"/>
      <c r="D4" s="729" t="s">
        <v>2</v>
      </c>
      <c r="E4" s="729"/>
      <c r="F4" s="729" t="s">
        <v>260</v>
      </c>
      <c r="G4" s="730"/>
      <c r="N4" s="19" t="s">
        <v>296</v>
      </c>
      <c r="O4" s="19"/>
      <c r="P4" s="19"/>
      <c r="Q4" s="19"/>
    </row>
    <row r="5" spans="2:17" ht="15.75" thickBot="1">
      <c r="B5" s="222" t="s">
        <v>169</v>
      </c>
      <c r="C5" s="37" t="s">
        <v>170</v>
      </c>
      <c r="D5" s="37" t="s">
        <v>169</v>
      </c>
      <c r="E5" s="37" t="s">
        <v>170</v>
      </c>
      <c r="F5" s="37" t="s">
        <v>169</v>
      </c>
      <c r="G5" s="384" t="s">
        <v>170</v>
      </c>
      <c r="N5" s="19"/>
      <c r="O5" s="19"/>
      <c r="P5" s="19"/>
      <c r="Q5" s="19"/>
    </row>
    <row r="6" spans="2:17" ht="15.75" thickBot="1">
      <c r="B6" s="469">
        <f>SUM(Safety!D5:D24)</f>
        <v>51.002559339735022</v>
      </c>
      <c r="C6" s="470">
        <f>SUM(Safety!E5:E24)</f>
        <v>119.35700887970836</v>
      </c>
      <c r="D6" s="470">
        <f>SUM(Safety!F5:F24)</f>
        <v>24.841410276746235</v>
      </c>
      <c r="E6" s="470">
        <f>SUM(Safety!G5:G24)</f>
        <v>44.674523388826984</v>
      </c>
      <c r="F6" s="470">
        <f>B6-D6</f>
        <v>26.161149062988788</v>
      </c>
      <c r="G6" s="471">
        <f>C6-E6</f>
        <v>74.682485490881376</v>
      </c>
      <c r="N6" s="259"/>
      <c r="O6" s="260" t="s">
        <v>154</v>
      </c>
      <c r="P6" s="260" t="s">
        <v>244</v>
      </c>
      <c r="Q6" s="261" t="s">
        <v>255</v>
      </c>
    </row>
    <row r="7" spans="2:17" ht="15.75" thickBot="1">
      <c r="N7" s="263" t="s">
        <v>251</v>
      </c>
      <c r="O7" s="264">
        <v>3.48</v>
      </c>
      <c r="P7" s="264">
        <v>65</v>
      </c>
      <c r="Q7" s="265">
        <f>O7/2/P7*60</f>
        <v>1.606153846153846</v>
      </c>
    </row>
    <row r="8" spans="2:17">
      <c r="B8" s="330" t="s">
        <v>1</v>
      </c>
      <c r="C8" s="371" t="s">
        <v>2</v>
      </c>
      <c r="D8" s="372" t="s">
        <v>261</v>
      </c>
      <c r="G8" s="330" t="s">
        <v>443</v>
      </c>
      <c r="H8" s="372" t="s">
        <v>444</v>
      </c>
      <c r="N8" s="263" t="s">
        <v>252</v>
      </c>
      <c r="O8" s="264">
        <v>2.1</v>
      </c>
      <c r="P8" s="264">
        <v>25</v>
      </c>
      <c r="Q8" s="265">
        <f>O8/2/P8*60</f>
        <v>2.52</v>
      </c>
    </row>
    <row r="9" spans="2:17" ht="15.75" thickBot="1">
      <c r="B9" s="472">
        <f>ROUND(SUM(V26:V45)/100000,0)*100000</f>
        <v>-42600000</v>
      </c>
      <c r="C9" s="226">
        <f>ROUND(SUM(W26:W45)/100000,0)*100000</f>
        <v>-20700000</v>
      </c>
      <c r="D9" s="102">
        <f>ROUND(SUM(X26:X45)/100000,0)*100000</f>
        <v>21900000</v>
      </c>
      <c r="G9" s="474" t="str" cm="1">
        <f t="array" ref="G9:G14">TRANSPOSE(C24:H24)</f>
        <v>Safety</v>
      </c>
      <c r="H9" s="177" cm="1">
        <f t="array" ref="H9:H14">TRANSPOSE(C45:H45)</f>
        <v>21944601.693467319</v>
      </c>
      <c r="N9" s="808" t="s">
        <v>253</v>
      </c>
      <c r="O9" s="809"/>
      <c r="P9" s="810"/>
      <c r="Q9" s="265">
        <f>AVERAGE(Q7:Q8)</f>
        <v>2.063076923076923</v>
      </c>
    </row>
    <row r="10" spans="2:17" ht="15.75" thickBot="1">
      <c r="G10" s="474" t="str">
        <v>Air Quality Sans CO2</v>
      </c>
      <c r="H10" s="177">
        <v>93231.88575243362</v>
      </c>
      <c r="N10" s="263" t="s">
        <v>245</v>
      </c>
      <c r="O10" s="264">
        <v>0.16</v>
      </c>
      <c r="P10" s="264">
        <v>35</v>
      </c>
      <c r="Q10" s="265">
        <f>O10/P10*60</f>
        <v>0.2742857142857143</v>
      </c>
    </row>
    <row r="11" spans="2:17" ht="15.75" thickBot="1">
      <c r="B11" s="176"/>
      <c r="C11" s="473" t="s">
        <v>60</v>
      </c>
      <c r="G11" s="474" t="str">
        <v>Air Quality: CO2 (2%)</v>
      </c>
      <c r="H11" s="177">
        <v>931153.22373555973</v>
      </c>
      <c r="N11" s="801" t="s">
        <v>246</v>
      </c>
      <c r="O11" s="811"/>
      <c r="P11" s="802"/>
      <c r="Q11" s="269">
        <f>Q9-Q10</f>
        <v>1.7887912087912088</v>
      </c>
    </row>
    <row r="12" spans="2:17" ht="15.75" thickBot="1">
      <c r="B12" s="474" t="s">
        <v>61</v>
      </c>
      <c r="C12" s="177">
        <f>'BCA Summary'!C53</f>
        <v>74800000</v>
      </c>
      <c r="G12" s="474" t="str">
        <v>Delay Savings</v>
      </c>
      <c r="H12" s="177">
        <v>44052954.734350748</v>
      </c>
      <c r="N12" s="19"/>
      <c r="O12" s="19"/>
      <c r="P12" s="19"/>
      <c r="Q12" s="19"/>
    </row>
    <row r="13" spans="2:17">
      <c r="B13" s="474" t="s">
        <v>62</v>
      </c>
      <c r="C13" s="177">
        <f>'BCA Summary'!C54</f>
        <v>47900000</v>
      </c>
      <c r="G13" s="474" t="str">
        <v>Operations and Maintenance</v>
      </c>
      <c r="H13" s="177">
        <v>8519362.1847802885</v>
      </c>
      <c r="N13" s="259" t="s">
        <v>17</v>
      </c>
      <c r="O13" s="261">
        <v>11335</v>
      </c>
      <c r="P13" s="19"/>
      <c r="Q13" s="19"/>
    </row>
    <row r="14" spans="2:17">
      <c r="B14" s="474" t="s">
        <v>63</v>
      </c>
      <c r="C14" s="376">
        <f>'BCA Summary'!C55</f>
        <v>1.5615866388308977</v>
      </c>
      <c r="G14" s="474" t="str">
        <v>Remaining Capital Value (3.1%)</v>
      </c>
      <c r="H14" s="177">
        <v>2924961.9542023251</v>
      </c>
      <c r="N14" s="263" t="s">
        <v>247</v>
      </c>
      <c r="O14" s="273">
        <v>180</v>
      </c>
      <c r="P14" s="19"/>
      <c r="Q14" s="19"/>
    </row>
    <row r="15" spans="2:17" ht="15.75" thickBot="1">
      <c r="B15" s="178" t="s">
        <v>64</v>
      </c>
      <c r="C15" s="102">
        <f>'BCA Summary'!C56</f>
        <v>26900000</v>
      </c>
      <c r="G15" s="178" t="s">
        <v>5</v>
      </c>
      <c r="H15" s="102">
        <f>SUM(_xlfn.ANCHORARRAY(H9))</f>
        <v>78466265.676288664</v>
      </c>
      <c r="N15" s="263" t="s">
        <v>112</v>
      </c>
      <c r="O15" s="274">
        <f>1-O14/O13</f>
        <v>0.98411998235553599</v>
      </c>
      <c r="P15" s="19"/>
      <c r="Q15" s="19"/>
    </row>
    <row r="16" spans="2:17" ht="15.75" thickBot="1">
      <c r="N16" s="275" t="s">
        <v>113</v>
      </c>
      <c r="O16" s="276">
        <f>1-O15</f>
        <v>1.5880017644464006E-2</v>
      </c>
      <c r="P16" s="19"/>
      <c r="Q16" s="19"/>
    </row>
    <row r="17" spans="2:24" ht="18.75" thickBot="1">
      <c r="B17" s="330" t="s">
        <v>339</v>
      </c>
      <c r="C17" s="475" t="s">
        <v>439</v>
      </c>
      <c r="D17" s="475" t="s">
        <v>440</v>
      </c>
      <c r="E17" s="475" t="s">
        <v>441</v>
      </c>
      <c r="F17" s="475" t="s">
        <v>442</v>
      </c>
      <c r="G17" s="372" t="s">
        <v>5</v>
      </c>
      <c r="N17" s="19"/>
      <c r="O17" s="19"/>
      <c r="P17" s="19"/>
      <c r="Q17" s="19"/>
    </row>
    <row r="18" spans="2:24">
      <c r="B18" s="222" t="s">
        <v>438</v>
      </c>
      <c r="C18" s="466">
        <f>SUM('Air Quality'!C8:C27)</f>
        <v>-4504.6101152637457</v>
      </c>
      <c r="D18" s="467">
        <f>SUM('Air Quality'!G8:G27)</f>
        <v>-3.5901962552956759</v>
      </c>
      <c r="E18" s="466">
        <f>SUM('Air Quality'!H8:H27)*907.185</f>
        <v>-25.789582977452845</v>
      </c>
      <c r="F18" s="468">
        <f>SUM('Air Quality'!I8:I27)*907.185</f>
        <v>-77.546262032700454</v>
      </c>
      <c r="G18" s="476">
        <f>SUM(C18:F18)</f>
        <v>-4611.5361565291942</v>
      </c>
      <c r="N18" s="807" t="s">
        <v>248</v>
      </c>
      <c r="O18" s="260" t="s">
        <v>112</v>
      </c>
      <c r="P18" s="261">
        <v>1.67</v>
      </c>
      <c r="Q18" s="19"/>
    </row>
    <row r="19" spans="2:24" ht="15.75" thickBot="1">
      <c r="B19" s="224" t="s">
        <v>338</v>
      </c>
      <c r="C19" s="226">
        <f>MROUND(-SUM('Air Quality'!E8:E27),100000)</f>
        <v>900000</v>
      </c>
      <c r="D19" s="226" cm="1">
        <f t="array" ref="D19">MROUND(-SUM('Air Quality'!J8:J27*(1+Assumptions!$D$13)^-($S$26:$S$45-Assumptions!$D$4)),1000)</f>
        <v>43000</v>
      </c>
      <c r="E19" s="226" cm="1">
        <f t="array" ref="E19">MROUND(-SUM('Air Quality'!K8:K27*(1+Assumptions!$D$13)^-($S$26:$S$45-Assumptions!$D$4)),100)</f>
        <v>900</v>
      </c>
      <c r="F19" s="226" cm="1">
        <f t="array" ref="F19">MROUND(-SUM('Air Quality'!L8:L27*(1+Assumptions!$D$13)^-($S$26:$S$45-Assumptions!$D$4)),10000)</f>
        <v>50000</v>
      </c>
      <c r="G19" s="102">
        <f>MROUND(SUM(C19:F19),100000)</f>
        <v>1000000</v>
      </c>
      <c r="N19" s="806"/>
      <c r="O19" s="264" t="s">
        <v>90</v>
      </c>
      <c r="P19" s="273">
        <v>1</v>
      </c>
      <c r="Q19" s="19"/>
    </row>
    <row r="20" spans="2:24">
      <c r="N20" s="805" t="s">
        <v>249</v>
      </c>
      <c r="O20" s="264" t="s">
        <v>112</v>
      </c>
      <c r="P20" s="277">
        <v>19.600000000000001</v>
      </c>
      <c r="Q20" s="19"/>
    </row>
    <row r="21" spans="2:24">
      <c r="N21" s="806"/>
      <c r="O21" s="264" t="s">
        <v>90</v>
      </c>
      <c r="P21" s="277">
        <v>33.5</v>
      </c>
      <c r="Q21" s="19"/>
    </row>
    <row r="22" spans="2:24" ht="15.75" thickBot="1">
      <c r="N22" s="801" t="s">
        <v>250</v>
      </c>
      <c r="O22" s="802"/>
      <c r="P22" s="278">
        <f>O15 *P18*P20+O16*P19*P21</f>
        <v>32.744195853550949</v>
      </c>
      <c r="Q22" s="19"/>
    </row>
    <row r="23" spans="2:24" ht="15.75" thickBot="1">
      <c r="N23" s="19"/>
      <c r="O23" s="19"/>
      <c r="P23" s="19"/>
      <c r="Q23" s="19"/>
    </row>
    <row r="24" spans="2:24">
      <c r="C24" t="s">
        <v>172</v>
      </c>
      <c r="D24" t="s">
        <v>146</v>
      </c>
      <c r="E24" t="s">
        <v>147</v>
      </c>
      <c r="F24" t="s">
        <v>220</v>
      </c>
      <c r="G24" t="s">
        <v>239</v>
      </c>
      <c r="H24" t="s">
        <v>54</v>
      </c>
      <c r="N24" s="803" t="s">
        <v>254</v>
      </c>
      <c r="O24" s="804"/>
      <c r="P24" s="279">
        <f>MROUND(P22*O13,10000)</f>
        <v>370000</v>
      </c>
      <c r="Q24" s="19"/>
    </row>
    <row r="25" spans="2:24" ht="15.75" thickBot="1">
      <c r="B25">
        <f>Safety!C5</f>
        <v>2029</v>
      </c>
      <c r="C25" s="90">
        <f>Safety!K5</f>
        <v>1206480.609417343</v>
      </c>
      <c r="D25" s="90">
        <f>'Air Quality'!N8</f>
        <v>66.721771844226637</v>
      </c>
      <c r="E25" s="90">
        <f>'Air Quality'!E8</f>
        <v>484.06783589996184</v>
      </c>
      <c r="F25" s="90">
        <f>'Travel Time'!G7</f>
        <v>-32043.726534188503</v>
      </c>
      <c r="G25" s="90">
        <f>'Ops and Main'!L5</f>
        <v>0</v>
      </c>
      <c r="H25" s="90">
        <f>'Capital Costs'!G15</f>
        <v>0</v>
      </c>
      <c r="N25" s="801" t="s">
        <v>256</v>
      </c>
      <c r="O25" s="802"/>
      <c r="P25" s="280" t="e">
        <f>MROUND(Tables!O29*Tables!P24/2,1000)</f>
        <v>#REF!</v>
      </c>
      <c r="Q25" s="19"/>
      <c r="S25" s="8" t="str">
        <f>Safety!C4</f>
        <v>Year</v>
      </c>
      <c r="T25" s="8" t="str">
        <f>Safety!H4</f>
        <v>No Build</v>
      </c>
      <c r="U25" s="8" t="str">
        <f>Safety!I4</f>
        <v>Build</v>
      </c>
      <c r="V25" s="8" t="s">
        <v>1</v>
      </c>
      <c r="W25" s="8" t="s">
        <v>2</v>
      </c>
      <c r="X25" s="8" t="s">
        <v>3</v>
      </c>
    </row>
    <row r="26" spans="2:24" ht="15.75" thickBot="1">
      <c r="B26">
        <f>Safety!C6</f>
        <v>2030</v>
      </c>
      <c r="C26" s="90">
        <f>Safety!K6</f>
        <v>1197327.8369600102</v>
      </c>
      <c r="D26" s="90">
        <f>'Air Quality'!N9</f>
        <v>67.790305158334277</v>
      </c>
      <c r="E26" s="90">
        <f>'Air Quality'!E9</f>
        <v>496.84115478396109</v>
      </c>
      <c r="F26" s="90">
        <f>'Travel Time'!G8</f>
        <v>-32031.941074687747</v>
      </c>
      <c r="G26" s="90">
        <f>'Ops and Main'!L6</f>
        <v>20365.919635788669</v>
      </c>
      <c r="H26" s="90">
        <f>'Capital Costs'!G16</f>
        <v>0</v>
      </c>
      <c r="N26" s="19"/>
      <c r="O26" s="19"/>
      <c r="P26" s="19"/>
      <c r="Q26" s="19"/>
      <c r="S26" s="8">
        <f>Safety!C5</f>
        <v>2029</v>
      </c>
      <c r="T26" s="90">
        <f>Safety!H5</f>
        <v>2902716.6562683168</v>
      </c>
      <c r="U26" s="90">
        <f>Safety!I5</f>
        <v>1408784.0599589562</v>
      </c>
      <c r="V26" s="90">
        <f>-T26*(1.031)^-(S26-2022)</f>
        <v>-2344196.3640609053</v>
      </c>
      <c r="W26" s="90">
        <f>-U26*(1.031)^-(S26-2022)</f>
        <v>-1137715.7546435622</v>
      </c>
      <c r="X26" s="90">
        <f>W26-V26</f>
        <v>1206480.609417343</v>
      </c>
    </row>
    <row r="27" spans="2:24">
      <c r="B27">
        <f>Safety!C7</f>
        <v>2031</v>
      </c>
      <c r="C27" s="90">
        <f>Safety!K7</f>
        <v>1187634.720741587</v>
      </c>
      <c r="D27" s="90">
        <f>'Air Quality'!N10</f>
        <v>-706.61475534697831</v>
      </c>
      <c r="E27" s="90">
        <f>'Air Quality'!E10</f>
        <v>-5336.5346932807843</v>
      </c>
      <c r="F27" s="90">
        <f>'Travel Time'!G9</f>
        <v>333886.12358232774</v>
      </c>
      <c r="G27" s="90">
        <f>'Ops and Main'!L7</f>
        <v>0</v>
      </c>
      <c r="H27" s="90">
        <f>'Capital Costs'!G17</f>
        <v>0</v>
      </c>
      <c r="N27" s="259" t="s">
        <v>257</v>
      </c>
      <c r="O27" s="281" t="e">
        <f>SUM('Traffic Delay'!#REF!,'Traffic Delay'!#REF!)</f>
        <v>#REF!</v>
      </c>
      <c r="P27" s="19"/>
      <c r="Q27" s="19"/>
      <c r="S27" s="8">
        <f>Safety!C6</f>
        <v>2030</v>
      </c>
      <c r="T27" s="90">
        <f>Safety!H6</f>
        <v>2969997.2254043189</v>
      </c>
      <c r="U27" s="90">
        <f>Safety!I6</f>
        <v>1441437.5375690025</v>
      </c>
      <c r="V27" s="90">
        <f t="shared" ref="V27:V45" si="0">-T27*(1.031)^-(S27-2022)</f>
        <v>-2326412.4927346031</v>
      </c>
      <c r="W27" s="90">
        <f t="shared" ref="W27:W45" si="1">-U27*(1.031)^-(S27-2022)</f>
        <v>-1129084.6557745929</v>
      </c>
      <c r="X27" s="90">
        <f t="shared" ref="X27:X45" si="2">W27-V27</f>
        <v>1197327.8369600102</v>
      </c>
    </row>
    <row r="28" spans="2:24">
      <c r="B28">
        <f>Safety!C8</f>
        <v>2032</v>
      </c>
      <c r="C28" s="90">
        <f>Safety!K8</f>
        <v>1177442.0295844742</v>
      </c>
      <c r="D28" s="90">
        <f>'Air Quality'!N11</f>
        <v>-1434.5116431210267</v>
      </c>
      <c r="E28" s="90">
        <f>'Air Quality'!E11</f>
        <v>-11076.021466866132</v>
      </c>
      <c r="F28" s="90">
        <f>'Travel Time'!G10</f>
        <v>677828.37554843235</v>
      </c>
      <c r="G28" s="90">
        <f>'Ops and Main'!L8</f>
        <v>0</v>
      </c>
      <c r="H28" s="90">
        <f>'Capital Costs'!G18</f>
        <v>0</v>
      </c>
      <c r="N28" s="263" t="s">
        <v>258</v>
      </c>
      <c r="O28" s="282" t="e">
        <f>SUM('Traffic Delay'!#REF!)</f>
        <v>#REF!</v>
      </c>
      <c r="P28" s="19"/>
      <c r="Q28" s="19"/>
      <c r="S28" s="8">
        <f>Safety!C7</f>
        <v>2031</v>
      </c>
      <c r="T28" s="90">
        <f>Safety!H7</f>
        <v>3037277.794540321</v>
      </c>
      <c r="U28" s="90">
        <f>Safety!I7</f>
        <v>1474091.015179049</v>
      </c>
      <c r="V28" s="90">
        <f t="shared" si="0"/>
        <v>-2307578.7314471998</v>
      </c>
      <c r="W28" s="90">
        <f t="shared" si="1"/>
        <v>-1119944.0107056126</v>
      </c>
      <c r="X28" s="90">
        <f t="shared" si="2"/>
        <v>1187634.7207415872</v>
      </c>
    </row>
    <row r="29" spans="2:24" ht="15.75" thickBot="1">
      <c r="B29">
        <f>Safety!C9</f>
        <v>2033</v>
      </c>
      <c r="C29" s="90">
        <f>Safety!K9</f>
        <v>1166788.5691587918</v>
      </c>
      <c r="D29" s="90">
        <f>'Air Quality'!N12</f>
        <v>-2117.997041066621</v>
      </c>
      <c r="E29" s="90">
        <f>'Air Quality'!E12</f>
        <v>-16841.526153993236</v>
      </c>
      <c r="F29" s="90">
        <f>'Travel Time'!G11</f>
        <v>1000785.5291011061</v>
      </c>
      <c r="G29" s="90">
        <f>'Ops and Main'!L9</f>
        <v>0</v>
      </c>
      <c r="H29" s="90">
        <f>'Capital Costs'!G19</f>
        <v>0</v>
      </c>
      <c r="N29" s="275" t="s">
        <v>259</v>
      </c>
      <c r="O29" s="283" t="e">
        <f>O27/O28</f>
        <v>#REF!</v>
      </c>
      <c r="P29" s="19"/>
      <c r="Q29" s="19"/>
      <c r="S29" s="8">
        <f>Safety!C8</f>
        <v>2032</v>
      </c>
      <c r="T29" s="90">
        <f>Safety!H8</f>
        <v>3104558.3636763231</v>
      </c>
      <c r="U29" s="90">
        <f>Safety!I8</f>
        <v>1506744.4927890953</v>
      </c>
      <c r="V29" s="90">
        <f t="shared" si="0"/>
        <v>-2287774.2941740309</v>
      </c>
      <c r="W29" s="90">
        <f t="shared" si="1"/>
        <v>-1110332.264589557</v>
      </c>
      <c r="X29" s="90">
        <f t="shared" si="2"/>
        <v>1177442.0295844739</v>
      </c>
    </row>
    <row r="30" spans="2:24">
      <c r="B30">
        <f>Safety!C10</f>
        <v>2034</v>
      </c>
      <c r="C30" s="90">
        <f>Safety!K10</f>
        <v>1155711.2631798857</v>
      </c>
      <c r="D30" s="90">
        <f>'Air Quality'!N13</f>
        <v>-2759.0835934318775</v>
      </c>
      <c r="E30" s="90">
        <f>'Air Quality'!E13</f>
        <v>-22504.338203061288</v>
      </c>
      <c r="F30" s="90">
        <f>'Travel Time'!G12</f>
        <v>1303708.588986668</v>
      </c>
      <c r="G30" s="90">
        <f>'Ops and Main'!L10</f>
        <v>0</v>
      </c>
      <c r="H30" s="90">
        <f>'Capital Costs'!G20</f>
        <v>0</v>
      </c>
      <c r="N30" s="19"/>
      <c r="O30" s="19"/>
      <c r="P30" s="19"/>
      <c r="Q30" s="19"/>
      <c r="S30" s="8">
        <f>Safety!C9</f>
        <v>2033</v>
      </c>
      <c r="T30" s="90">
        <f>Safety!H9</f>
        <v>3171838.9328123252</v>
      </c>
      <c r="U30" s="90">
        <f>Safety!I9</f>
        <v>1539397.970399142</v>
      </c>
      <c r="V30" s="90">
        <f t="shared" si="0"/>
        <v>-2267074.5804781667</v>
      </c>
      <c r="W30" s="90">
        <f t="shared" si="1"/>
        <v>-1100286.0113193749</v>
      </c>
      <c r="X30" s="90">
        <f t="shared" si="2"/>
        <v>1166788.5691587918</v>
      </c>
    </row>
    <row r="31" spans="2:24">
      <c r="B31">
        <f>Safety!C11</f>
        <v>2035</v>
      </c>
      <c r="C31" s="90">
        <f>Safety!K11</f>
        <v>1144245.2314977995</v>
      </c>
      <c r="D31" s="90">
        <f>'Air Quality'!N14</f>
        <v>-3359.7030639785489</v>
      </c>
      <c r="E31" s="90">
        <f>'Air Quality'!E14</f>
        <v>-28103.150506277056</v>
      </c>
      <c r="F31" s="90">
        <f>'Travel Time'!G13</f>
        <v>1587510.3427024181</v>
      </c>
      <c r="G31" s="90">
        <f>'Ops and Main'!L11</f>
        <v>8500669.6147338245</v>
      </c>
      <c r="H31" s="90">
        <f>'Capital Costs'!G21</f>
        <v>0</v>
      </c>
      <c r="N31" s="19"/>
      <c r="O31" s="19"/>
      <c r="P31" s="19"/>
      <c r="Q31" s="19"/>
      <c r="S31" s="8">
        <f>Safety!C10</f>
        <v>2034</v>
      </c>
      <c r="T31" s="90">
        <f>Safety!H10</f>
        <v>3239119.5019483273</v>
      </c>
      <c r="U31" s="90">
        <f>Safety!I10</f>
        <v>1572051.4480091885</v>
      </c>
      <c r="V31" s="90">
        <f t="shared" si="0"/>
        <v>-2245551.3332774658</v>
      </c>
      <c r="W31" s="90">
        <f t="shared" si="1"/>
        <v>-1089840.0700975803</v>
      </c>
      <c r="X31" s="90">
        <f t="shared" si="2"/>
        <v>1155711.2631798855</v>
      </c>
    </row>
    <row r="32" spans="2:24">
      <c r="B32">
        <f>Safety!C12</f>
        <v>2036</v>
      </c>
      <c r="C32" s="90">
        <f>Safety!K12</f>
        <v>1132423.8651922108</v>
      </c>
      <c r="D32" s="90">
        <f>'Air Quality'!N15</f>
        <v>-3921.7093802049999</v>
      </c>
      <c r="E32" s="90">
        <f>'Air Quality'!E15</f>
        <v>-33635.069291619511</v>
      </c>
      <c r="F32" s="90">
        <f>'Travel Time'!G14</f>
        <v>1853066.798937883</v>
      </c>
      <c r="G32" s="90">
        <f>'Ops and Main'!L12</f>
        <v>0</v>
      </c>
      <c r="H32" s="90">
        <f>'Capital Costs'!G22</f>
        <v>0</v>
      </c>
      <c r="S32" s="8">
        <f>Safety!C11</f>
        <v>2035</v>
      </c>
      <c r="T32" s="90">
        <f>Safety!H11</f>
        <v>3306400.0710843294</v>
      </c>
      <c r="U32" s="90">
        <f>Safety!I11</f>
        <v>1604704.925619235</v>
      </c>
      <c r="V32" s="90">
        <f t="shared" si="0"/>
        <v>-2223272.7905727192</v>
      </c>
      <c r="W32" s="90">
        <f t="shared" si="1"/>
        <v>-1079027.5590749194</v>
      </c>
      <c r="X32" s="90">
        <f t="shared" si="2"/>
        <v>1144245.2314977997</v>
      </c>
    </row>
    <row r="33" spans="2:24">
      <c r="B33">
        <f>Safety!C13</f>
        <v>2037</v>
      </c>
      <c r="C33" s="90">
        <f>Safety!K13</f>
        <v>1120278.8987823061</v>
      </c>
      <c r="D33" s="90">
        <f>'Air Quality'!N16</f>
        <v>-4446.8815676251115</v>
      </c>
      <c r="E33" s="90">
        <f>'Air Quality'!E16</f>
        <v>-39234.106340139078</v>
      </c>
      <c r="F33" s="90">
        <f>'Travel Time'!G15</f>
        <v>2101218.5740658301</v>
      </c>
      <c r="G33" s="90">
        <f>'Ops and Main'!L13</f>
        <v>0</v>
      </c>
      <c r="H33" s="90">
        <f>'Capital Costs'!G23</f>
        <v>0</v>
      </c>
      <c r="S33" s="8">
        <f>Safety!C12</f>
        <v>2036</v>
      </c>
      <c r="T33" s="90">
        <f>Safety!H12</f>
        <v>3373680.6402203315</v>
      </c>
      <c r="U33" s="90">
        <f>Safety!I12</f>
        <v>1637358.4032292813</v>
      </c>
      <c r="V33" s="90">
        <f t="shared" si="0"/>
        <v>-2200303.8313573888</v>
      </c>
      <c r="W33" s="90">
        <f t="shared" si="1"/>
        <v>-1067879.966165178</v>
      </c>
      <c r="X33" s="90">
        <f t="shared" si="2"/>
        <v>1132423.8651922108</v>
      </c>
    </row>
    <row r="34" spans="2:24">
      <c r="B34">
        <f>Safety!C14</f>
        <v>2038</v>
      </c>
      <c r="C34" s="90">
        <f>Safety!K14</f>
        <v>1107840.4796572069</v>
      </c>
      <c r="D34" s="90">
        <f>'Air Quality'!N17</f>
        <v>-4936.9265779626812</v>
      </c>
      <c r="E34" s="90">
        <f>'Air Quality'!E17</f>
        <v>-44487.649945624042</v>
      </c>
      <c r="F34" s="90">
        <f>'Travel Time'!G16</f>
        <v>2332772.2285067551</v>
      </c>
      <c r="G34" s="90">
        <f>'Ops and Main'!L14</f>
        <v>0</v>
      </c>
      <c r="H34" s="90">
        <f>'Capital Costs'!G24</f>
        <v>0</v>
      </c>
      <c r="S34" s="8">
        <f>Safety!C13</f>
        <v>2037</v>
      </c>
      <c r="T34" s="90">
        <f>Safety!H13</f>
        <v>3440961.2093563341</v>
      </c>
      <c r="U34" s="90">
        <f>Safety!I13</f>
        <v>1670011.8808393278</v>
      </c>
      <c r="V34" s="90">
        <f t="shared" si="0"/>
        <v>-2176706.115921672</v>
      </c>
      <c r="W34" s="90">
        <f t="shared" si="1"/>
        <v>-1056427.2171393661</v>
      </c>
      <c r="X34" s="90">
        <f t="shared" si="2"/>
        <v>1120278.8987823059</v>
      </c>
    </row>
    <row r="35" spans="2:24">
      <c r="B35">
        <f>Safety!C15</f>
        <v>2039</v>
      </c>
      <c r="C35" s="90">
        <f>Safety!K15</f>
        <v>1095137.2348287911</v>
      </c>
      <c r="D35" s="90">
        <f>'Air Quality'!N18</f>
        <v>-5393.4820149882617</v>
      </c>
      <c r="E35" s="90">
        <f>'Air Quality'!E18</f>
        <v>-49803.499184986482</v>
      </c>
      <c r="F35" s="90">
        <f>'Travel Time'!G17</f>
        <v>2548501.554727877</v>
      </c>
      <c r="G35" s="90">
        <f>'Ops and Main'!L15</f>
        <v>0</v>
      </c>
      <c r="H35" s="90">
        <f>'Capital Costs'!G25</f>
        <v>0</v>
      </c>
      <c r="S35" s="8">
        <f>Safety!C14</f>
        <v>2038</v>
      </c>
      <c r="T35" s="90">
        <f>Safety!H14</f>
        <v>3508241.7784923366</v>
      </c>
      <c r="U35" s="90">
        <f>Safety!I14</f>
        <v>1702665.3584493743</v>
      </c>
      <c r="V35" s="90">
        <f t="shared" si="0"/>
        <v>-2152538.2207560753</v>
      </c>
      <c r="W35" s="90">
        <f t="shared" si="1"/>
        <v>-1044697.7410988687</v>
      </c>
      <c r="X35" s="90">
        <f t="shared" si="2"/>
        <v>1107840.4796572067</v>
      </c>
    </row>
    <row r="36" spans="2:24">
      <c r="B36">
        <f>Safety!C16</f>
        <v>2040</v>
      </c>
      <c r="C36" s="90">
        <f>Safety!K16</f>
        <v>1082196.3351052089</v>
      </c>
      <c r="D36" s="90">
        <f>'Air Quality'!N19</f>
        <v>-5818.1187615942126</v>
      </c>
      <c r="E36" s="90">
        <f>'Air Quality'!E19</f>
        <v>-55227.521807837446</v>
      </c>
      <c r="F36" s="90">
        <f>'Travel Time'!G18</f>
        <v>2749148.8185757035</v>
      </c>
      <c r="G36" s="90">
        <f>'Ops and Main'!L16</f>
        <v>0</v>
      </c>
      <c r="H36" s="90">
        <f>'Capital Costs'!G26</f>
        <v>0</v>
      </c>
      <c r="S36" s="8">
        <f>Safety!C15</f>
        <v>2039</v>
      </c>
      <c r="T36" s="90">
        <f>Safety!H15</f>
        <v>3575522.3476283159</v>
      </c>
      <c r="U36" s="90">
        <f>Safety!I15</f>
        <v>1735318.8360594099</v>
      </c>
      <c r="V36" s="90">
        <f t="shared" si="0"/>
        <v>-2127855.7682524016</v>
      </c>
      <c r="W36" s="90">
        <f t="shared" si="1"/>
        <v>-1032718.5334236104</v>
      </c>
      <c r="X36" s="90">
        <f t="shared" si="2"/>
        <v>1095137.2348287911</v>
      </c>
    </row>
    <row r="37" spans="2:24">
      <c r="B37">
        <f>Safety!C17</f>
        <v>2041</v>
      </c>
      <c r="C37" s="90">
        <f>Safety!K17</f>
        <v>1069043.5567797404</v>
      </c>
      <c r="D37" s="90">
        <f>'Air Quality'!N20</f>
        <v>-6212.3435115861912</v>
      </c>
      <c r="E37" s="90">
        <f>'Air Quality'!E20</f>
        <v>-60402.980607908627</v>
      </c>
      <c r="F37" s="90">
        <f>'Travel Time'!G19</f>
        <v>2935425.9555856707</v>
      </c>
      <c r="G37" s="90">
        <f>'Ops and Main'!L17</f>
        <v>-14556.558416861311</v>
      </c>
      <c r="H37" s="90">
        <f>'Capital Costs'!G27</f>
        <v>0</v>
      </c>
      <c r="S37" s="8">
        <f>Safety!C16</f>
        <v>2040</v>
      </c>
      <c r="T37" s="90">
        <f>Safety!H16</f>
        <v>3642802.9167643175</v>
      </c>
      <c r="U37" s="90">
        <f>Safety!I16</f>
        <v>1767972.3136694562</v>
      </c>
      <c r="V37" s="90">
        <f t="shared" si="0"/>
        <v>-2102711.551393128</v>
      </c>
      <c r="W37" s="90">
        <f t="shared" si="1"/>
        <v>-1020515.2162879191</v>
      </c>
      <c r="X37" s="90">
        <f t="shared" si="2"/>
        <v>1082196.3351052089</v>
      </c>
    </row>
    <row r="38" spans="2:24">
      <c r="B38">
        <f>Safety!C18</f>
        <v>2042</v>
      </c>
      <c r="C38" s="90">
        <f>Safety!K18</f>
        <v>1055703.3409265401</v>
      </c>
      <c r="D38" s="90">
        <f>'Air Quality'!N21</f>
        <v>-6577.6012095426613</v>
      </c>
      <c r="E38" s="90">
        <f>'Air Quality'!E21</f>
        <v>-65710.841425574181</v>
      </c>
      <c r="F38" s="90">
        <f>'Travel Time'!G20</f>
        <v>3108015.7238525474</v>
      </c>
      <c r="G38" s="90">
        <f>'Ops and Main'!L18</f>
        <v>0</v>
      </c>
      <c r="H38" s="90">
        <f>'Capital Costs'!G28</f>
        <v>0</v>
      </c>
      <c r="S38" s="8">
        <f>Safety!C17</f>
        <v>2041</v>
      </c>
      <c r="T38" s="90">
        <f>Safety!H17</f>
        <v>3710083.4859003196</v>
      </c>
      <c r="U38" s="90">
        <f>Safety!I17</f>
        <v>1800625.7912795027</v>
      </c>
      <c r="V38" s="90">
        <f t="shared" si="0"/>
        <v>-2077155.6536130945</v>
      </c>
      <c r="W38" s="90">
        <f t="shared" si="1"/>
        <v>-1008112.096833354</v>
      </c>
      <c r="X38" s="90">
        <f t="shared" si="2"/>
        <v>1069043.5567797404</v>
      </c>
    </row>
    <row r="39" spans="2:24">
      <c r="B39">
        <f>Safety!C19</f>
        <v>2043</v>
      </c>
      <c r="C39" s="90">
        <f>Safety!K19</f>
        <v>1042198.8503912984</v>
      </c>
      <c r="D39" s="90">
        <f>'Air Quality'!N22</f>
        <v>-6915.2774019842882</v>
      </c>
      <c r="E39" s="90">
        <f>'Air Quality'!E22</f>
        <v>-70736.157790671481</v>
      </c>
      <c r="F39" s="90">
        <f>'Travel Time'!G21</f>
        <v>3267572.814993408</v>
      </c>
      <c r="G39" s="90">
        <f>'Ops and Main'!L19</f>
        <v>0</v>
      </c>
      <c r="H39" s="90">
        <f>'Capital Costs'!G29</f>
        <v>0</v>
      </c>
      <c r="S39" s="8">
        <f>Safety!C18</f>
        <v>2042</v>
      </c>
      <c r="T39" s="90">
        <f>Safety!H18</f>
        <v>3777364.0550363217</v>
      </c>
      <c r="U39" s="90">
        <f>Safety!I18</f>
        <v>1833279.268889549</v>
      </c>
      <c r="V39" s="90">
        <f t="shared" si="0"/>
        <v>-2051235.5640113538</v>
      </c>
      <c r="W39" s="90">
        <f t="shared" si="1"/>
        <v>-995532.2230848138</v>
      </c>
      <c r="X39" s="90">
        <f t="shared" si="2"/>
        <v>1055703.3409265401</v>
      </c>
    </row>
    <row r="40" spans="2:24">
      <c r="B40">
        <f>Safety!C20</f>
        <v>2044</v>
      </c>
      <c r="C40" s="90">
        <f>Safety!K20</f>
        <v>1028552.0245618772</v>
      </c>
      <c r="D40" s="90">
        <f>'Air Quality'!N23</f>
        <v>-7226.7005029807706</v>
      </c>
      <c r="E40" s="90">
        <f>'Air Quality'!E23</f>
        <v>-75916.307875001512</v>
      </c>
      <c r="F40" s="90">
        <f>'Travel Time'!G22</f>
        <v>3414724.9246810195</v>
      </c>
      <c r="G40" s="90">
        <f>'Ops and Main'!L20</f>
        <v>0</v>
      </c>
      <c r="H40" s="90">
        <f>'Capital Costs'!G30</f>
        <v>0</v>
      </c>
      <c r="S40" s="8">
        <f>Safety!C19</f>
        <v>2043</v>
      </c>
      <c r="T40" s="90">
        <f>Safety!H19</f>
        <v>3844644.6241723243</v>
      </c>
      <c r="U40" s="90">
        <f>Safety!I19</f>
        <v>1865932.7464995957</v>
      </c>
      <c r="V40" s="90">
        <f t="shared" si="0"/>
        <v>-2024996.2880842451</v>
      </c>
      <c r="W40" s="90">
        <f t="shared" si="1"/>
        <v>-982797.43769294652</v>
      </c>
      <c r="X40" s="90">
        <f t="shared" si="2"/>
        <v>1042198.8503912985</v>
      </c>
    </row>
    <row r="41" spans="2:24">
      <c r="B41">
        <f>Safety!C21</f>
        <v>2045</v>
      </c>
      <c r="C41" s="90">
        <f>Safety!K21</f>
        <v>1014783.6320008844</v>
      </c>
      <c r="D41" s="90">
        <f>'Air Quality'!N24</f>
        <v>-7513.1439772126178</v>
      </c>
      <c r="E41" s="90">
        <f>'Air Quality'!E24</f>
        <v>-80783.189669394269</v>
      </c>
      <c r="F41" s="90">
        <f>'Travel Time'!G23</f>
        <v>3550073.7841734355</v>
      </c>
      <c r="G41" s="90">
        <f>'Ops and Main'!L21</f>
        <v>12883.208827536579</v>
      </c>
      <c r="H41" s="90">
        <f>'Capital Costs'!G31</f>
        <v>0</v>
      </c>
      <c r="S41" s="8">
        <f>Safety!C20</f>
        <v>2044</v>
      </c>
      <c r="T41" s="90">
        <f>Safety!H20</f>
        <v>3911925.1933083264</v>
      </c>
      <c r="U41" s="90">
        <f>Safety!I20</f>
        <v>1898586.224109642</v>
      </c>
      <c r="V41" s="90">
        <f t="shared" si="0"/>
        <v>-1998480.45414494</v>
      </c>
      <c r="W41" s="90">
        <f t="shared" si="1"/>
        <v>-969928.42958306277</v>
      </c>
      <c r="X41" s="90">
        <f t="shared" si="2"/>
        <v>1028552.0245618772</v>
      </c>
    </row>
    <row r="42" spans="2:24">
      <c r="B42">
        <f>Safety!C22</f>
        <v>2046</v>
      </c>
      <c r="C42" s="90">
        <f>Safety!K22</f>
        <v>1000913.3210192536</v>
      </c>
      <c r="D42" s="90">
        <f>'Air Quality'!N25</f>
        <v>-7775.8284434067618</v>
      </c>
      <c r="E42" s="90">
        <f>'Air Quality'!E25</f>
        <v>-85825.633349223965</v>
      </c>
      <c r="F42" s="90">
        <f>'Travel Time'!G24</f>
        <v>3674196.1542190313</v>
      </c>
      <c r="G42" s="90">
        <f>'Ops and Main'!L22</f>
        <v>0</v>
      </c>
      <c r="H42" s="90">
        <f>'Capital Costs'!G32</f>
        <v>0</v>
      </c>
      <c r="S42" s="8">
        <f>Safety!C21</f>
        <v>2045</v>
      </c>
      <c r="T42" s="90">
        <f>Safety!H21</f>
        <v>3979205.7624443285</v>
      </c>
      <c r="U42" s="90">
        <f>Safety!I21</f>
        <v>1931239.7017196885</v>
      </c>
      <c r="V42" s="90">
        <f t="shared" si="0"/>
        <v>-1971728.4155887382</v>
      </c>
      <c r="W42" s="90">
        <f t="shared" si="1"/>
        <v>-956944.78358785377</v>
      </c>
      <c r="X42" s="90">
        <f t="shared" si="2"/>
        <v>1014783.6320008844</v>
      </c>
    </row>
    <row r="43" spans="2:24">
      <c r="B43">
        <f>Safety!C23</f>
        <v>2047</v>
      </c>
      <c r="C43" s="90">
        <f>Safety!K23</f>
        <v>986959.66826705413</v>
      </c>
      <c r="D43" s="90">
        <f>'Air Quality'!N26</f>
        <v>-8015.9237009558128</v>
      </c>
      <c r="E43" s="90">
        <f>'Air Quality'!E26</f>
        <v>-90801.455204998987</v>
      </c>
      <c r="F43" s="90">
        <f>'Travel Time'!G25</f>
        <v>3787644.7826646529</v>
      </c>
      <c r="G43" s="90">
        <f>'Ops and Main'!L23</f>
        <v>0</v>
      </c>
      <c r="H43" s="90">
        <f>'Capital Costs'!G33</f>
        <v>0</v>
      </c>
      <c r="S43" s="8">
        <f>Safety!C22</f>
        <v>2046</v>
      </c>
      <c r="T43" s="90">
        <f>Safety!H22</f>
        <v>4046486.3315803306</v>
      </c>
      <c r="U43" s="90">
        <f>Safety!I22</f>
        <v>1963893.1793297348</v>
      </c>
      <c r="V43" s="90">
        <f t="shared" si="0"/>
        <v>-1944778.3491577196</v>
      </c>
      <c r="W43" s="90">
        <f t="shared" si="1"/>
        <v>-943865.02813846595</v>
      </c>
      <c r="X43" s="90">
        <f t="shared" si="2"/>
        <v>1000913.3210192537</v>
      </c>
    </row>
    <row r="44" spans="2:24">
      <c r="B44">
        <f>Safety!C24</f>
        <v>2048</v>
      </c>
      <c r="C44" s="90">
        <f>Safety!K24</f>
        <v>972940.22541505494</v>
      </c>
      <c r="D44" s="90">
        <f>'Air Quality'!N27</f>
        <v>-8234.5506824467411</v>
      </c>
      <c r="E44" s="90">
        <f>'Air Quality'!E27</f>
        <v>-95708.149209785479</v>
      </c>
      <c r="F44" s="90">
        <f>'Travel Time'!G26</f>
        <v>3890949.3270548508</v>
      </c>
      <c r="G44" s="90">
        <f>'Ops and Main'!L24</f>
        <v>0</v>
      </c>
      <c r="H44" s="90">
        <f>'Capital Costs'!G34</f>
        <v>2924961.9542023251</v>
      </c>
      <c r="S44" s="8">
        <f>Safety!C23</f>
        <v>2047</v>
      </c>
      <c r="T44" s="90">
        <f>Safety!H23</f>
        <v>4113766.9007163327</v>
      </c>
      <c r="U44" s="90">
        <f>Safety!I23</f>
        <v>1996546.6569397815</v>
      </c>
      <c r="V44" s="90">
        <f t="shared" si="0"/>
        <v>-1917666.3493528729</v>
      </c>
      <c r="W44" s="90">
        <f t="shared" si="1"/>
        <v>-930706.68108581891</v>
      </c>
      <c r="X44" s="90">
        <f t="shared" si="2"/>
        <v>986959.66826705402</v>
      </c>
    </row>
    <row r="45" spans="2:24">
      <c r="B45" t="s">
        <v>5</v>
      </c>
      <c r="C45" s="108">
        <f>SUM(C25:C44)</f>
        <v>21944601.693467319</v>
      </c>
      <c r="D45" s="108">
        <f>-SUM(D25:D44)</f>
        <v>93231.88575243362</v>
      </c>
      <c r="E45" s="108">
        <f>-SUM(E25:E44)</f>
        <v>931153.22373555973</v>
      </c>
      <c r="F45" s="108">
        <f t="shared" ref="F45:H45" si="3">SUM(F25:F44)</f>
        <v>44052954.734350748</v>
      </c>
      <c r="G45" s="108">
        <f t="shared" si="3"/>
        <v>8519362.1847802885</v>
      </c>
      <c r="H45" s="108">
        <f t="shared" si="3"/>
        <v>2924961.9542023251</v>
      </c>
      <c r="S45" s="8">
        <f>Safety!C24</f>
        <v>2048</v>
      </c>
      <c r="T45" s="90">
        <f>Safety!H24</f>
        <v>4181047.4698523348</v>
      </c>
      <c r="U45" s="90">
        <f>Safety!I24</f>
        <v>2029200.1345498278</v>
      </c>
      <c r="V45" s="90">
        <f t="shared" si="0"/>
        <v>-1890426.5191365485</v>
      </c>
      <c r="W45" s="90">
        <f t="shared" si="1"/>
        <v>-917486.29372149357</v>
      </c>
      <c r="X45" s="90">
        <f t="shared" si="2"/>
        <v>972940.22541505494</v>
      </c>
    </row>
  </sheetData>
  <mergeCells count="10">
    <mergeCell ref="B4:C4"/>
    <mergeCell ref="D4:E4"/>
    <mergeCell ref="F4:G4"/>
    <mergeCell ref="N25:O25"/>
    <mergeCell ref="N24:O24"/>
    <mergeCell ref="N20:N21"/>
    <mergeCell ref="N18:N19"/>
    <mergeCell ref="N9:P9"/>
    <mergeCell ref="N11:P11"/>
    <mergeCell ref="N22:O22"/>
  </mergeCell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364C72-6E3E-4840-A6A8-56878A8C428C}">
  <sheetPr>
    <tabColor rgb="FF0070C0"/>
    <pageSetUpPr fitToPage="1"/>
  </sheetPr>
  <dimension ref="B1:V62"/>
  <sheetViews>
    <sheetView tabSelected="1" view="pageBreakPreview" zoomScaleNormal="100" zoomScaleSheetLayoutView="100" workbookViewId="0">
      <selection activeCell="A32" sqref="A32"/>
    </sheetView>
  </sheetViews>
  <sheetFormatPr defaultRowHeight="15"/>
  <cols>
    <col min="1" max="1" width="4.7109375" customWidth="1"/>
    <col min="2" max="2" width="19.85546875" customWidth="1"/>
    <col min="3" max="3" width="14.140625" customWidth="1"/>
    <col min="4" max="4" width="14.28515625" customWidth="1"/>
    <col min="5" max="6" width="12" customWidth="1"/>
    <col min="7" max="7" width="12.85546875" bestFit="1" customWidth="1"/>
    <col min="8" max="8" width="11.85546875" customWidth="1"/>
    <col min="9" max="9" width="12.42578125" bestFit="1" customWidth="1"/>
    <col min="10" max="10" width="12.85546875" bestFit="1" customWidth="1"/>
    <col min="11" max="11" width="9.85546875" bestFit="1" customWidth="1"/>
    <col min="12" max="12" width="11.28515625" customWidth="1"/>
    <col min="13" max="13" width="11.85546875" customWidth="1"/>
    <col min="14" max="14" width="11.85546875" bestFit="1" customWidth="1"/>
    <col min="17" max="17" width="36.140625" bestFit="1" customWidth="1"/>
    <col min="18" max="18" width="14.28515625" bestFit="1" customWidth="1"/>
  </cols>
  <sheetData>
    <row r="1" spans="2:14" ht="24">
      <c r="B1" s="57" t="s">
        <v>219</v>
      </c>
      <c r="C1" s="57"/>
    </row>
    <row r="3" spans="2:14" ht="15.75" thickBot="1">
      <c r="B3" s="171" t="s">
        <v>53</v>
      </c>
      <c r="C3" s="19"/>
      <c r="D3" s="19"/>
      <c r="E3" s="171"/>
      <c r="F3" s="19"/>
      <c r="G3" s="19"/>
      <c r="H3" s="19"/>
      <c r="I3" s="19"/>
      <c r="J3" s="19"/>
    </row>
    <row r="4" spans="2:14" s="59" customFormat="1" ht="15.75" customHeight="1" thickBot="1">
      <c r="B4" s="253"/>
      <c r="C4" s="644" t="s">
        <v>290</v>
      </c>
      <c r="D4" s="645"/>
      <c r="E4" s="646"/>
      <c r="F4" s="649" t="s">
        <v>291</v>
      </c>
      <c r="G4" s="650"/>
      <c r="H4" s="650"/>
      <c r="I4" s="651"/>
      <c r="J4" s="644" t="s">
        <v>238</v>
      </c>
      <c r="K4" s="646"/>
    </row>
    <row r="5" spans="2:14" ht="22.5" customHeight="1">
      <c r="B5" s="638" t="s">
        <v>8</v>
      </c>
      <c r="C5" s="640" t="s">
        <v>172</v>
      </c>
      <c r="D5" s="640" t="s">
        <v>146</v>
      </c>
      <c r="E5" s="642" t="s">
        <v>147</v>
      </c>
      <c r="F5" s="647" t="s">
        <v>220</v>
      </c>
      <c r="G5" s="634" t="s">
        <v>239</v>
      </c>
      <c r="H5" s="636" t="s">
        <v>445</v>
      </c>
      <c r="I5" s="630" t="s">
        <v>54</v>
      </c>
      <c r="J5" s="632" t="s">
        <v>174</v>
      </c>
      <c r="K5" s="630" t="s">
        <v>55</v>
      </c>
    </row>
    <row r="6" spans="2:14" ht="22.5" customHeight="1" thickBot="1">
      <c r="B6" s="639"/>
      <c r="C6" s="641"/>
      <c r="D6" s="641"/>
      <c r="E6" s="643"/>
      <c r="F6" s="648"/>
      <c r="G6" s="635"/>
      <c r="H6" s="637"/>
      <c r="I6" s="631"/>
      <c r="J6" s="633"/>
      <c r="K6" s="631"/>
    </row>
    <row r="7" spans="2:14" ht="13.5" customHeight="1">
      <c r="B7" s="66">
        <f t="shared" ref="B7:B8" si="0">B8-1</f>
        <v>2026</v>
      </c>
      <c r="C7" s="162">
        <v>0</v>
      </c>
      <c r="D7" s="162">
        <f>-_xlfn.XLOOKUP($B7,'Air Quality'!$B$5:$B$27,'Air Quality'!$M$5:$M$27,0,0,1)</f>
        <v>-5.0499498605024815</v>
      </c>
      <c r="E7" s="162">
        <f>-_xlfn.XLOOKUP($B7,'Air Quality'!$B$5:$B$27,'Air Quality'!$E$5:$E$27,0,0,1)</f>
        <v>-31.560721086538685</v>
      </c>
      <c r="F7" s="63">
        <v>0</v>
      </c>
      <c r="G7" s="63">
        <v>0</v>
      </c>
      <c r="H7" s="479">
        <f>_xlfn.XLOOKUP($B7,'Construction Disbenefits'!$B$4:$B$6,'Construction Disbenefits'!$G$4:$G$6,0,0,1)</f>
        <v>-1428495.3719345231</v>
      </c>
      <c r="I7" s="61">
        <v>0</v>
      </c>
      <c r="J7" s="62">
        <f>H7+D7</f>
        <v>-1428500.4218843835</v>
      </c>
      <c r="K7" s="64">
        <f>J7*((1+Assumptions!$D$13)^-(B7-Assumptions!$D$4))+I7+E7</f>
        <v>-1264318.675733319</v>
      </c>
    </row>
    <row r="8" spans="2:14" ht="13.5" customHeight="1">
      <c r="B8" s="66">
        <f t="shared" si="0"/>
        <v>2027</v>
      </c>
      <c r="C8" s="72">
        <v>0</v>
      </c>
      <c r="D8" s="162">
        <f>-_xlfn.XLOOKUP($B8,'Air Quality'!$B$5:$B$27,'Air Quality'!$M$5:$M$27,0,0,1)</f>
        <v>-5.1457981919434808</v>
      </c>
      <c r="E8" s="162">
        <f>-_xlfn.XLOOKUP($B8,'Air Quality'!$B$5:$B$27,'Air Quality'!$E$5:$E$27,0,0,1)</f>
        <v>-31.455441649182241</v>
      </c>
      <c r="F8" s="69">
        <v>0</v>
      </c>
      <c r="G8" s="69">
        <v>0</v>
      </c>
      <c r="H8" s="480">
        <f>_xlfn.XLOOKUP($B8,'Construction Disbenefits'!$B$4:$B$6,'Construction Disbenefits'!$G$4:$G$6,0,0,1)</f>
        <v>-1434966.2498047398</v>
      </c>
      <c r="I8" s="67">
        <v>0</v>
      </c>
      <c r="J8" s="62">
        <f>H8+D8</f>
        <v>-1434971.3956029317</v>
      </c>
      <c r="K8" s="70">
        <f>J8*((1+Assumptions!$D$13)^-(B8-Assumptions!$D$4))+I8+E8</f>
        <v>-1231859.0187411716</v>
      </c>
    </row>
    <row r="9" spans="2:14" ht="13.5" customHeight="1">
      <c r="B9" s="66">
        <f>B10-1</f>
        <v>2028</v>
      </c>
      <c r="C9" s="72">
        <v>0</v>
      </c>
      <c r="D9" s="162">
        <f>-_xlfn.XLOOKUP($B9,'Air Quality'!$B$5:$B$27,'Air Quality'!$M$5:$M$27,0,0,1)</f>
        <v>-5.231155758362565</v>
      </c>
      <c r="E9" s="162">
        <f>-_xlfn.XLOOKUP($B9,'Air Quality'!$B$5:$B$27,'Air Quality'!$E$5:$E$27,0,0,1)</f>
        <v>-31.468028860726527</v>
      </c>
      <c r="F9" s="69">
        <v>0</v>
      </c>
      <c r="G9" s="69">
        <v>0</v>
      </c>
      <c r="H9" s="480">
        <f>_xlfn.XLOOKUP($B9,'Construction Disbenefits'!$B$4:$B$6,'Construction Disbenefits'!$G$4:$G$6,0,0,1)</f>
        <v>-1457588.0941708409</v>
      </c>
      <c r="I9" s="67">
        <v>0</v>
      </c>
      <c r="J9" s="62">
        <f>H9+D9</f>
        <v>-1457593.3253265992</v>
      </c>
      <c r="K9" s="70">
        <f>J9*((1+Assumptions!$D$13)^-(B9-Assumptions!$D$4))+I9+E9</f>
        <v>-1213656.0910458837</v>
      </c>
    </row>
    <row r="10" spans="2:14" ht="13.5" customHeight="1">
      <c r="B10" s="60">
        <f>Assumptions!D8</f>
        <v>2029</v>
      </c>
      <c r="C10" s="162">
        <f>_xlfn.XLOOKUP($B10,Safety!$C$5:$C$24,Safety!$J$5:$J$24,0,0,1)</f>
        <v>1493932.5963093606</v>
      </c>
      <c r="D10" s="162">
        <f>-_xlfn.XLOOKUP($B10,'Air Quality'!$B$8:$B$27,'Air Quality'!$M$8:$M$27,0,0,1)</f>
        <v>-82.618675396486168</v>
      </c>
      <c r="E10" s="162">
        <f>-_xlfn.XLOOKUP($B10,'Air Quality'!$B$8:$B$27,'Air Quality'!$E$8:$E$27,0,0,1)</f>
        <v>-484.06783589996184</v>
      </c>
      <c r="F10" s="63">
        <f>_xlfn.XLOOKUP($B10,'Travel Time'!$B$7:$B$26,'Travel Time'!$F$7:$F$26,0,0,1)</f>
        <v>-39678.356372230672</v>
      </c>
      <c r="G10" s="69">
        <f>_xlfn.XLOOKUP($B10,'Ops and Main'!$B$5:$B$24,'Ops and Main'!$K$5:$K$24,0,0,1)</f>
        <v>0</v>
      </c>
      <c r="H10" s="479"/>
      <c r="I10" s="61">
        <f>_xlfn.XLOOKUP($B10,'Capital Costs'!$C$8:$C$34,'Capital Costs'!$G$8:$G$34,0,0,1)</f>
        <v>0</v>
      </c>
      <c r="J10" s="62">
        <f>C10+D10+F10+G10</f>
        <v>1454171.6212617334</v>
      </c>
      <c r="K10" s="64">
        <f>J10*((1+Assumptions!$D$13)^-(B10-Assumptions!$D$4))+I10+E10</f>
        <v>1173886.0932754104</v>
      </c>
      <c r="L10" s="65"/>
    </row>
    <row r="11" spans="2:14" ht="15" customHeight="1">
      <c r="B11" s="66">
        <f>B10+1</f>
        <v>2030</v>
      </c>
      <c r="C11" s="72">
        <f>_xlfn.XLOOKUP($B11,Safety!$C$5:$C$24,Safety!$J$5:$J$24,0,0,1)</f>
        <v>1528559.6878353164</v>
      </c>
      <c r="D11" s="72">
        <f>-_xlfn.XLOOKUP($B11,'Air Quality'!$B$8:$B$27,'Air Quality'!$M$8:$M$27,0,0,1)</f>
        <v>-86.54398945085677</v>
      </c>
      <c r="E11" s="72">
        <f>-_xlfn.XLOOKUP($B11,'Air Quality'!$B$8:$B$27,'Air Quality'!$E$8:$E$27,0,0,1)</f>
        <v>-496.84115478396109</v>
      </c>
      <c r="F11" s="69">
        <f>_xlfn.XLOOKUP($B11,'Travel Time'!$B$7:$B$26,'Travel Time'!$F$7:$F$26,0,0,1)</f>
        <v>-40893.33960045503</v>
      </c>
      <c r="G11" s="69">
        <f>_xlfn.XLOOKUP($B11,'Ops and Main'!$B$5:$B$24,'Ops and Main'!$K$5:$K$24,0,0,1)</f>
        <v>26000</v>
      </c>
      <c r="H11" s="480"/>
      <c r="I11" s="67">
        <f>_xlfn.XLOOKUP($B11,'Capital Costs'!$C$8:$C$34,'Capital Costs'!$G$8:$G$34,0,0,1)</f>
        <v>0</v>
      </c>
      <c r="J11" s="68">
        <f t="shared" ref="J11:J29" si="1">C11+D11+F11+G11</f>
        <v>1513579.8042454105</v>
      </c>
      <c r="K11" s="70">
        <f>J11*((1+Assumptions!$D$13)^-(B11-Assumptions!$D$4))+I11+E11</f>
        <v>1185097.1840611689</v>
      </c>
      <c r="L11" s="65"/>
      <c r="N11" s="22"/>
    </row>
    <row r="12" spans="2:14" ht="15" customHeight="1">
      <c r="B12" s="71">
        <f>B11+1</f>
        <v>2031</v>
      </c>
      <c r="C12" s="72">
        <f>_xlfn.XLOOKUP($B12,Safety!$C$5:$C$24,Safety!$J$5:$J$24,0,0,1)</f>
        <v>1563186.779361272</v>
      </c>
      <c r="D12" s="72">
        <f>-_xlfn.XLOOKUP($B12,'Air Quality'!$B$8:$B$27,'Air Quality'!$M$8:$M$27,0,0,1)</f>
        <v>930.05940662485534</v>
      </c>
      <c r="E12" s="72">
        <f>-_xlfn.XLOOKUP($B12,'Air Quality'!$B$8:$B$27,'Air Quality'!$E$8:$E$27,0,0,1)</f>
        <v>5336.5346932807843</v>
      </c>
      <c r="F12" s="69">
        <f>_xlfn.XLOOKUP($B12,'Travel Time'!$B$7:$B$26,'Travel Time'!$F$7:$F$26,0,0,1)</f>
        <v>439467.08956957358</v>
      </c>
      <c r="G12" s="69">
        <f>_xlfn.XLOOKUP($B12,'Ops and Main'!$B$5:$B$24,'Ops and Main'!$K$5:$K$24,0,0,1)</f>
        <v>0</v>
      </c>
      <c r="H12" s="480"/>
      <c r="I12" s="67">
        <f>_xlfn.XLOOKUP($B12,'Capital Costs'!$C$8:$C$34,'Capital Costs'!$G$8:$G$34,0,0,1)</f>
        <v>0</v>
      </c>
      <c r="J12" s="68">
        <f t="shared" si="1"/>
        <v>2003583.9283374704</v>
      </c>
      <c r="K12" s="70">
        <f>J12*((1+Assumptions!$D$13)^-(B12-Assumptions!$D$4))+I12+E12</f>
        <v>1527563.9937725426</v>
      </c>
      <c r="L12" s="65"/>
    </row>
    <row r="13" spans="2:14" ht="15" customHeight="1">
      <c r="B13" s="71">
        <f t="shared" ref="B13:B29" si="2">B12+1</f>
        <v>2032</v>
      </c>
      <c r="C13" s="72">
        <f>_xlfn.XLOOKUP($B13,Safety!$C$5:$C$24,Safety!$J$5:$J$24,0,0,1)</f>
        <v>1597813.8708872278</v>
      </c>
      <c r="D13" s="72">
        <f>-_xlfn.XLOOKUP($B13,'Air Quality'!$B$8:$B$27,'Air Quality'!$M$8:$M$27,0,0,1)</f>
        <v>1946.6628027002687</v>
      </c>
      <c r="E13" s="72">
        <f>-_xlfn.XLOOKUP($B13,'Air Quality'!$B$8:$B$27,'Air Quality'!$E$8:$E$27,0,0,1)</f>
        <v>11076.021466866132</v>
      </c>
      <c r="F13" s="69">
        <f>_xlfn.XLOOKUP($B13,'Travel Time'!$B$7:$B$26,'Travel Time'!$F$7:$F$26,0,0,1)</f>
        <v>919827.5187394612</v>
      </c>
      <c r="G13" s="69">
        <f>_xlfn.XLOOKUP($B13,'Ops and Main'!$B$5:$B$24,'Ops and Main'!$K$5:$K$24,0,0,1)</f>
        <v>0</v>
      </c>
      <c r="H13" s="480"/>
      <c r="I13" s="67">
        <f>_xlfn.XLOOKUP($B13,'Capital Costs'!$C$8:$C$34,'Capital Costs'!$G$8:$G$34,0,0,1)</f>
        <v>0</v>
      </c>
      <c r="J13" s="68">
        <f t="shared" si="1"/>
        <v>2519588.0524293892</v>
      </c>
      <c r="K13" s="70">
        <f>J13*((1+Assumptions!$D$13)^-(B13-Assumptions!$D$4))+I13+E13</f>
        <v>1867780.9382428937</v>
      </c>
      <c r="L13" s="65"/>
    </row>
    <row r="14" spans="2:14" ht="15" customHeight="1">
      <c r="B14" s="71">
        <f t="shared" si="2"/>
        <v>2033</v>
      </c>
      <c r="C14" s="72">
        <f>_xlfn.XLOOKUP($B14,Safety!$C$5:$C$24,Safety!$J$5:$J$24,0,0,1)</f>
        <v>1632440.9624131832</v>
      </c>
      <c r="D14" s="72">
        <f>-_xlfn.XLOOKUP($B14,'Air Quality'!$B$8:$B$27,'Air Quality'!$M$8:$M$27,0,0,1)</f>
        <v>2963.2661987765214</v>
      </c>
      <c r="E14" s="72">
        <f>-_xlfn.XLOOKUP($B14,'Air Quality'!$B$8:$B$27,'Air Quality'!$E$8:$E$27,0,0,1)</f>
        <v>16841.526153993236</v>
      </c>
      <c r="F14" s="69">
        <f>_xlfn.XLOOKUP($B14,'Travel Time'!$B$7:$B$26,'Travel Time'!$F$7:$F$26,0,0,1)</f>
        <v>1400187.9479097452</v>
      </c>
      <c r="G14" s="69">
        <f>_xlfn.XLOOKUP($B14,'Ops and Main'!$B$5:$B$24,'Ops and Main'!$K$5:$K$24,0,0,1)</f>
        <v>0</v>
      </c>
      <c r="H14" s="480"/>
      <c r="I14" s="67">
        <f>_xlfn.XLOOKUP($B14,'Capital Costs'!$C$8:$C$34,'Capital Costs'!$G$8:$G$34,0,0,1)</f>
        <v>0</v>
      </c>
      <c r="J14" s="68">
        <f t="shared" si="1"/>
        <v>3035592.1765217045</v>
      </c>
      <c r="K14" s="70">
        <f>J14*((1+Assumptions!$D$13)^-(B14-Assumptions!$D$4))+I14+E14</f>
        <v>2186533.6214549579</v>
      </c>
      <c r="L14" s="65"/>
    </row>
    <row r="15" spans="2:14" ht="15" customHeight="1">
      <c r="B15" s="71">
        <f t="shared" si="2"/>
        <v>2034</v>
      </c>
      <c r="C15" s="72">
        <f>_xlfn.XLOOKUP($B15,Safety!$C$5:$C$24,Safety!$J$5:$J$24,0,0,1)</f>
        <v>1667068.0539391388</v>
      </c>
      <c r="D15" s="72">
        <f>-_xlfn.XLOOKUP($B15,'Air Quality'!$B$8:$B$27,'Air Quality'!$M$8:$M$27,0,0,1)</f>
        <v>3979.8695948522259</v>
      </c>
      <c r="E15" s="72">
        <f>-_xlfn.XLOOKUP($B15,'Air Quality'!$B$8:$B$27,'Air Quality'!$E$8:$E$27,0,0,1)</f>
        <v>22504.338203061288</v>
      </c>
      <c r="F15" s="69">
        <f>_xlfn.XLOOKUP($B15,'Travel Time'!$B$7:$B$26,'Travel Time'!$F$7:$F$26,0,0,1)</f>
        <v>1880548.3770797702</v>
      </c>
      <c r="G15" s="69">
        <f>_xlfn.XLOOKUP($B15,'Ops and Main'!$B$5:$B$24,'Ops and Main'!$K$5:$K$24,0,0,1)</f>
        <v>0</v>
      </c>
      <c r="H15" s="480"/>
      <c r="I15" s="67">
        <f>_xlfn.XLOOKUP($B15,'Capital Costs'!$C$8:$C$34,'Capital Costs'!$G$8:$G$34,0,0,1)</f>
        <v>0</v>
      </c>
      <c r="J15" s="68">
        <f t="shared" si="1"/>
        <v>3551596.3006137609</v>
      </c>
      <c r="K15" s="70">
        <f>J15*((1+Assumptions!$D$13)^-(B15-Assumptions!$D$4))+I15+E15</f>
        <v>2484683.2739630467</v>
      </c>
      <c r="L15" s="65"/>
    </row>
    <row r="16" spans="2:14" ht="15" customHeight="1">
      <c r="B16" s="71">
        <f t="shared" si="2"/>
        <v>2035</v>
      </c>
      <c r="C16" s="72">
        <f>_xlfn.XLOOKUP($B16,Safety!$C$5:$C$24,Safety!$J$5:$J$24,0,0,1)</f>
        <v>1701695.1454650944</v>
      </c>
      <c r="D16" s="72">
        <f>-_xlfn.XLOOKUP($B16,'Air Quality'!$B$8:$B$27,'Air Quality'!$M$8:$M$27,0,0,1)</f>
        <v>4996.4729909276393</v>
      </c>
      <c r="E16" s="72">
        <f>-_xlfn.XLOOKUP($B16,'Air Quality'!$B$8:$B$27,'Air Quality'!$E$8:$E$27,0,0,1)</f>
        <v>28103.150506277056</v>
      </c>
      <c r="F16" s="69">
        <f>_xlfn.XLOOKUP($B16,'Travel Time'!$B$7:$B$26,'Travel Time'!$F$7:$F$26,0,0,1)</f>
        <v>2360908.8062496576</v>
      </c>
      <c r="G16" s="69">
        <f>_xlfn.XLOOKUP($B16,'Ops and Main'!$B$5:$B$24,'Ops and Main'!$K$5:$K$24,0,0,1)</f>
        <v>12642000</v>
      </c>
      <c r="H16" s="480"/>
      <c r="I16" s="67">
        <f>_xlfn.XLOOKUP($B16,'Capital Costs'!$C$8:$C$34,'Capital Costs'!$G$8:$G$34,0,0,1)</f>
        <v>0</v>
      </c>
      <c r="J16" s="68">
        <f t="shared" si="1"/>
        <v>16709600.42470568</v>
      </c>
      <c r="K16" s="70">
        <f>J16*((1+Assumptions!$D$13)^-(B16-Assumptions!$D$4))+I16+E16</f>
        <v>11263888.042504298</v>
      </c>
      <c r="L16" s="65"/>
    </row>
    <row r="17" spans="2:13" ht="15" customHeight="1">
      <c r="B17" s="71">
        <f t="shared" si="2"/>
        <v>2036</v>
      </c>
      <c r="C17" s="72">
        <f>_xlfn.XLOOKUP($B17,Safety!$C$5:$C$24,Safety!$J$5:$J$24,0,0,1)</f>
        <v>1736322.2369910502</v>
      </c>
      <c r="D17" s="72">
        <f>-_xlfn.XLOOKUP($B17,'Air Quality'!$B$8:$B$27,'Air Quality'!$M$8:$M$27,0,0,1)</f>
        <v>6013.0763870033352</v>
      </c>
      <c r="E17" s="72">
        <f>-_xlfn.XLOOKUP($B17,'Air Quality'!$B$8:$B$27,'Air Quality'!$E$8:$E$27,0,0,1)</f>
        <v>33635.069291619511</v>
      </c>
      <c r="F17" s="69">
        <f>_xlfn.XLOOKUP($B17,'Travel Time'!$B$7:$B$26,'Travel Time'!$F$7:$F$26,0,0,1)</f>
        <v>2841269.2354196785</v>
      </c>
      <c r="G17" s="69">
        <f>_xlfn.XLOOKUP($B17,'Ops and Main'!$B$5:$B$24,'Ops and Main'!$K$5:$K$24,0,0,1)</f>
        <v>0</v>
      </c>
      <c r="H17" s="480"/>
      <c r="I17" s="67">
        <f>_xlfn.XLOOKUP($B17,'Capital Costs'!$C$8:$C$34,'Capital Costs'!$G$8:$G$34,0,0,1)</f>
        <v>0</v>
      </c>
      <c r="J17" s="68">
        <f t="shared" si="1"/>
        <v>4583604.5487977322</v>
      </c>
      <c r="K17" s="70">
        <f>J17*((1+Assumptions!$D$13)^-(B17-Assumptions!$D$4))+I17+E17</f>
        <v>3023047.4428019184</v>
      </c>
      <c r="L17" s="65"/>
      <c r="M17" s="73"/>
    </row>
    <row r="18" spans="2:13" ht="15" customHeight="1">
      <c r="B18" s="71">
        <f t="shared" si="2"/>
        <v>2037</v>
      </c>
      <c r="C18" s="72">
        <f>_xlfn.XLOOKUP($B18,Safety!$C$5:$C$24,Safety!$J$5:$J$24,0,0,1)</f>
        <v>1770949.3285170062</v>
      </c>
      <c r="D18" s="72">
        <f>-_xlfn.XLOOKUP($B18,'Air Quality'!$B$8:$B$27,'Air Quality'!$M$8:$M$27,0,0,1)</f>
        <v>7029.6797830793221</v>
      </c>
      <c r="E18" s="72">
        <f>-_xlfn.XLOOKUP($B18,'Air Quality'!$B$8:$B$27,'Air Quality'!$E$8:$E$27,0,0,1)</f>
        <v>39234.106340139078</v>
      </c>
      <c r="F18" s="69">
        <f>_xlfn.XLOOKUP($B18,'Travel Time'!$B$7:$B$26,'Travel Time'!$F$7:$F$26,0,0,1)</f>
        <v>3321629.6645898367</v>
      </c>
      <c r="G18" s="69">
        <f>_xlfn.XLOOKUP($B18,'Ops and Main'!$B$5:$B$24,'Ops and Main'!$K$5:$K$24,0,0,1)</f>
        <v>0</v>
      </c>
      <c r="H18" s="480"/>
      <c r="I18" s="67">
        <f>_xlfn.XLOOKUP($B18,'Capital Costs'!$C$8:$C$34,'Capital Costs'!$G$8:$G$34,0,0,1)</f>
        <v>0</v>
      </c>
      <c r="J18" s="68">
        <f t="shared" si="1"/>
        <v>5099608.6728899218</v>
      </c>
      <c r="K18" s="70">
        <f>J18*((1+Assumptions!$D$13)^-(B18-Assumptions!$D$4))+I18+E18</f>
        <v>3265178.4607559</v>
      </c>
      <c r="L18" s="65"/>
      <c r="M18" s="73"/>
    </row>
    <row r="19" spans="2:13" ht="15" customHeight="1">
      <c r="B19" s="71">
        <f t="shared" si="2"/>
        <v>2038</v>
      </c>
      <c r="C19" s="72">
        <f>_xlfn.XLOOKUP($B19,Safety!$C$5:$C$24,Safety!$J$5:$J$24,0,0,1)</f>
        <v>1805576.4200429623</v>
      </c>
      <c r="D19" s="72">
        <f>-_xlfn.XLOOKUP($B19,'Air Quality'!$B$8:$B$27,'Air Quality'!$M$8:$M$27,0,0,1)</f>
        <v>8046.2831791550179</v>
      </c>
      <c r="E19" s="72">
        <f>-_xlfn.XLOOKUP($B19,'Air Quality'!$B$8:$B$27,'Air Quality'!$E$8:$E$27,0,0,1)</f>
        <v>44487.649945624042</v>
      </c>
      <c r="F19" s="69">
        <f>_xlfn.XLOOKUP($B19,'Travel Time'!$B$7:$B$26,'Travel Time'!$F$7:$F$26,0,0,1)</f>
        <v>3801990.093759858</v>
      </c>
      <c r="G19" s="69">
        <f>_xlfn.XLOOKUP($B19,'Ops and Main'!$B$5:$B$24,'Ops and Main'!$K$5:$K$24,0,0,1)</f>
        <v>0</v>
      </c>
      <c r="H19" s="480"/>
      <c r="I19" s="67">
        <f>_xlfn.XLOOKUP($B19,'Capital Costs'!$C$8:$C$34,'Capital Costs'!$G$8:$G$34,0,0,1)</f>
        <v>0</v>
      </c>
      <c r="J19" s="68">
        <f t="shared" si="1"/>
        <v>5615612.7969819754</v>
      </c>
      <c r="K19" s="70">
        <f>J19*((1+Assumptions!$D$13)^-(B19-Assumptions!$D$4))+I19+E19</f>
        <v>3490037.2846875489</v>
      </c>
      <c r="L19" s="65"/>
      <c r="M19" s="73"/>
    </row>
    <row r="20" spans="2:13" ht="15" customHeight="1">
      <c r="B20" s="71">
        <f t="shared" si="2"/>
        <v>2039</v>
      </c>
      <c r="C20" s="72">
        <f>_xlfn.XLOOKUP($B20,Safety!$C$5:$C$24,Safety!$J$5:$J$24,0,0,1)</f>
        <v>1840203.511568906</v>
      </c>
      <c r="D20" s="72">
        <f>-_xlfn.XLOOKUP($B20,'Air Quality'!$B$8:$B$27,'Air Quality'!$M$8:$M$27,0,0,1)</f>
        <v>9062.8865752307138</v>
      </c>
      <c r="E20" s="72">
        <f>-_xlfn.XLOOKUP($B20,'Air Quality'!$B$8:$B$27,'Air Quality'!$E$8:$E$27,0,0,1)</f>
        <v>49803.499184986482</v>
      </c>
      <c r="F20" s="69">
        <f>_xlfn.XLOOKUP($B20,'Travel Time'!$B$7:$B$26,'Travel Time'!$F$7:$F$26,0,0,1)</f>
        <v>4282350.5229298789</v>
      </c>
      <c r="G20" s="69">
        <f>_xlfn.XLOOKUP($B20,'Ops and Main'!$B$5:$B$24,'Ops and Main'!$K$5:$K$24,0,0,1)</f>
        <v>0</v>
      </c>
      <c r="H20" s="480"/>
      <c r="I20" s="67">
        <f>_xlfn.XLOOKUP($B20,'Capital Costs'!$C$8:$C$34,'Capital Costs'!$G$8:$G$34,0,0,1)</f>
        <v>0</v>
      </c>
      <c r="J20" s="68">
        <f t="shared" si="1"/>
        <v>6131616.921074016</v>
      </c>
      <c r="K20" s="70">
        <f>J20*((1+Assumptions!$D$13)^-(B20-Assumptions!$D$4))+I20+E20</f>
        <v>3698835.7707566433</v>
      </c>
      <c r="L20" s="65"/>
      <c r="M20" s="73"/>
    </row>
    <row r="21" spans="2:13" ht="15" customHeight="1">
      <c r="B21" s="71">
        <f t="shared" si="2"/>
        <v>2040</v>
      </c>
      <c r="C21" s="72">
        <f>_xlfn.XLOOKUP($B21,Safety!$C$5:$C$24,Safety!$J$5:$J$24,0,0,1)</f>
        <v>1874830.6030948614</v>
      </c>
      <c r="D21" s="72">
        <f>-_xlfn.XLOOKUP($B21,'Air Quality'!$B$8:$B$27,'Air Quality'!$M$8:$M$27,0,0,1)</f>
        <v>10079.489971306135</v>
      </c>
      <c r="E21" s="72">
        <f>-_xlfn.XLOOKUP($B21,'Air Quality'!$B$8:$B$27,'Air Quality'!$E$8:$E$27,0,0,1)</f>
        <v>55227.521807837446</v>
      </c>
      <c r="F21" s="69">
        <f>_xlfn.XLOOKUP($B21,'Travel Time'!$B$7:$B$26,'Travel Time'!$F$7:$F$26,0,0,1)</f>
        <v>4762710.9520997703</v>
      </c>
      <c r="G21" s="69">
        <f>_xlfn.XLOOKUP($B21,'Ops and Main'!$B$5:$B$24,'Ops and Main'!$K$5:$K$24,0,0,1)</f>
        <v>0</v>
      </c>
      <c r="H21" s="480"/>
      <c r="I21" s="67">
        <f>_xlfn.XLOOKUP($B21,'Capital Costs'!$C$8:$C$34,'Capital Costs'!$G$8:$G$34,0,0,1)</f>
        <v>0</v>
      </c>
      <c r="J21" s="68">
        <f t="shared" si="1"/>
        <v>6647621.0451659374</v>
      </c>
      <c r="K21" s="70">
        <f>J21*((1+Assumptions!$D$13)^-(B21-Assumptions!$D$4))+I21+E21</f>
        <v>3892390.7942503435</v>
      </c>
      <c r="L21" s="65"/>
      <c r="M21" s="73"/>
    </row>
    <row r="22" spans="2:13" ht="15" customHeight="1">
      <c r="B22" s="71">
        <f t="shared" si="2"/>
        <v>2041</v>
      </c>
      <c r="C22" s="72">
        <f>_xlfn.XLOOKUP($B22,Safety!$C$5:$C$24,Safety!$J$5:$J$24,0,0,1)</f>
        <v>1909457.694620817</v>
      </c>
      <c r="D22" s="72">
        <f>-_xlfn.XLOOKUP($B22,'Air Quality'!$B$8:$B$27,'Air Quality'!$M$8:$M$27,0,0,1)</f>
        <v>11096.093367381831</v>
      </c>
      <c r="E22" s="72">
        <f>-_xlfn.XLOOKUP($B22,'Air Quality'!$B$8:$B$27,'Air Quality'!$E$8:$E$27,0,0,1)</f>
        <v>60402.980607908627</v>
      </c>
      <c r="F22" s="69">
        <f>_xlfn.XLOOKUP($B22,'Travel Time'!$B$7:$B$26,'Travel Time'!$F$7:$F$26,0,0,1)</f>
        <v>5243071.3812697912</v>
      </c>
      <c r="G22" s="69">
        <f>_xlfn.XLOOKUP($B22,'Ops and Main'!$B$5:$B$24,'Ops and Main'!$K$5:$K$24,0,0,1)</f>
        <v>-26000</v>
      </c>
      <c r="H22" s="480"/>
      <c r="I22" s="67">
        <f>_xlfn.XLOOKUP($B22,'Capital Costs'!$C$8:$C$34,'Capital Costs'!$G$8:$G$34,0,0,1)</f>
        <v>0</v>
      </c>
      <c r="J22" s="68">
        <f t="shared" si="1"/>
        <v>7137625.1692579901</v>
      </c>
      <c r="K22" s="70">
        <f>J22*((1+Assumptions!$D$13)^-(B22-Assumptions!$D$4))+I22+E22</f>
        <v>4056528.2780680447</v>
      </c>
      <c r="L22" s="65"/>
      <c r="M22" s="73"/>
    </row>
    <row r="23" spans="2:13" ht="15" customHeight="1">
      <c r="B23" s="71">
        <f t="shared" si="2"/>
        <v>2042</v>
      </c>
      <c r="C23" s="72">
        <f>_xlfn.XLOOKUP($B23,Safety!$C$5:$C$24,Safety!$J$5:$J$24,0,0,1)</f>
        <v>1944084.7861467728</v>
      </c>
      <c r="D23" s="72">
        <f>-_xlfn.XLOOKUP($B23,'Air Quality'!$B$8:$B$27,'Air Quality'!$M$8:$M$27,0,0,1)</f>
        <v>12112.69676345781</v>
      </c>
      <c r="E23" s="72">
        <f>-_xlfn.XLOOKUP($B23,'Air Quality'!$B$8:$B$27,'Air Quality'!$E$8:$E$27,0,0,1)</f>
        <v>65710.841425574181</v>
      </c>
      <c r="F23" s="69">
        <f>_xlfn.XLOOKUP($B23,'Travel Time'!$B$7:$B$26,'Travel Time'!$F$7:$F$26,0,0,1)</f>
        <v>5723431.8104399461</v>
      </c>
      <c r="G23" s="69">
        <f>_xlfn.XLOOKUP($B23,'Ops and Main'!$B$5:$B$24,'Ops and Main'!$K$5:$K$24,0,0,1)</f>
        <v>0</v>
      </c>
      <c r="H23" s="480"/>
      <c r="I23" s="67">
        <f>_xlfn.XLOOKUP($B23,'Capital Costs'!$C$8:$C$34,'Capital Costs'!$G$8:$G$34,0,0,1)</f>
        <v>0</v>
      </c>
      <c r="J23" s="68">
        <f t="shared" si="1"/>
        <v>7679629.2933501769</v>
      </c>
      <c r="K23" s="70">
        <f>J23*((1+Assumptions!$D$13)^-(B23-Assumptions!$D$4))+I23+E23</f>
        <v>4236007.5074142041</v>
      </c>
      <c r="L23" s="65"/>
      <c r="M23" s="73"/>
    </row>
    <row r="24" spans="2:13" ht="15" customHeight="1">
      <c r="B24" s="71">
        <f t="shared" si="2"/>
        <v>2043</v>
      </c>
      <c r="C24" s="72">
        <f>_xlfn.XLOOKUP($B24,Safety!$C$5:$C$24,Safety!$J$5:$J$24,0,0,1)</f>
        <v>1978711.8776727286</v>
      </c>
      <c r="D24" s="72">
        <f>-_xlfn.XLOOKUP($B24,'Air Quality'!$B$8:$B$27,'Air Quality'!$M$8:$M$27,0,0,1)</f>
        <v>13129.300159533514</v>
      </c>
      <c r="E24" s="72">
        <f>-_xlfn.XLOOKUP($B24,'Air Quality'!$B$8:$B$27,'Air Quality'!$E$8:$E$27,0,0,1)</f>
        <v>70736.157790671481</v>
      </c>
      <c r="F24" s="69">
        <f>_xlfn.XLOOKUP($B24,'Travel Time'!$B$7:$B$26,'Travel Time'!$F$7:$F$26,0,0,1)</f>
        <v>6203792.2396099707</v>
      </c>
      <c r="G24" s="69">
        <f>_xlfn.XLOOKUP($B24,'Ops and Main'!$B$5:$B$24,'Ops and Main'!$K$5:$K$24,0,0,1)</f>
        <v>0</v>
      </c>
      <c r="H24" s="480"/>
      <c r="I24" s="67">
        <f>_xlfn.XLOOKUP($B24,'Capital Costs'!$C$8:$C$34,'Capital Costs'!$G$8:$G$34,0,0,1)</f>
        <v>0</v>
      </c>
      <c r="J24" s="68">
        <f t="shared" si="1"/>
        <v>8195633.4174422324</v>
      </c>
      <c r="K24" s="70">
        <f>J24*((1+Assumptions!$D$13)^-(B24-Assumptions!$D$4))+I24+E24</f>
        <v>4387423.1005773619</v>
      </c>
      <c r="L24" s="65"/>
      <c r="M24" s="73"/>
    </row>
    <row r="25" spans="2:13" ht="15" customHeight="1">
      <c r="B25" s="71">
        <f t="shared" si="2"/>
        <v>2044</v>
      </c>
      <c r="C25" s="72">
        <f>_xlfn.XLOOKUP($B25,Safety!$C$5:$C$24,Safety!$J$5:$J$24,0,0,1)</f>
        <v>2013338.9691986844</v>
      </c>
      <c r="D25" s="72">
        <f>-_xlfn.XLOOKUP($B25,'Air Quality'!$B$8:$B$27,'Air Quality'!$M$8:$M$27,0,0,1)</f>
        <v>14145.903555609219</v>
      </c>
      <c r="E25" s="72">
        <f>-_xlfn.XLOOKUP($B25,'Air Quality'!$B$8:$B$27,'Air Quality'!$E$8:$E$27,0,0,1)</f>
        <v>75916.307875001512</v>
      </c>
      <c r="F25" s="69">
        <f>_xlfn.XLOOKUP($B25,'Travel Time'!$B$7:$B$26,'Travel Time'!$F$7:$F$26,0,0,1)</f>
        <v>6684152.6687799953</v>
      </c>
      <c r="G25" s="69">
        <f>_xlfn.XLOOKUP($B25,'Ops and Main'!$B$5:$B$24,'Ops and Main'!$K$5:$K$24,0,0,1)</f>
        <v>0</v>
      </c>
      <c r="H25" s="480"/>
      <c r="I25" s="67">
        <f>_xlfn.XLOOKUP($B25,'Capital Costs'!$C$8:$C$34,'Capital Costs'!$G$8:$G$34,0,0,1)</f>
        <v>0</v>
      </c>
      <c r="J25" s="68">
        <f t="shared" si="1"/>
        <v>8711637.5415342897</v>
      </c>
      <c r="K25" s="70">
        <f>J25*((1+Assumptions!$D$13)^-(B25-Assumptions!$D$4))+I25+E25</f>
        <v>4526419.9576208796</v>
      </c>
      <c r="L25" s="65"/>
      <c r="M25" s="73"/>
    </row>
    <row r="26" spans="2:13" ht="15" customHeight="1">
      <c r="B26" s="71">
        <f t="shared" si="2"/>
        <v>2045</v>
      </c>
      <c r="C26" s="72">
        <f>_xlfn.XLOOKUP($B26,Safety!$C$5:$C$24,Safety!$J$5:$J$24,0,0,1)</f>
        <v>2047966.06072464</v>
      </c>
      <c r="D26" s="72">
        <f>-_xlfn.XLOOKUP($B26,'Air Quality'!$B$8:$B$27,'Air Quality'!$M$8:$M$27,0,0,1)</f>
        <v>15162.506951684623</v>
      </c>
      <c r="E26" s="72">
        <f>-_xlfn.XLOOKUP($B26,'Air Quality'!$B$8:$B$27,'Air Quality'!$E$8:$E$27,0,0,1)</f>
        <v>80783.189669394269</v>
      </c>
      <c r="F26" s="69">
        <f>_xlfn.XLOOKUP($B26,'Travel Time'!$B$7:$B$26,'Travel Time'!$F$7:$F$26,0,0,1)</f>
        <v>7164513.0979498792</v>
      </c>
      <c r="G26" s="69">
        <f>_xlfn.XLOOKUP($B26,'Ops and Main'!$B$5:$B$24,'Ops and Main'!$K$5:$K$24,0,0,1)</f>
        <v>26000</v>
      </c>
      <c r="H26" s="480"/>
      <c r="I26" s="67">
        <f>_xlfn.XLOOKUP($B26,'Capital Costs'!$C$8:$C$34,'Capital Costs'!$G$8:$G$34,0,0,1)</f>
        <v>0</v>
      </c>
      <c r="J26" s="68">
        <f t="shared" si="1"/>
        <v>9253641.6656262036</v>
      </c>
      <c r="K26" s="70">
        <f>J26*((1+Assumptions!$D$13)^-(B26-Assumptions!$D$4))+I26+E26</f>
        <v>4666036.9586484628</v>
      </c>
      <c r="L26" s="65"/>
      <c r="M26" s="73"/>
    </row>
    <row r="27" spans="2:13" ht="15" customHeight="1">
      <c r="B27" s="71">
        <f t="shared" si="2"/>
        <v>2046</v>
      </c>
      <c r="C27" s="72">
        <f>_xlfn.XLOOKUP($B27,Safety!$C$5:$C$24,Safety!$J$5:$J$24,0,0,1)</f>
        <v>2082593.1522505959</v>
      </c>
      <c r="D27" s="72">
        <f>-_xlfn.XLOOKUP($B27,'Air Quality'!$B$8:$B$27,'Air Quality'!$M$8:$M$27,0,0,1)</f>
        <v>16179.110347760899</v>
      </c>
      <c r="E27" s="72">
        <f>-_xlfn.XLOOKUP($B27,'Air Quality'!$B$8:$B$27,'Air Quality'!$E$8:$E$27,0,0,1)</f>
        <v>85825.633349223965</v>
      </c>
      <c r="F27" s="69">
        <f>_xlfn.XLOOKUP($B27,'Travel Time'!$B$7:$B$26,'Travel Time'!$F$7:$F$26,0,0,1)</f>
        <v>7644873.5271201748</v>
      </c>
      <c r="G27" s="69">
        <f>_xlfn.XLOOKUP($B27,'Ops and Main'!$B$5:$B$24,'Ops and Main'!$K$5:$K$24,0,0,1)</f>
        <v>0</v>
      </c>
      <c r="H27" s="480"/>
      <c r="I27" s="67">
        <f>_xlfn.XLOOKUP($B27,'Capital Costs'!$C$8:$C$34,'Capital Costs'!$G$8:$G$34,0,0,1)</f>
        <v>0</v>
      </c>
      <c r="J27" s="68">
        <f t="shared" si="1"/>
        <v>9743645.7897185311</v>
      </c>
      <c r="K27" s="70">
        <f>J27*((1+Assumptions!$D$13)^-(B27-Assumptions!$D$4))+I27+E27</f>
        <v>4768710.9370309152</v>
      </c>
      <c r="L27" s="65"/>
      <c r="M27" s="73"/>
    </row>
    <row r="28" spans="2:13" ht="15" customHeight="1">
      <c r="B28" s="71">
        <f t="shared" si="2"/>
        <v>2047</v>
      </c>
      <c r="C28" s="72">
        <f>_xlfn.XLOOKUP($B28,Safety!$C$5:$C$24,Safety!$J$5:$J$24,0,0,1)</f>
        <v>2117220.2437765514</v>
      </c>
      <c r="D28" s="72">
        <f>-_xlfn.XLOOKUP($B28,'Air Quality'!$B$8:$B$27,'Air Quality'!$M$8:$M$27,0,0,1)</f>
        <v>17195.713743836306</v>
      </c>
      <c r="E28" s="72">
        <f>-_xlfn.XLOOKUP($B28,'Air Quality'!$B$8:$B$27,'Air Quality'!$E$8:$E$27,0,0,1)</f>
        <v>90801.455204998987</v>
      </c>
      <c r="F28" s="69">
        <f>_xlfn.XLOOKUP($B28,'Travel Time'!$B$7:$B$26,'Travel Time'!$F$7:$F$26,0,0,1)</f>
        <v>8125233.9562900588</v>
      </c>
      <c r="G28" s="69">
        <f>_xlfn.XLOOKUP($B28,'Ops and Main'!$B$5:$B$24,'Ops and Main'!$K$5:$K$24,0,0,1)</f>
        <v>0</v>
      </c>
      <c r="H28" s="480"/>
      <c r="I28" s="67">
        <f>_xlfn.XLOOKUP($B28,'Capital Costs'!$C$8:$C$34,'Capital Costs'!$G$8:$G$34,0,0,1)</f>
        <v>0</v>
      </c>
      <c r="J28" s="68">
        <f t="shared" si="1"/>
        <v>10259649.913810447</v>
      </c>
      <c r="K28" s="70">
        <f>J28*((1+Assumptions!$D$13)^-(B28-Assumptions!$D$4))+I28+E28</f>
        <v>4873421.8298376622</v>
      </c>
      <c r="L28" s="65"/>
      <c r="M28" s="73"/>
    </row>
    <row r="29" spans="2:13" ht="15" customHeight="1" thickBot="1">
      <c r="B29" s="74">
        <f t="shared" si="2"/>
        <v>2048</v>
      </c>
      <c r="C29" s="75">
        <f>_xlfn.XLOOKUP($B29,Safety!$C$5:$C$24,Safety!$J$5:$J$24,0,0,1)</f>
        <v>2151847.335302507</v>
      </c>
      <c r="D29" s="75">
        <f>-_xlfn.XLOOKUP($B29,'Air Quality'!$B$8:$B$27,'Air Quality'!$M$8:$M$27,0,0,1)</f>
        <v>18212.317139912011</v>
      </c>
      <c r="E29" s="75">
        <f>-_xlfn.XLOOKUP($B29,'Air Quality'!$B$8:$B$27,'Air Quality'!$E$8:$E$27,0,0,1)</f>
        <v>95708.149209785479</v>
      </c>
      <c r="F29" s="76">
        <f>_xlfn.XLOOKUP($B29,'Travel Time'!$B$7:$B$26,'Travel Time'!$F$7:$F$26,0,0,1)</f>
        <v>8605594.3854600824</v>
      </c>
      <c r="G29" s="76">
        <f>_xlfn.XLOOKUP($B29,'Ops and Main'!$B$5:$B$24,'Ops and Main'!$K$5:$K$24,0,0,1)</f>
        <v>0</v>
      </c>
      <c r="H29" s="481"/>
      <c r="I29" s="77">
        <f>'Capital Costs'!$G$34</f>
        <v>2924961.9542023251</v>
      </c>
      <c r="J29" s="78">
        <f t="shared" si="1"/>
        <v>10775654.0379025</v>
      </c>
      <c r="K29" s="79">
        <f>J29*((1+Assumptions!$D$13)^-(B29-Assumptions!$D$4))+I29+E29</f>
        <v>7892794.2065644627</v>
      </c>
      <c r="L29" s="65"/>
      <c r="M29" s="73"/>
    </row>
    <row r="30" spans="2:13">
      <c r="B30" s="20"/>
      <c r="C30" s="80"/>
      <c r="D30" s="80"/>
      <c r="E30" s="80"/>
      <c r="F30" s="80"/>
      <c r="G30" s="80"/>
      <c r="H30" s="254"/>
      <c r="I30" s="254"/>
      <c r="J30" s="21" t="s">
        <v>51</v>
      </c>
      <c r="K30" s="22">
        <f>SUM(K7:K29)</f>
        <v>74756431.89076829</v>
      </c>
    </row>
    <row r="31" spans="2:13">
      <c r="B31" s="20"/>
      <c r="C31" s="81"/>
      <c r="D31" s="81"/>
      <c r="E31" s="81"/>
      <c r="F31" s="81"/>
      <c r="G31" s="81"/>
      <c r="H31" s="19"/>
      <c r="I31" s="19"/>
      <c r="J31" s="255"/>
      <c r="K31" s="22">
        <f>SUM(Safety!K25,-'Air Quality'!O28,'Travel Time'!G27,'Capital Costs'!G35,'Ops and Main'!L25,'Construction Disbenefits'!H7)</f>
        <v>74756431.89076829</v>
      </c>
    </row>
    <row r="32" spans="2:13">
      <c r="B32" s="20"/>
      <c r="C32" s="82"/>
      <c r="D32" s="82"/>
      <c r="E32" s="82"/>
      <c r="F32" s="82"/>
      <c r="G32" s="82"/>
      <c r="H32" s="19"/>
      <c r="I32" s="19"/>
      <c r="J32" s="81"/>
      <c r="K32" s="254">
        <f>K30-K31</f>
        <v>0</v>
      </c>
    </row>
    <row r="33" spans="2:22">
      <c r="B33" s="20"/>
      <c r="C33" s="20"/>
      <c r="D33" s="20"/>
      <c r="E33" s="20"/>
      <c r="F33" s="20"/>
      <c r="G33" s="20"/>
      <c r="H33" s="20"/>
      <c r="I33" s="20"/>
      <c r="J33" s="20"/>
      <c r="K33" s="82"/>
      <c r="L33" s="20"/>
      <c r="M33" s="20"/>
      <c r="N33" s="20"/>
      <c r="O33" s="20"/>
      <c r="P33" s="82"/>
      <c r="Q33" s="82"/>
      <c r="R33" s="83"/>
      <c r="T33" s="81"/>
    </row>
    <row r="34" spans="2:22" ht="15.75">
      <c r="B34" s="58" t="s">
        <v>56</v>
      </c>
      <c r="C34" s="84"/>
      <c r="D34" s="84"/>
      <c r="E34" s="84"/>
      <c r="F34" s="84"/>
      <c r="G34" s="58"/>
      <c r="H34" s="84"/>
      <c r="I34" s="84"/>
      <c r="J34" s="84"/>
      <c r="K34" s="84"/>
      <c r="L34" s="22"/>
      <c r="M34" s="22"/>
      <c r="N34" s="22"/>
      <c r="V34" s="73"/>
    </row>
    <row r="35" spans="2:22" ht="15.75" customHeight="1" thickBot="1">
      <c r="D35" s="85"/>
      <c r="E35" s="86"/>
      <c r="F35" s="86"/>
      <c r="H35" s="86"/>
      <c r="I35" s="86"/>
      <c r="R35" s="73"/>
    </row>
    <row r="36" spans="2:22">
      <c r="B36" s="626" t="s">
        <v>8</v>
      </c>
      <c r="C36" s="626" t="s">
        <v>57</v>
      </c>
      <c r="D36" s="628" t="s">
        <v>49</v>
      </c>
      <c r="E36" s="87"/>
      <c r="R36" s="73"/>
    </row>
    <row r="37" spans="2:22" ht="15.75" customHeight="1" thickBot="1">
      <c r="B37" s="627"/>
      <c r="C37" s="627"/>
      <c r="D37" s="629"/>
      <c r="E37" s="87"/>
      <c r="R37" s="73"/>
    </row>
    <row r="38" spans="2:22" ht="15" customHeight="1">
      <c r="B38" s="204">
        <f>Assumptions!D5</f>
        <v>2026</v>
      </c>
      <c r="C38" s="205">
        <f>_xlfn.XLOOKUP('BCA Summary'!B38,'Capital Costs'!$C$8:$C$34,'Capital Costs'!$D$8:$D$34,0,0,1)</f>
        <v>18585108.16106699</v>
      </c>
      <c r="D38" s="206">
        <f>C38*(1+Assumptions!$D$13)^-(B38-Assumptions!$D$4)</f>
        <v>16448656.520626087</v>
      </c>
      <c r="E38" s="22"/>
      <c r="R38" s="73"/>
    </row>
    <row r="39" spans="2:22" ht="15" customHeight="1">
      <c r="B39" s="207">
        <f t="shared" ref="B39" si="3">B38+1</f>
        <v>2027</v>
      </c>
      <c r="C39" s="203">
        <f>_xlfn.XLOOKUP('BCA Summary'!B39,'Capital Costs'!$C$8:$C$34,'Capital Costs'!$D$8:$D$34,0,0,1)</f>
        <v>18585108.16106699</v>
      </c>
      <c r="D39" s="70">
        <f>C39*(1+Assumptions!$D$13)^-(B39-Assumptions!$D$4)</f>
        <v>15954080.039404547</v>
      </c>
      <c r="E39" s="22"/>
      <c r="R39" s="73"/>
    </row>
    <row r="40" spans="2:22" ht="15" customHeight="1" thickBot="1">
      <c r="B40" s="208">
        <f>B39+1</f>
        <v>2028</v>
      </c>
      <c r="C40" s="209">
        <f>_xlfn.XLOOKUP('BCA Summary'!B40,'Capital Costs'!$C$8:$C$34,'Capital Costs'!$D$8:$D$34,0,0,1)</f>
        <v>18585108.16106699</v>
      </c>
      <c r="D40" s="79">
        <f>C40*(1+Assumptions!$D$13)^-(B40-Assumptions!$D$4)</f>
        <v>15474374.432012171</v>
      </c>
      <c r="E40" s="22"/>
      <c r="R40" s="73"/>
    </row>
    <row r="41" spans="2:22" ht="15.75" thickBot="1">
      <c r="C41" s="88" t="s">
        <v>58</v>
      </c>
      <c r="D41" s="56">
        <f>SUM(D38:D40)</f>
        <v>47877110.992042802</v>
      </c>
      <c r="E41" s="89">
        <f>'Capital Costs'!E35</f>
        <v>47877110.992042802</v>
      </c>
      <c r="F41" s="90"/>
      <c r="H41" s="90"/>
      <c r="I41" s="90"/>
    </row>
    <row r="42" spans="2:22">
      <c r="E42" s="90"/>
      <c r="F42" s="90"/>
      <c r="H42" s="90"/>
      <c r="I42" s="25"/>
    </row>
    <row r="43" spans="2:22" ht="15.75">
      <c r="B43" s="91" t="s">
        <v>59</v>
      </c>
      <c r="C43" s="91"/>
      <c r="E43" s="812"/>
      <c r="F43" s="25"/>
      <c r="H43" s="25"/>
      <c r="I43" s="25"/>
    </row>
    <row r="44" spans="2:22" ht="15.75" thickBot="1"/>
    <row r="45" spans="2:22" ht="15.75" thickBot="1">
      <c r="B45" s="92"/>
      <c r="C45" s="93" t="s">
        <v>60</v>
      </c>
      <c r="D45" s="94"/>
    </row>
    <row r="46" spans="2:22">
      <c r="B46" s="95" t="s">
        <v>61</v>
      </c>
      <c r="C46" s="96">
        <f>K30</f>
        <v>74756431.89076829</v>
      </c>
    </row>
    <row r="47" spans="2:22" ht="15.75" thickBot="1">
      <c r="B47" s="97" t="s">
        <v>62</v>
      </c>
      <c r="C47" s="98">
        <f>+D41</f>
        <v>47877110.992042802</v>
      </c>
    </row>
    <row r="48" spans="2:22" ht="15.75" thickTop="1">
      <c r="B48" s="99" t="s">
        <v>63</v>
      </c>
      <c r="C48" s="100">
        <f>+C46/C47</f>
        <v>1.5614232008107767</v>
      </c>
    </row>
    <row r="49" spans="2:11" ht="15.75" thickBot="1">
      <c r="B49" s="101" t="s">
        <v>64</v>
      </c>
      <c r="C49" s="102">
        <f>C46-C47</f>
        <v>26879320.898725487</v>
      </c>
    </row>
    <row r="51" spans="2:11" ht="15.75" thickBot="1">
      <c r="B51" s="103"/>
      <c r="C51" s="103"/>
      <c r="D51" s="103"/>
    </row>
    <row r="52" spans="2:11" ht="15.75" thickBot="1">
      <c r="B52" s="104"/>
      <c r="C52" s="105" t="s">
        <v>60</v>
      </c>
    </row>
    <row r="53" spans="2:11">
      <c r="B53" s="106" t="s">
        <v>61</v>
      </c>
      <c r="C53" s="107">
        <f>MROUND(C46,100000)</f>
        <v>74800000</v>
      </c>
      <c r="E53" s="73"/>
      <c r="F53" s="108"/>
      <c r="H53" s="108"/>
    </row>
    <row r="54" spans="2:11" ht="15.75" thickBot="1">
      <c r="B54" s="109" t="s">
        <v>62</v>
      </c>
      <c r="C54" s="98">
        <f>MROUND(C47,100000)</f>
        <v>47900000</v>
      </c>
      <c r="E54" s="108"/>
      <c r="F54" s="108"/>
      <c r="H54" s="108"/>
    </row>
    <row r="55" spans="2:11" ht="15.75" thickTop="1">
      <c r="B55" s="110" t="s">
        <v>63</v>
      </c>
      <c r="C55" s="100">
        <f>+C53/C54</f>
        <v>1.5615866388308977</v>
      </c>
    </row>
    <row r="56" spans="2:11" ht="15.75" thickBot="1">
      <c r="B56" s="101" t="s">
        <v>64</v>
      </c>
      <c r="C56" s="102">
        <f>C53-C54</f>
        <v>26900000</v>
      </c>
      <c r="K56" s="81"/>
    </row>
    <row r="57" spans="2:11" ht="15.75" thickBot="1">
      <c r="K57" s="83"/>
    </row>
    <row r="58" spans="2:11" ht="15.75" thickBot="1">
      <c r="B58" s="104"/>
      <c r="C58" s="105" t="s">
        <v>60</v>
      </c>
    </row>
    <row r="59" spans="2:11">
      <c r="B59" s="106" t="s">
        <v>65</v>
      </c>
      <c r="C59" s="111">
        <f>C53/10^6</f>
        <v>74.8</v>
      </c>
    </row>
    <row r="60" spans="2:11" ht="15.75" thickBot="1">
      <c r="B60" s="109" t="s">
        <v>66</v>
      </c>
      <c r="C60" s="112">
        <f>C54/10^6</f>
        <v>47.9</v>
      </c>
      <c r="K60" s="81"/>
    </row>
    <row r="61" spans="2:11" ht="15.75" thickTop="1">
      <c r="B61" s="110" t="s">
        <v>63</v>
      </c>
      <c r="C61" s="113">
        <f t="shared" ref="C61" si="4">C55</f>
        <v>1.5615866388308977</v>
      </c>
    </row>
    <row r="62" spans="2:11" ht="15.75" thickBot="1">
      <c r="B62" s="101" t="s">
        <v>67</v>
      </c>
      <c r="C62" s="114">
        <f>C56/10^6</f>
        <v>26.9</v>
      </c>
      <c r="K62" s="81"/>
    </row>
  </sheetData>
  <mergeCells count="16">
    <mergeCell ref="C4:E4"/>
    <mergeCell ref="F5:F6"/>
    <mergeCell ref="C5:C6"/>
    <mergeCell ref="J4:K4"/>
    <mergeCell ref="F4:I4"/>
    <mergeCell ref="B36:B37"/>
    <mergeCell ref="C36:C37"/>
    <mergeCell ref="D36:D37"/>
    <mergeCell ref="K5:K6"/>
    <mergeCell ref="J5:J6"/>
    <mergeCell ref="G5:G6"/>
    <mergeCell ref="H5:H6"/>
    <mergeCell ref="B5:B6"/>
    <mergeCell ref="D5:D6"/>
    <mergeCell ref="E5:E6"/>
    <mergeCell ref="I5:I6"/>
  </mergeCells>
  <pageMargins left="0.25" right="0.25" top="0.75" bottom="0.75" header="0.3" footer="0.3"/>
  <pageSetup paperSize="119" scale="51"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3EE176-D00E-4B69-AB72-361D806988CE}">
  <sheetPr>
    <tabColor theme="4" tint="0.59999389629810485"/>
    <pageSetUpPr fitToPage="1"/>
  </sheetPr>
  <dimension ref="A1:X60"/>
  <sheetViews>
    <sheetView view="pageBreakPreview" zoomScaleNormal="85" zoomScaleSheetLayoutView="100" workbookViewId="0">
      <selection activeCell="P27" sqref="P27"/>
    </sheetView>
  </sheetViews>
  <sheetFormatPr defaultColWidth="9.140625" defaultRowHeight="12"/>
  <cols>
    <col min="1" max="1" width="5.7109375" style="19" customWidth="1"/>
    <col min="2" max="2" width="10.85546875" style="19" customWidth="1"/>
    <col min="3" max="10" width="15.85546875" style="20" customWidth="1"/>
    <col min="11" max="11" width="6.140625" style="19" customWidth="1"/>
    <col min="12" max="12" width="21.140625" style="19" customWidth="1"/>
    <col min="13" max="18" width="11.28515625" style="19" customWidth="1"/>
    <col min="19" max="19" width="13.140625" style="19" bestFit="1" customWidth="1"/>
    <col min="20" max="20" width="6.140625" style="19" bestFit="1" customWidth="1"/>
    <col min="21" max="21" width="14.42578125" style="19" customWidth="1"/>
    <col min="22" max="22" width="6.140625" style="19" bestFit="1" customWidth="1"/>
    <col min="23" max="23" width="21.85546875" style="19" bestFit="1" customWidth="1"/>
    <col min="24" max="24" width="6.140625" style="19" bestFit="1" customWidth="1"/>
    <col min="25" max="16384" width="9.140625" style="19"/>
  </cols>
  <sheetData>
    <row r="1" spans="2:18">
      <c r="B1" s="168"/>
      <c r="C1" s="169"/>
      <c r="D1" s="169"/>
      <c r="E1" s="169"/>
      <c r="F1" s="169"/>
      <c r="G1" s="169"/>
      <c r="H1" s="169"/>
      <c r="I1" s="169"/>
      <c r="J1" s="169"/>
    </row>
    <row r="2" spans="2:18" ht="14.25" thickBot="1">
      <c r="B2" s="1"/>
      <c r="C2" s="433" t="s">
        <v>161</v>
      </c>
      <c r="D2" s="433"/>
      <c r="E2" s="652" t="s">
        <v>417</v>
      </c>
      <c r="F2" s="652"/>
      <c r="G2" s="652"/>
      <c r="H2" s="652" t="s">
        <v>418</v>
      </c>
      <c r="I2" s="652"/>
      <c r="J2" s="652"/>
      <c r="L2" s="35" t="s">
        <v>306</v>
      </c>
    </row>
    <row r="3" spans="2:18">
      <c r="B3" s="1"/>
      <c r="C3" s="2" t="s">
        <v>1</v>
      </c>
      <c r="D3" s="2" t="s">
        <v>2</v>
      </c>
      <c r="E3" s="2" t="s">
        <v>1</v>
      </c>
      <c r="F3" s="2" t="s">
        <v>2</v>
      </c>
      <c r="G3" s="2" t="s">
        <v>3</v>
      </c>
      <c r="H3" s="2" t="s">
        <v>1</v>
      </c>
      <c r="I3" s="2" t="s">
        <v>2</v>
      </c>
      <c r="J3" s="2" t="s">
        <v>3</v>
      </c>
      <c r="L3" s="204" t="s">
        <v>303</v>
      </c>
      <c r="M3" s="327">
        <f>'Traffic Delay'!J16</f>
        <v>279.59057070439781</v>
      </c>
    </row>
    <row r="4" spans="2:18">
      <c r="B4" s="3" t="s">
        <v>4</v>
      </c>
      <c r="C4" s="2" t="s">
        <v>5</v>
      </c>
      <c r="D4" s="2"/>
      <c r="E4" s="2" t="s">
        <v>5</v>
      </c>
      <c r="F4" s="2" t="s">
        <v>5</v>
      </c>
      <c r="G4" s="2" t="s">
        <v>5</v>
      </c>
      <c r="H4" s="2" t="s">
        <v>5</v>
      </c>
      <c r="I4" s="2" t="s">
        <v>5</v>
      </c>
      <c r="J4" s="2" t="s">
        <v>5</v>
      </c>
      <c r="L4" s="207" t="s">
        <v>160</v>
      </c>
      <c r="M4" s="518">
        <f>'Traffic Delay'!J8</f>
        <v>2.977439905447969</v>
      </c>
    </row>
    <row r="5" spans="2:18" ht="12.75" thickBot="1">
      <c r="B5" s="309">
        <v>2023</v>
      </c>
      <c r="C5" s="4">
        <f>SUMPRODUCT($Q$21:$Q$24,$M$21:$M$24)</f>
        <v>3231.65</v>
      </c>
      <c r="D5" s="4">
        <f>SUMPRODUCT($Q$21:$Q$24,$O$21:$O$24)</f>
        <v>3373.4321745701291</v>
      </c>
      <c r="E5" s="4">
        <f>$M$4*($M$12+$N$12)</f>
        <v>1903.7750755434313</v>
      </c>
      <c r="F5" s="4">
        <f>(E5/E6)*F6</f>
        <v>1907.3123759439206</v>
      </c>
      <c r="G5" s="4">
        <f t="shared" ref="G5" si="0">F5-E5</f>
        <v>3.5373004004893573</v>
      </c>
      <c r="H5" s="4">
        <f>SUM(M10:N10)*$M$4</f>
        <v>253.97562393471173</v>
      </c>
      <c r="I5" s="4">
        <f>(H5/H6)*I6</f>
        <v>258.56303257721066</v>
      </c>
      <c r="J5" s="4">
        <f>I5-H5</f>
        <v>4.5874086424989287</v>
      </c>
      <c r="L5" s="275" t="s">
        <v>508</v>
      </c>
      <c r="M5" s="582">
        <f>Assumptions!D23</f>
        <v>1.6421265399292541E-2</v>
      </c>
    </row>
    <row r="6" spans="2:18">
      <c r="B6" s="309">
        <v>2030</v>
      </c>
      <c r="C6" s="4">
        <f>(C7-C5)/(B7-B5)*(B6-B5)+C5</f>
        <v>3840.681818181818</v>
      </c>
      <c r="D6" s="4">
        <f>(D7-D5)/(C7-C5)*(C6-C5)+D5</f>
        <v>3970.2037553887239</v>
      </c>
      <c r="E6" s="4">
        <f>$M$4*($O$12+$P$12)</f>
        <v>2403.6872356681451</v>
      </c>
      <c r="F6" s="4">
        <f>$M$4*($Q$12+$R$12)</f>
        <v>2408.1533955263171</v>
      </c>
      <c r="G6" s="4">
        <f>F6-E6</f>
        <v>4.4661598581719772</v>
      </c>
      <c r="H6" s="4">
        <f>SUM(O10:P10)*$M$4</f>
        <v>362.65218048356263</v>
      </c>
      <c r="I6" s="4">
        <f>SUM(Q10:R10)*M4</f>
        <v>369.20254827554817</v>
      </c>
      <c r="J6" s="4">
        <f>I6-H6</f>
        <v>6.5503677919855363</v>
      </c>
      <c r="N6" s="171"/>
    </row>
    <row r="7" spans="2:18" ht="14.25" thickBot="1">
      <c r="B7" s="309">
        <v>2045</v>
      </c>
      <c r="C7" s="4" cm="1">
        <f t="array" ref="C7">SUMPRODUCT(($P$21:$P$24+$N$21:$N$24)/2,$Q$21:$Q$24)</f>
        <v>5145.75</v>
      </c>
      <c r="D7" s="4" cm="1">
        <f t="array" ref="D7">SUMPRODUCT(($P$21:$P$24+$P$21:$P$24)/2,$Q$21:$Q$24)</f>
        <v>5249</v>
      </c>
      <c r="E7" s="4">
        <f>$M$4*($O$17+$P$17)</f>
        <v>4083.8565743124341</v>
      </c>
      <c r="F7" s="4">
        <f>$M$4*($Q$17+$R$17)</f>
        <v>3301.385367160708</v>
      </c>
      <c r="G7" s="4">
        <f>F7-E7</f>
        <v>-782.47120715172605</v>
      </c>
      <c r="H7" s="4">
        <f>SUM(O15:P15)*M4</f>
        <v>1654.8610994479811</v>
      </c>
      <c r="I7" s="4">
        <f>SUM(Q15:R15)*M4</f>
        <v>595.19023709904889</v>
      </c>
      <c r="J7" s="4">
        <f>I7-H7</f>
        <v>-1059.6708623489321</v>
      </c>
      <c r="L7" s="35" t="s">
        <v>307</v>
      </c>
    </row>
    <row r="8" spans="2:18" ht="15" customHeight="1">
      <c r="B8" s="5" t="s">
        <v>6</v>
      </c>
      <c r="C8" s="6"/>
      <c r="D8" s="6"/>
      <c r="E8" s="6"/>
      <c r="F8" s="6"/>
      <c r="G8" s="6"/>
      <c r="H8" s="6"/>
      <c r="I8" s="6"/>
      <c r="J8" s="6"/>
      <c r="L8" s="670" t="s">
        <v>21</v>
      </c>
      <c r="M8" s="672" t="s">
        <v>24</v>
      </c>
      <c r="N8" s="672"/>
      <c r="O8" s="672" t="s">
        <v>434</v>
      </c>
      <c r="P8" s="672"/>
      <c r="Q8" s="666" t="s">
        <v>435</v>
      </c>
      <c r="R8" s="667"/>
    </row>
    <row r="9" spans="2:18">
      <c r="B9" s="35" t="s">
        <v>7</v>
      </c>
      <c r="C9" s="21"/>
      <c r="D9" s="21"/>
      <c r="L9" s="671"/>
      <c r="M9" s="167" t="s">
        <v>25</v>
      </c>
      <c r="N9" s="167" t="s">
        <v>26</v>
      </c>
      <c r="O9" s="167" t="s">
        <v>25</v>
      </c>
      <c r="P9" s="167" t="s">
        <v>26</v>
      </c>
      <c r="Q9" s="167" t="s">
        <v>25</v>
      </c>
      <c r="R9" s="310" t="s">
        <v>26</v>
      </c>
    </row>
    <row r="10" spans="2:18" ht="13.5" customHeight="1" thickBot="1">
      <c r="C10" s="170"/>
      <c r="D10" s="21"/>
      <c r="E10" s="21"/>
      <c r="F10" s="21"/>
      <c r="G10" s="21"/>
      <c r="H10" s="21"/>
      <c r="I10" s="21"/>
      <c r="J10" s="21"/>
      <c r="L10" s="207" t="s">
        <v>436</v>
      </c>
      <c r="M10" s="167">
        <v>38</v>
      </c>
      <c r="N10" s="167">
        <v>47.3</v>
      </c>
      <c r="O10" s="167">
        <v>53</v>
      </c>
      <c r="P10" s="167">
        <v>68.8</v>
      </c>
      <c r="Q10" s="167">
        <v>54.3</v>
      </c>
      <c r="R10" s="310">
        <v>69.7</v>
      </c>
    </row>
    <row r="11" spans="2:18" ht="15.75" customHeight="1" thickBot="1">
      <c r="B11" s="662" t="s">
        <v>8</v>
      </c>
      <c r="C11" s="658" t="s">
        <v>161</v>
      </c>
      <c r="D11" s="570"/>
      <c r="E11" s="664" t="s">
        <v>416</v>
      </c>
      <c r="F11" s="653"/>
      <c r="G11" s="654"/>
      <c r="H11" s="653" t="s">
        <v>422</v>
      </c>
      <c r="I11" s="653"/>
      <c r="J11" s="654"/>
      <c r="L11" s="207" t="s">
        <v>22</v>
      </c>
      <c r="M11" s="167">
        <v>21.8</v>
      </c>
      <c r="N11" s="167">
        <v>23.9</v>
      </c>
      <c r="O11" s="167">
        <v>25.7</v>
      </c>
      <c r="P11" s="167">
        <v>28.7</v>
      </c>
      <c r="Q11" s="167">
        <v>26.3</v>
      </c>
      <c r="R11" s="310">
        <v>29</v>
      </c>
    </row>
    <row r="12" spans="2:18" ht="15.75" customHeight="1" thickBot="1">
      <c r="B12" s="663"/>
      <c r="C12" s="659"/>
      <c r="D12" s="571"/>
      <c r="E12" s="665" t="s">
        <v>92</v>
      </c>
      <c r="F12" s="656"/>
      <c r="G12" s="657"/>
      <c r="H12" s="655" t="s">
        <v>92</v>
      </c>
      <c r="I12" s="656"/>
      <c r="J12" s="657"/>
      <c r="L12" s="207" t="s">
        <v>23</v>
      </c>
      <c r="M12" s="167">
        <v>294</v>
      </c>
      <c r="N12" s="167">
        <v>345.4</v>
      </c>
      <c r="O12" s="167">
        <v>368.2</v>
      </c>
      <c r="P12" s="167">
        <v>439.1</v>
      </c>
      <c r="Q12" s="167">
        <v>369.2</v>
      </c>
      <c r="R12" s="310">
        <v>439.6</v>
      </c>
    </row>
    <row r="13" spans="2:18" ht="12.75" thickBot="1">
      <c r="B13" s="663"/>
      <c r="C13" s="660"/>
      <c r="D13" s="571"/>
      <c r="E13" s="9" t="s">
        <v>1</v>
      </c>
      <c r="F13" s="10" t="s">
        <v>2</v>
      </c>
      <c r="G13" s="11" t="s">
        <v>10</v>
      </c>
      <c r="H13" s="166" t="s">
        <v>1</v>
      </c>
      <c r="I13" s="10" t="s">
        <v>2</v>
      </c>
      <c r="J13" s="11" t="s">
        <v>10</v>
      </c>
      <c r="L13" s="671" t="s">
        <v>21</v>
      </c>
      <c r="M13" s="661" t="s">
        <v>24</v>
      </c>
      <c r="N13" s="661"/>
      <c r="O13" s="661" t="s">
        <v>27</v>
      </c>
      <c r="P13" s="661"/>
      <c r="Q13" s="668" t="s">
        <v>28</v>
      </c>
      <c r="R13" s="669"/>
    </row>
    <row r="14" spans="2:18">
      <c r="B14" s="12">
        <f>Assumptions!D8</f>
        <v>2029</v>
      </c>
      <c r="C14" s="28" cm="1">
        <f t="array" ref="C14">TREND(C$5:C$6,$B$5:$B$6,$B14)*$M$3</f>
        <v>1049492.7709219467</v>
      </c>
      <c r="D14" s="28" cm="1">
        <f t="array" ref="D14">TREND(D$5:D$6,$B$5:$B$6,$B14)*$M$3</f>
        <v>1086195.5756588457</v>
      </c>
      <c r="E14" s="28" cm="1">
        <f t="array" ref="E14">TREND(E$5:E$6,$B$5:$B$6,$B14)*$M$3</f>
        <v>652081.03942228551</v>
      </c>
      <c r="F14" s="26" cm="1">
        <f t="array" ref="F14">TREND(F$5:F$6,$B$5:$B$6,$B14)*$M$3</f>
        <v>653292.63555647479</v>
      </c>
      <c r="G14" s="27">
        <f>E14-F14</f>
        <v>-1211.5961341892835</v>
      </c>
      <c r="H14" s="28" cm="1">
        <f t="array" ref="H14">TREND(H$5:H$6,$B$5:$B$6,$B14)*$M$3</f>
        <v>97053.424327496628</v>
      </c>
      <c r="I14" s="26" cm="1">
        <f t="array" ref="I14">TREND(I$5:I$6,$B$5:$B$6,$B14)*$M$3</f>
        <v>98806.441844084329</v>
      </c>
      <c r="J14" s="27">
        <f>H14-I14</f>
        <v>-1753.0175165877008</v>
      </c>
      <c r="L14" s="671"/>
      <c r="M14" s="167" t="s">
        <v>25</v>
      </c>
      <c r="N14" s="167" t="s">
        <v>26</v>
      </c>
      <c r="O14" s="167" t="s">
        <v>25</v>
      </c>
      <c r="P14" s="167" t="s">
        <v>26</v>
      </c>
      <c r="Q14" s="167" t="s">
        <v>25</v>
      </c>
      <c r="R14" s="310" t="s">
        <v>26</v>
      </c>
    </row>
    <row r="15" spans="2:18">
      <c r="B15" s="13">
        <f>B14+1</f>
        <v>2030</v>
      </c>
      <c r="C15" s="29" cm="1">
        <f t="array" ref="C15">TREND(C$6:C$7,$B$6:$B$7,$B15)*$M$3</f>
        <v>1073818.4214394602</v>
      </c>
      <c r="D15" s="29" cm="1">
        <f t="array" ref="D15">TREND(D$6:D$7,$B$6:$B$7,$B15)*$M$3</f>
        <v>1110031.5337818798</v>
      </c>
      <c r="E15" s="29" cm="1">
        <f t="array" ref="E15">TREND(E$6:E$7,$B$6:$B$7,$B15)*$M$3</f>
        <v>672048.2860153279</v>
      </c>
      <c r="F15" s="30" cm="1">
        <f t="array" ref="F15">TREND(F$6:F$7,$B$6:$B$7,$B15)*$M$3</f>
        <v>673296.98219893989</v>
      </c>
      <c r="G15" s="31">
        <f t="shared" ref="G15:G33" si="1">E15-F15</f>
        <v>-1248.6961836119881</v>
      </c>
      <c r="H15" s="29" cm="1">
        <f t="array" ref="H15">TREND(H$6:H$7,$B$6:$B$7,$B15)*$M$3</f>
        <v>101394.13010859414</v>
      </c>
      <c r="I15" s="30" cm="1">
        <f t="array" ref="I15">TREND(I$6:I$7,$B$6:$B$7,$B15)*$M$3</f>
        <v>103225.5511778787</v>
      </c>
      <c r="J15" s="31">
        <f t="shared" ref="J15:J33" si="2">H15-I15</f>
        <v>-1831.4210692845663</v>
      </c>
      <c r="L15" s="207" t="s">
        <v>436</v>
      </c>
      <c r="M15" s="167">
        <v>38</v>
      </c>
      <c r="N15" s="167">
        <v>47.3</v>
      </c>
      <c r="O15" s="167">
        <v>288.60000000000002</v>
      </c>
      <c r="P15" s="167">
        <v>267.2</v>
      </c>
      <c r="Q15" s="167">
        <v>82.3</v>
      </c>
      <c r="R15" s="310">
        <v>117.6</v>
      </c>
    </row>
    <row r="16" spans="2:18">
      <c r="B16" s="13">
        <f t="shared" ref="B16:B32" si="3">B15+1</f>
        <v>2031</v>
      </c>
      <c r="C16" s="29" cm="1">
        <f t="array" ref="C16">TREND(C$6:C$7,$B$6:$B$7,$B16)*$M$3</f>
        <v>1098144.0719569738</v>
      </c>
      <c r="D16" s="29" cm="1">
        <f t="array" ref="D16">TREND(D$6:D$7,$B$6:$B$7,$B16)*$M$3</f>
        <v>1133867.4919049139</v>
      </c>
      <c r="E16" s="29" cm="1">
        <f t="array" ref="E16">TREND(E$6:E$7,$B$6:$B$7,$B16)*$M$3</f>
        <v>703365.58630009869</v>
      </c>
      <c r="F16" s="30" cm="1">
        <f t="array" ref="F16">TREND(F$6:F$7,$B$6:$B$7,$B16)*$M$3</f>
        <v>689946.26464698312</v>
      </c>
      <c r="G16" s="31">
        <f t="shared" si="1"/>
        <v>13419.321653115563</v>
      </c>
      <c r="H16" s="29" cm="1">
        <f t="array" ref="H16">TREND(H$6:H$7,$B$6:$B$7,$B16)*$M$3</f>
        <v>125480.09205009992</v>
      </c>
      <c r="I16" s="30" cm="1">
        <f t="array" ref="I16">TREND(I$6:I$7,$B$6:$B$7,$B16)*$M$3</f>
        <v>107437.819637234</v>
      </c>
      <c r="J16" s="31">
        <f t="shared" si="2"/>
        <v>18042.272412865917</v>
      </c>
      <c r="L16" s="207" t="s">
        <v>22</v>
      </c>
      <c r="M16" s="167">
        <v>21.8</v>
      </c>
      <c r="N16" s="167">
        <v>23.9</v>
      </c>
      <c r="O16" s="167">
        <v>93.6</v>
      </c>
      <c r="P16" s="167">
        <v>83.4</v>
      </c>
      <c r="Q16" s="167">
        <v>31.3</v>
      </c>
      <c r="R16" s="310">
        <v>38.200000000000003</v>
      </c>
    </row>
    <row r="17" spans="2:18" ht="12.75" thickBot="1">
      <c r="B17" s="13">
        <f t="shared" si="3"/>
        <v>2032</v>
      </c>
      <c r="C17" s="29" cm="1">
        <f t="array" ref="C17">TREND(C$6:C$7,$B$6:$B$7,$B17)*$M$3</f>
        <v>1122469.7224744873</v>
      </c>
      <c r="D17" s="29" cm="1">
        <f t="array" ref="D17">TREND(D$6:D$7,$B$6:$B$7,$B17)*$M$3</f>
        <v>1157703.450027948</v>
      </c>
      <c r="E17" s="29" cm="1">
        <f t="array" ref="E17">TREND(E$6:E$7,$B$6:$B$7,$B17)*$M$3</f>
        <v>734682.88658486935</v>
      </c>
      <c r="F17" s="30" cm="1">
        <f t="array" ref="F17">TREND(F$6:F$7,$B$6:$B$7,$B17)*$M$3</f>
        <v>706595.54709503055</v>
      </c>
      <c r="G17" s="31">
        <f>E17-F17</f>
        <v>28087.339489838807</v>
      </c>
      <c r="H17" s="29" cm="1">
        <f t="array" ref="H17">TREND(H$6:H$7,$B$6:$B$7,$B17)*$M$3</f>
        <v>149566.0539916057</v>
      </c>
      <c r="I17" s="30" cm="1">
        <f t="array" ref="I17">TREND(I$6:I$7,$B$6:$B$7,$B17)*$M$3</f>
        <v>111650.0880965893</v>
      </c>
      <c r="J17" s="31">
        <f>H17-I17</f>
        <v>37915.965895016401</v>
      </c>
      <c r="L17" s="208" t="s">
        <v>23</v>
      </c>
      <c r="M17" s="311">
        <v>294</v>
      </c>
      <c r="N17" s="311">
        <v>345.4</v>
      </c>
      <c r="O17" s="311">
        <v>639.4</v>
      </c>
      <c r="P17" s="311">
        <v>732.2</v>
      </c>
      <c r="Q17" s="311">
        <v>498.4</v>
      </c>
      <c r="R17" s="312">
        <v>610.4</v>
      </c>
    </row>
    <row r="18" spans="2:18">
      <c r="B18" s="13">
        <f t="shared" si="3"/>
        <v>2033</v>
      </c>
      <c r="C18" s="29" cm="1">
        <f t="array" ref="C18">TREND(C$6:C$7,$B$6:$B$7,$B18)*$M$3</f>
        <v>1146795.3729920008</v>
      </c>
      <c r="D18" s="29" cm="1">
        <f t="array" ref="D18">TREND(D$6:D$7,$B$6:$B$7,$B18)*$M$3</f>
        <v>1181539.4081509823</v>
      </c>
      <c r="E18" s="29" cm="1">
        <f t="array" ref="E18">TREND(E$6:E$7,$B$6:$B$7,$B18)*$M$3</f>
        <v>766000.18686964805</v>
      </c>
      <c r="F18" s="30" cm="1">
        <f t="array" ref="F18">TREND(F$6:F$7,$B$6:$B$7,$B18)*$M$3</f>
        <v>723244.82954307389</v>
      </c>
      <c r="G18" s="31">
        <f>E18-F18</f>
        <v>42755.357326574158</v>
      </c>
      <c r="H18" s="29" cm="1">
        <f t="array" ref="H18">TREND(H$6:H$7,$B$6:$B$7,$B18)*$M$3</f>
        <v>173652.01593310334</v>
      </c>
      <c r="I18" s="30" cm="1">
        <f t="array" ref="I18">TREND(I$6:I$7,$B$6:$B$7,$B18)*$M$3</f>
        <v>115862.35655594461</v>
      </c>
      <c r="J18" s="31">
        <f>H18-I18</f>
        <v>57789.659377158721</v>
      </c>
    </row>
    <row r="19" spans="2:18" ht="14.25" thickBot="1">
      <c r="B19" s="13">
        <f t="shared" si="3"/>
        <v>2034</v>
      </c>
      <c r="C19" s="29" cm="1">
        <f t="array" ref="C19">TREND(C$6:C$7,$B$6:$B$7,$B19)*$M$3</f>
        <v>1171121.0235095143</v>
      </c>
      <c r="D19" s="29" cm="1">
        <f t="array" ref="D19">TREND(D$6:D$7,$B$6:$B$7,$B19)*$M$3</f>
        <v>1205375.3662740164</v>
      </c>
      <c r="E19" s="29" cm="1">
        <f t="array" ref="E19">TREND(E$6:E$7,$B$6:$B$7,$B19)*$M$3</f>
        <v>797317.48715441872</v>
      </c>
      <c r="F19" s="30" cm="1">
        <f t="array" ref="F19">TREND(F$6:F$7,$B$6:$B$7,$B19)*$M$3</f>
        <v>739894.11199111713</v>
      </c>
      <c r="G19" s="31">
        <f t="shared" si="1"/>
        <v>57423.375163301593</v>
      </c>
      <c r="H19" s="29" cm="1">
        <f t="array" ref="H19">TREND(H$6:H$7,$B$6:$B$7,$B19)*$M$3</f>
        <v>197737.97787460912</v>
      </c>
      <c r="I19" s="30" cm="1">
        <f t="array" ref="I19">TREND(I$6:I$7,$B$6:$B$7,$B19)*$M$3</f>
        <v>120074.62501529991</v>
      </c>
      <c r="J19" s="31">
        <f t="shared" si="2"/>
        <v>77663.352859309205</v>
      </c>
      <c r="L19" s="35" t="s">
        <v>437</v>
      </c>
    </row>
    <row r="20" spans="2:18">
      <c r="B20" s="13">
        <f>B19+1</f>
        <v>2035</v>
      </c>
      <c r="C20" s="29" cm="1">
        <f t="array" ref="C20">TREND(C$6:C$7,$B$6:$B$7,$B20)*$M$3</f>
        <v>1195446.6740270278</v>
      </c>
      <c r="D20" s="29" cm="1">
        <f t="array" ref="D20">TREND(D$6:D$7,$B$6:$B$7,$B20)*$M$3</f>
        <v>1229211.3243970505</v>
      </c>
      <c r="E20" s="29" cm="1">
        <f t="array" ref="E20">TREND(E$6:E$7,$B$6:$B$7,$B20)*$M$3</f>
        <v>828634.78743918939</v>
      </c>
      <c r="F20" s="30" cm="1">
        <f t="array" ref="F20">TREND(F$6:F$7,$B$6:$B$7,$B20)*$M$3</f>
        <v>756543.39443916455</v>
      </c>
      <c r="G20" s="31">
        <f t="shared" si="1"/>
        <v>72091.393000024837</v>
      </c>
      <c r="H20" s="29" cm="1">
        <f t="array" ref="H20">TREND(H$6:H$7,$B$6:$B$7,$B20)*$M$3</f>
        <v>221823.93981611487</v>
      </c>
      <c r="I20" s="30" cm="1">
        <f t="array" ref="I20">TREND(I$6:I$7,$B$6:$B$7,$B20)*$M$3</f>
        <v>124286.89347465521</v>
      </c>
      <c r="J20" s="31">
        <f t="shared" si="2"/>
        <v>97537.04634145966</v>
      </c>
      <c r="L20" s="315" t="s">
        <v>304</v>
      </c>
      <c r="M20" s="316">
        <v>2022</v>
      </c>
      <c r="N20" s="317" t="s">
        <v>27</v>
      </c>
      <c r="O20" s="318" t="s">
        <v>543</v>
      </c>
      <c r="P20" s="318" t="s">
        <v>305</v>
      </c>
      <c r="Q20" s="319" t="s">
        <v>155</v>
      </c>
    </row>
    <row r="21" spans="2:18">
      <c r="B21" s="13">
        <f t="shared" si="3"/>
        <v>2036</v>
      </c>
      <c r="C21" s="29" cm="1">
        <f t="array" ref="C21">TREND(C$6:C$7,$B$6:$B$7,$B21)*$M$3</f>
        <v>1219772.3245445413</v>
      </c>
      <c r="D21" s="29" cm="1">
        <f t="array" ref="D21">TREND(D$6:D$7,$B$6:$B$7,$B21)*$M$3</f>
        <v>1253047.2825200846</v>
      </c>
      <c r="E21" s="29" cm="1">
        <f t="array" ref="E21">TREND(E$6:E$7,$B$6:$B$7,$B21)*$M$3</f>
        <v>859952.08772396005</v>
      </c>
      <c r="F21" s="30" cm="1">
        <f t="array" ref="F21">TREND(F$6:F$7,$B$6:$B$7,$B21)*$M$3</f>
        <v>773192.6768872079</v>
      </c>
      <c r="G21" s="31">
        <f t="shared" si="1"/>
        <v>86759.410836752155</v>
      </c>
      <c r="H21" s="29" cm="1">
        <f t="array" ref="H21">TREND(H$6:H$7,$B$6:$B$7,$B21)*$M$3</f>
        <v>245909.90175762065</v>
      </c>
      <c r="I21" s="30" cm="1">
        <f t="array" ref="I21">TREND(I$6:I$7,$B$6:$B$7,$B21)*$M$3</f>
        <v>128499.16193401052</v>
      </c>
      <c r="J21" s="31">
        <f t="shared" si="2"/>
        <v>117410.73982361013</v>
      </c>
      <c r="L21" s="320" t="s">
        <v>157</v>
      </c>
      <c r="M21" s="314">
        <v>6430</v>
      </c>
      <c r="N21" s="314">
        <v>9900</v>
      </c>
      <c r="O21" s="314">
        <f>M21/N21*P21</f>
        <v>6689.7979797979797</v>
      </c>
      <c r="P21" s="314">
        <v>10300</v>
      </c>
      <c r="Q21" s="321">
        <v>0.22</v>
      </c>
    </row>
    <row r="22" spans="2:18">
      <c r="B22" s="13">
        <f t="shared" si="3"/>
        <v>2037</v>
      </c>
      <c r="C22" s="29" cm="1">
        <f t="array" ref="C22">TREND(C$6:C$7,$B$6:$B$7,$B22)*$M$3</f>
        <v>1244097.9750620548</v>
      </c>
      <c r="D22" s="29" cm="1">
        <f t="array" ref="D22">TREND(D$6:D$7,$B$6:$B$7,$B22)*$M$3</f>
        <v>1276883.2406431108</v>
      </c>
      <c r="E22" s="29" cm="1">
        <f t="array" ref="E22">TREND(E$6:E$7,$B$6:$B$7,$B22)*$M$3</f>
        <v>891269.38800873887</v>
      </c>
      <c r="F22" s="30" cm="1">
        <f t="array" ref="F22">TREND(F$6:F$7,$B$6:$B$7,$B22)*$M$3</f>
        <v>789841.9593352552</v>
      </c>
      <c r="G22" s="31">
        <f t="shared" si="1"/>
        <v>101427.42867348366</v>
      </c>
      <c r="H22" s="29" cm="1">
        <f t="array" ref="H22">TREND(H$6:H$7,$B$6:$B$7,$B22)*$M$3</f>
        <v>269995.86369912641</v>
      </c>
      <c r="I22" s="30" cm="1">
        <f t="array" ref="I22">TREND(I$6:I$7,$B$6:$B$7,$B22)*$M$3</f>
        <v>132711.43039336582</v>
      </c>
      <c r="J22" s="31">
        <f t="shared" si="2"/>
        <v>137284.43330576058</v>
      </c>
      <c r="L22" s="322" t="s">
        <v>156</v>
      </c>
      <c r="M22" s="313">
        <v>910</v>
      </c>
      <c r="N22" s="314">
        <v>2500</v>
      </c>
      <c r="O22" s="314">
        <f>M22/N22*P22</f>
        <v>928.19999999999993</v>
      </c>
      <c r="P22" s="314">
        <v>2550</v>
      </c>
      <c r="Q22" s="323">
        <v>0.34</v>
      </c>
    </row>
    <row r="23" spans="2:18">
      <c r="B23" s="13">
        <f t="shared" si="3"/>
        <v>2038</v>
      </c>
      <c r="C23" s="29" cm="1">
        <f t="array" ref="C23">TREND(C$6:C$7,$B$6:$B$7,$B23)*$M$3</f>
        <v>1268423.6255795686</v>
      </c>
      <c r="D23" s="29" cm="1">
        <f t="array" ref="D23">TREND(D$6:D$7,$B$6:$B$7,$B23)*$M$3</f>
        <v>1300719.1987661449</v>
      </c>
      <c r="E23" s="29" cm="1">
        <f t="array" ref="E23">TREND(E$6:E$7,$B$6:$B$7,$B23)*$M$3</f>
        <v>922586.68829350953</v>
      </c>
      <c r="F23" s="30" cm="1">
        <f t="array" ref="F23">TREND(F$6:F$7,$B$6:$B$7,$B23)*$M$3</f>
        <v>806491.24178329855</v>
      </c>
      <c r="G23" s="31">
        <f t="shared" si="1"/>
        <v>116095.44651021098</v>
      </c>
      <c r="H23" s="29" cm="1">
        <f t="array" ref="H23">TREND(H$6:H$7,$B$6:$B$7,$B23)*$M$3</f>
        <v>294081.82564063219</v>
      </c>
      <c r="I23" s="30" cm="1">
        <f t="array" ref="I23">TREND(I$6:I$7,$B$6:$B$7,$B23)*$M$3</f>
        <v>136923.69885272114</v>
      </c>
      <c r="J23" s="31">
        <f t="shared" si="2"/>
        <v>157158.12678791105</v>
      </c>
      <c r="L23" s="320" t="s">
        <v>158</v>
      </c>
      <c r="M23" s="313">
        <v>760</v>
      </c>
      <c r="N23" s="314">
        <v>2200</v>
      </c>
      <c r="O23" s="314">
        <f>M23/N23*P23</f>
        <v>794.5454545454545</v>
      </c>
      <c r="P23" s="314">
        <v>2300</v>
      </c>
      <c r="Q23" s="321">
        <v>0.35</v>
      </c>
    </row>
    <row r="24" spans="2:18" ht="12.75" thickBot="1">
      <c r="B24" s="13">
        <f t="shared" si="3"/>
        <v>2039</v>
      </c>
      <c r="C24" s="29" cm="1">
        <f t="array" ref="C24">TREND(C$6:C$7,$B$6:$B$7,$B24)*$M$3</f>
        <v>1292749.2760970739</v>
      </c>
      <c r="D24" s="29" cm="1">
        <f t="array" ref="D24">TREND(D$6:D$7,$B$6:$B$7,$B24)*$M$3</f>
        <v>1324555.156889179</v>
      </c>
      <c r="E24" s="29" cm="1">
        <f t="array" ref="E24">TREND(E$6:E$7,$B$6:$B$7,$B24)*$M$3</f>
        <v>953903.9885782802</v>
      </c>
      <c r="F24" s="30" cm="1">
        <f t="array" ref="F24">TREND(F$6:F$7,$B$6:$B$7,$B24)*$M$3</f>
        <v>823140.5242313419</v>
      </c>
      <c r="G24" s="31">
        <f t="shared" si="1"/>
        <v>130763.4643469383</v>
      </c>
      <c r="H24" s="29" cm="1">
        <f t="array" ref="H24">TREND(H$6:H$7,$B$6:$B$7,$B24)*$M$3</f>
        <v>318167.78758213797</v>
      </c>
      <c r="I24" s="30" cm="1">
        <f t="array" ref="I24">TREND(I$6:I$7,$B$6:$B$7,$B24)*$M$3</f>
        <v>141135.96731207642</v>
      </c>
      <c r="J24" s="31">
        <f t="shared" si="2"/>
        <v>177031.82027006155</v>
      </c>
      <c r="L24" s="324" t="s">
        <v>159</v>
      </c>
      <c r="M24" s="325">
        <v>6535</v>
      </c>
      <c r="N24" s="325">
        <v>6550</v>
      </c>
      <c r="O24" s="325">
        <f>M24/N24*P24</f>
        <v>6884.198473282443</v>
      </c>
      <c r="P24" s="325">
        <v>6900</v>
      </c>
      <c r="Q24" s="326">
        <v>0.19</v>
      </c>
    </row>
    <row r="25" spans="2:18">
      <c r="B25" s="13">
        <f t="shared" si="3"/>
        <v>2040</v>
      </c>
      <c r="C25" s="29" cm="1">
        <f t="array" ref="C25">TREND(C$6:C$7,$B$6:$B$7,$B25)*$M$3</f>
        <v>1317074.9266145874</v>
      </c>
      <c r="D25" s="29" cm="1">
        <f t="array" ref="D25">TREND(D$6:D$7,$B$6:$B$7,$B25)*$M$3</f>
        <v>1348391.1150122134</v>
      </c>
      <c r="E25" s="29" cm="1">
        <f t="array" ref="E25">TREND(E$6:E$7,$B$6:$B$7,$B25)*$M$3</f>
        <v>985221.28886305087</v>
      </c>
      <c r="F25" s="30" cm="1">
        <f t="array" ref="F25">TREND(F$6:F$7,$B$6:$B$7,$B25)*$M$3</f>
        <v>839789.80667938921</v>
      </c>
      <c r="G25" s="31">
        <f t="shared" si="1"/>
        <v>145431.48218366166</v>
      </c>
      <c r="H25" s="29" cm="1">
        <f t="array" ref="H25">TREND(H$6:H$7,$B$6:$B$7,$B25)*$M$3</f>
        <v>342253.74952364375</v>
      </c>
      <c r="I25" s="30" cm="1">
        <f t="array" ref="I25">TREND(I$6:I$7,$B$6:$B$7,$B25)*$M$3</f>
        <v>145348.23577143275</v>
      </c>
      <c r="J25" s="31">
        <f t="shared" si="2"/>
        <v>196905.513752211</v>
      </c>
    </row>
    <row r="26" spans="2:18">
      <c r="B26" s="13">
        <f t="shared" si="3"/>
        <v>2041</v>
      </c>
      <c r="C26" s="29" cm="1">
        <f t="array" ref="C26">TREND(C$6:C$7,$B$6:$B$7,$B26)*$M$3</f>
        <v>1341400.5771321009</v>
      </c>
      <c r="D26" s="29" cm="1">
        <f t="array" ref="D26">TREND(D$6:D$7,$B$6:$B$7,$B26)*$M$3</f>
        <v>1372227.0731352475</v>
      </c>
      <c r="E26" s="29" cm="1">
        <f t="array" ref="E26">TREND(E$6:E$7,$B$6:$B$7,$B26)*$M$3</f>
        <v>1016538.5891478215</v>
      </c>
      <c r="F26" s="30" cm="1">
        <f t="array" ref="F26">TREND(F$6:F$7,$B$6:$B$7,$B26)*$M$3</f>
        <v>856439.08912743255</v>
      </c>
      <c r="G26" s="31">
        <f>E26-F26</f>
        <v>160099.50002038898</v>
      </c>
      <c r="H26" s="29" cm="1">
        <f t="array" ref="H26">TREND(H$6:H$7,$B$6:$B$7,$B26)*$M$3</f>
        <v>366339.71146514954</v>
      </c>
      <c r="I26" s="30" cm="1">
        <f t="array" ref="I26">TREND(I$6:I$7,$B$6:$B$7,$B26)*$M$3</f>
        <v>149560.50423078806</v>
      </c>
      <c r="J26" s="31">
        <f t="shared" si="2"/>
        <v>216779.20723436147</v>
      </c>
    </row>
    <row r="27" spans="2:18">
      <c r="B27" s="13">
        <f t="shared" si="3"/>
        <v>2042</v>
      </c>
      <c r="C27" s="29" cm="1">
        <f t="array" ref="C27">TREND(C$6:C$7,$B$6:$B$7,$B27)*$M$3</f>
        <v>1365726.2276496144</v>
      </c>
      <c r="D27" s="29" cm="1">
        <f t="array" ref="D27">TREND(D$6:D$7,$B$6:$B$7,$B27)*$M$3</f>
        <v>1396063.0312582816</v>
      </c>
      <c r="E27" s="29" cm="1">
        <f t="array" ref="E27">TREND(E$6:E$7,$B$6:$B$7,$B27)*$M$3</f>
        <v>1047855.8894326004</v>
      </c>
      <c r="F27" s="30" cm="1">
        <f t="array" ref="F27">TREND(F$6:F$7,$B$6:$B$7,$B27)*$M$3</f>
        <v>873088.37157547998</v>
      </c>
      <c r="G27" s="31">
        <f t="shared" si="1"/>
        <v>174767.51785712037</v>
      </c>
      <c r="H27" s="29" cm="1">
        <f t="array" ref="H27">TREND(H$6:H$7,$B$6:$B$7,$B27)*$M$3</f>
        <v>390425.67340665532</v>
      </c>
      <c r="I27" s="30" cm="1">
        <f t="array" ref="I27">TREND(I$6:I$7,$B$6:$B$7,$B27)*$M$3</f>
        <v>153772.77269014335</v>
      </c>
      <c r="J27" s="31">
        <f t="shared" si="2"/>
        <v>236652.90071651197</v>
      </c>
    </row>
    <row r="28" spans="2:18">
      <c r="B28" s="13">
        <f t="shared" si="3"/>
        <v>2043</v>
      </c>
      <c r="C28" s="29" cm="1">
        <f t="array" ref="C28">TREND(C$6:C$7,$B$6:$B$7,$B28)*$M$3</f>
        <v>1390051.878167128</v>
      </c>
      <c r="D28" s="29" cm="1">
        <f t="array" ref="D28">TREND(D$6:D$7,$B$6:$B$7,$B28)*$M$3</f>
        <v>1419898.9893813157</v>
      </c>
      <c r="E28" s="29" cm="1">
        <f t="array" ref="E28">TREND(E$6:E$7,$B$6:$B$7,$B28)*$M$3</f>
        <v>1079173.189717371</v>
      </c>
      <c r="F28" s="30" cm="1">
        <f t="array" ref="F28">TREND(F$6:F$7,$B$6:$B$7,$B28)*$M$3</f>
        <v>889737.65402352321</v>
      </c>
      <c r="G28" s="31">
        <f t="shared" si="1"/>
        <v>189435.53569384781</v>
      </c>
      <c r="H28" s="29" cm="1">
        <f t="array" ref="H28">TREND(H$6:H$7,$B$6:$B$7,$B28)*$M$3</f>
        <v>414511.63534815295</v>
      </c>
      <c r="I28" s="30" cm="1">
        <f t="array" ref="I28">TREND(I$6:I$7,$B$6:$B$7,$B28)*$M$3</f>
        <v>157985.04114949866</v>
      </c>
      <c r="J28" s="31">
        <f t="shared" si="2"/>
        <v>256526.59419865429</v>
      </c>
    </row>
    <row r="29" spans="2:18">
      <c r="B29" s="13">
        <f t="shared" si="3"/>
        <v>2044</v>
      </c>
      <c r="C29" s="29" cm="1">
        <f t="array" ref="C29">TREND(C$6:C$7,$B$6:$B$7,$B29)*$M$3</f>
        <v>1414377.5286846415</v>
      </c>
      <c r="D29" s="29" cm="1">
        <f t="array" ref="D29">TREND(D$6:D$7,$B$6:$B$7,$B29)*$M$3</f>
        <v>1443734.94750435</v>
      </c>
      <c r="E29" s="29" cm="1">
        <f t="array" ref="E29">TREND(E$6:E$7,$B$6:$B$7,$B29)*$M$3</f>
        <v>1110490.4900021418</v>
      </c>
      <c r="F29" s="30" cm="1">
        <f t="array" ref="F29">TREND(F$6:F$7,$B$6:$B$7,$B29)*$M$3</f>
        <v>906386.93647156656</v>
      </c>
      <c r="G29" s="31">
        <f t="shared" si="1"/>
        <v>204103.55353057524</v>
      </c>
      <c r="H29" s="29" cm="1">
        <f t="array" ref="H29">TREND(H$6:H$7,$B$6:$B$7,$B29)*$M$3</f>
        <v>438597.59728965873</v>
      </c>
      <c r="I29" s="30" cm="1">
        <f t="array" ref="I29">TREND(I$6:I$7,$B$6:$B$7,$B29)*$M$3</f>
        <v>162197.30960885398</v>
      </c>
      <c r="J29" s="31">
        <f t="shared" si="2"/>
        <v>276400.28768080473</v>
      </c>
      <c r="N29" s="20"/>
      <c r="O29" s="20"/>
      <c r="P29" s="20"/>
    </row>
    <row r="30" spans="2:18">
      <c r="B30" s="13">
        <f t="shared" si="3"/>
        <v>2045</v>
      </c>
      <c r="C30" s="29" cm="1">
        <f t="array" ref="C30">TREND(C$6:C$7,$B$6:$B$7,$B30)*$M$3</f>
        <v>1438703.179202155</v>
      </c>
      <c r="D30" s="29" cm="1">
        <f t="array" ref="D30">TREND(D$6:D$7,$B$6:$B$7,$B30)*$M$3</f>
        <v>1467570.9056273841</v>
      </c>
      <c r="E30" s="29" cm="1">
        <f t="array" ref="E30">TREND(E$6:E$7,$B$6:$B$7,$B30)*$M$3</f>
        <v>1141807.7902869123</v>
      </c>
      <c r="F30" s="30" cm="1">
        <f t="array" ref="F30">TREND(F$6:F$7,$B$6:$B$7,$B30)*$M$3</f>
        <v>923036.21891961398</v>
      </c>
      <c r="G30" s="31">
        <f t="shared" si="1"/>
        <v>218771.57136729837</v>
      </c>
      <c r="H30" s="29" cm="1">
        <f t="array" ref="H30">TREND(H$6:H$7,$B$6:$B$7,$B30)*$M$3</f>
        <v>462683.55923116452</v>
      </c>
      <c r="I30" s="30" cm="1">
        <f t="array" ref="I30">TREND(I$6:I$7,$B$6:$B$7,$B30)*$M$3</f>
        <v>166409.57806820926</v>
      </c>
      <c r="J30" s="31">
        <f t="shared" si="2"/>
        <v>296273.98116295529</v>
      </c>
      <c r="N30" s="20"/>
      <c r="O30" s="20"/>
      <c r="P30" s="20"/>
    </row>
    <row r="31" spans="2:18">
      <c r="B31" s="13">
        <f t="shared" si="3"/>
        <v>2046</v>
      </c>
      <c r="C31" s="29" cm="1">
        <f t="array" ref="C31">TREND(C$6:C$7,$B$6:$B$7,$B31)*$M$3</f>
        <v>1463028.8297196685</v>
      </c>
      <c r="D31" s="29" cm="1">
        <f t="array" ref="D31">TREND(D$6:D$7,$B$6:$B$7,$B31)*$M$3</f>
        <v>1491406.8637504182</v>
      </c>
      <c r="E31" s="29" cm="1">
        <f t="array" ref="E31">TREND(E$6:E$7,$B$6:$B$7,$B31)*$M$3</f>
        <v>1173125.0905716913</v>
      </c>
      <c r="F31" s="30" cm="1">
        <f t="array" ref="F31">TREND(F$6:F$7,$B$6:$B$7,$B31)*$M$3</f>
        <v>939685.50136765721</v>
      </c>
      <c r="G31" s="31">
        <f t="shared" si="1"/>
        <v>233439.58920403407</v>
      </c>
      <c r="H31" s="29" cm="1">
        <f t="array" ref="H31">TREND(H$6:H$7,$B$6:$B$7,$B31)*$M$3</f>
        <v>486769.5211726703</v>
      </c>
      <c r="I31" s="30" cm="1">
        <f t="array" ref="I31">TREND(I$6:I$7,$B$6:$B$7,$B31)*$M$3</f>
        <v>170621.84652756457</v>
      </c>
      <c r="J31" s="31">
        <f t="shared" si="2"/>
        <v>316147.67464510573</v>
      </c>
      <c r="L31" s="20"/>
      <c r="M31" s="20"/>
      <c r="N31" s="20"/>
      <c r="O31" s="20"/>
      <c r="P31" s="20"/>
    </row>
    <row r="32" spans="2:18">
      <c r="B32" s="13">
        <f t="shared" si="3"/>
        <v>2047</v>
      </c>
      <c r="C32" s="29" cm="1">
        <f t="array" ref="C32">TREND(C$6:C$7,$B$6:$B$7,$B32)*$M$3</f>
        <v>1487354.480237182</v>
      </c>
      <c r="D32" s="29" cm="1">
        <f t="array" ref="D32">TREND(D$6:D$7,$B$6:$B$7,$B32)*$M$3</f>
        <v>1515242.8218734525</v>
      </c>
      <c r="E32" s="29" cm="1">
        <f t="array" ref="E32">TREND(E$6:E$7,$B$6:$B$7,$B32)*$M$3</f>
        <v>1204442.3908564618</v>
      </c>
      <c r="F32" s="30" cm="1">
        <f t="array" ref="F32">TREND(F$6:F$7,$B$6:$B$7,$B32)*$M$3</f>
        <v>956334.78381570464</v>
      </c>
      <c r="G32" s="31">
        <f t="shared" si="1"/>
        <v>248107.6070407572</v>
      </c>
      <c r="H32" s="29" cm="1">
        <f t="array" ref="H32">TREND(H$6:H$7,$B$6:$B$7,$B32)*$M$3</f>
        <v>510855.48311417608</v>
      </c>
      <c r="I32" s="30" cm="1">
        <f t="array" ref="I32">TREND(I$6:I$7,$B$6:$B$7,$B32)*$M$3</f>
        <v>174834.11498691989</v>
      </c>
      <c r="J32" s="31">
        <f t="shared" si="2"/>
        <v>336021.36812725617</v>
      </c>
    </row>
    <row r="33" spans="1:17" ht="12.75" thickBot="1">
      <c r="B33" s="17">
        <f>B32+1</f>
        <v>2048</v>
      </c>
      <c r="C33" s="32" cm="1">
        <f t="array" ref="C33">TREND(C$6:C$7,$B$6:$B$7,$B33)*$M$3</f>
        <v>1511680.1307546955</v>
      </c>
      <c r="D33" s="32" cm="1">
        <f t="array" ref="D33">TREND(D$6:D$7,$B$6:$B$7,$B33)*$M$3</f>
        <v>1539078.7799964866</v>
      </c>
      <c r="E33" s="32" cm="1">
        <f t="array" ref="E33">TREND(E$6:E$7,$B$6:$B$7,$B33)*$M$3</f>
        <v>1235759.6911412326</v>
      </c>
      <c r="F33" s="33" cm="1">
        <f t="array" ref="F33">TREND(F$6:F$7,$B$6:$B$7,$B33)*$M$3</f>
        <v>972984.06626374798</v>
      </c>
      <c r="G33" s="34">
        <f t="shared" si="1"/>
        <v>262775.62487748463</v>
      </c>
      <c r="H33" s="32" cm="1">
        <f t="array" ref="H33">TREND(H$6:H$7,$B$6:$B$7,$B33)*$M$3</f>
        <v>534941.44505568186</v>
      </c>
      <c r="I33" s="33" cm="1">
        <f t="array" ref="I33">TREND(I$6:I$7,$B$6:$B$7,$B33)*$M$3</f>
        <v>179046.38344627517</v>
      </c>
      <c r="J33" s="34">
        <f t="shared" si="2"/>
        <v>355895.06160940672</v>
      </c>
      <c r="Q33" s="20"/>
    </row>
    <row r="34" spans="1:17">
      <c r="Q34" s="20"/>
    </row>
    <row r="35" spans="1:17">
      <c r="Q35" s="20"/>
    </row>
    <row r="36" spans="1:17">
      <c r="B36" s="35"/>
      <c r="E36" s="21"/>
      <c r="H36" s="21"/>
    </row>
    <row r="37" spans="1:17">
      <c r="A37" s="328" t="s">
        <v>18</v>
      </c>
      <c r="B37" s="19" t="s">
        <v>243</v>
      </c>
    </row>
    <row r="38" spans="1:17" ht="12" customHeight="1">
      <c r="A38" s="172"/>
      <c r="B38" s="625" t="s">
        <v>407</v>
      </c>
      <c r="C38" s="625"/>
      <c r="D38" s="569"/>
      <c r="E38" s="307"/>
      <c r="F38" s="307"/>
    </row>
    <row r="39" spans="1:17">
      <c r="B39" s="625"/>
      <c r="C39" s="625"/>
      <c r="D39" s="569"/>
      <c r="E39" s="307"/>
      <c r="F39" s="307"/>
      <c r="K39" s="233"/>
    </row>
    <row r="40" spans="1:17">
      <c r="B40" s="625"/>
      <c r="C40" s="625"/>
      <c r="D40" s="569"/>
      <c r="E40" s="307"/>
      <c r="F40" s="307"/>
    </row>
    <row r="41" spans="1:17">
      <c r="A41" s="172" t="s">
        <v>19</v>
      </c>
      <c r="B41" s="253" t="s">
        <v>430</v>
      </c>
      <c r="C41" s="308"/>
      <c r="D41" s="308"/>
      <c r="E41" s="308"/>
      <c r="F41" s="308"/>
    </row>
    <row r="42" spans="1:17">
      <c r="A42" s="172" t="s">
        <v>228</v>
      </c>
      <c r="B42" s="19" t="s">
        <v>431</v>
      </c>
      <c r="C42" s="308"/>
      <c r="D42" s="308"/>
      <c r="E42" s="308"/>
      <c r="F42" s="308"/>
      <c r="G42" s="173"/>
    </row>
    <row r="43" spans="1:17">
      <c r="B43" s="253"/>
      <c r="C43" s="308"/>
      <c r="D43" s="308"/>
      <c r="E43" s="308"/>
      <c r="F43" s="308"/>
    </row>
    <row r="44" spans="1:17">
      <c r="A44" s="172"/>
      <c r="B44" s="253"/>
      <c r="C44" s="306"/>
      <c r="D44" s="306"/>
      <c r="E44" s="306"/>
      <c r="F44" s="306"/>
    </row>
    <row r="45" spans="1:17">
      <c r="B45" s="253"/>
      <c r="C45" s="306"/>
      <c r="D45" s="306"/>
      <c r="E45" s="306"/>
      <c r="F45" s="306"/>
    </row>
    <row r="46" spans="1:17">
      <c r="B46" s="253"/>
      <c r="C46" s="306"/>
      <c r="D46" s="306"/>
      <c r="E46" s="306"/>
      <c r="F46" s="306"/>
    </row>
    <row r="47" spans="1:17">
      <c r="B47" s="253"/>
      <c r="C47" s="306"/>
      <c r="D47" s="306"/>
      <c r="E47" s="306"/>
      <c r="F47" s="306"/>
    </row>
    <row r="48" spans="1:17">
      <c r="B48" s="253"/>
      <c r="C48" s="306"/>
      <c r="D48" s="306"/>
      <c r="E48" s="306"/>
      <c r="F48" s="306"/>
    </row>
    <row r="49" spans="1:24">
      <c r="B49" s="253"/>
      <c r="C49" s="306"/>
      <c r="D49" s="306"/>
      <c r="E49" s="306"/>
      <c r="F49" s="306"/>
    </row>
    <row r="50" spans="1:24">
      <c r="B50" s="253"/>
      <c r="C50" s="306"/>
      <c r="D50" s="306"/>
      <c r="E50" s="306"/>
      <c r="F50" s="306"/>
    </row>
    <row r="51" spans="1:24" s="20" customFormat="1">
      <c r="A51" s="19"/>
      <c r="B51" s="253"/>
      <c r="C51" s="306"/>
      <c r="D51" s="306"/>
      <c r="E51" s="306"/>
      <c r="F51" s="306"/>
      <c r="K51" s="19"/>
      <c r="L51" s="19"/>
      <c r="M51" s="19"/>
      <c r="N51" s="19"/>
      <c r="O51" s="19"/>
      <c r="P51" s="19"/>
      <c r="Q51" s="19"/>
      <c r="R51" s="19"/>
      <c r="S51" s="19"/>
      <c r="T51" s="19"/>
      <c r="U51" s="19"/>
      <c r="V51" s="19"/>
      <c r="W51" s="19"/>
    </row>
    <row r="52" spans="1:24" s="20" customFormat="1">
      <c r="A52" s="19"/>
      <c r="B52" s="253"/>
      <c r="C52" s="306"/>
      <c r="D52" s="306"/>
      <c r="E52" s="306"/>
      <c r="F52" s="306"/>
      <c r="L52" s="19"/>
      <c r="M52" s="19"/>
      <c r="N52" s="19"/>
      <c r="O52" s="19"/>
      <c r="P52" s="19"/>
      <c r="Q52" s="19"/>
      <c r="R52" s="19"/>
      <c r="S52" s="19"/>
      <c r="T52" s="19"/>
      <c r="U52" s="19"/>
      <c r="V52" s="19"/>
      <c r="W52" s="19"/>
    </row>
    <row r="53" spans="1:24" s="20" customFormat="1">
      <c r="A53" s="19"/>
      <c r="B53" s="253"/>
      <c r="C53" s="306"/>
      <c r="D53" s="306"/>
      <c r="E53" s="306"/>
      <c r="F53" s="306"/>
      <c r="K53" s="19"/>
      <c r="L53" s="19"/>
      <c r="M53" s="19"/>
      <c r="N53" s="19"/>
      <c r="O53" s="19"/>
      <c r="P53" s="19"/>
      <c r="Q53" s="19"/>
      <c r="R53" s="19"/>
      <c r="S53" s="19"/>
      <c r="T53" s="19"/>
      <c r="U53" s="19"/>
      <c r="V53" s="19"/>
      <c r="W53" s="19"/>
    </row>
    <row r="54" spans="1:24" s="20" customFormat="1">
      <c r="A54" s="19"/>
      <c r="B54" s="253"/>
      <c r="C54" s="306"/>
      <c r="D54" s="306"/>
      <c r="E54" s="306"/>
      <c r="F54" s="306"/>
      <c r="K54" s="19"/>
      <c r="L54" s="19"/>
      <c r="M54" s="19"/>
      <c r="N54" s="19"/>
      <c r="O54" s="19"/>
      <c r="P54" s="19"/>
      <c r="Q54" s="19"/>
      <c r="R54" s="19"/>
      <c r="S54" s="19"/>
      <c r="T54" s="19"/>
      <c r="U54" s="19"/>
      <c r="V54" s="19"/>
      <c r="W54" s="19"/>
      <c r="X54" s="19"/>
    </row>
    <row r="55" spans="1:24" s="20" customFormat="1">
      <c r="A55" s="19"/>
      <c r="B55" s="253"/>
      <c r="C55" s="306"/>
      <c r="D55" s="306"/>
      <c r="E55" s="306"/>
      <c r="F55" s="306"/>
      <c r="K55" s="19"/>
      <c r="L55" s="19"/>
      <c r="M55" s="19"/>
      <c r="N55" s="19"/>
      <c r="O55" s="19"/>
      <c r="P55" s="19"/>
      <c r="Q55" s="19"/>
      <c r="R55" s="19"/>
      <c r="S55" s="19"/>
      <c r="T55" s="19"/>
      <c r="U55" s="19"/>
      <c r="V55" s="19"/>
      <c r="W55" s="19"/>
      <c r="X55" s="19"/>
    </row>
    <row r="56" spans="1:24" s="20" customFormat="1">
      <c r="A56" s="19"/>
      <c r="B56" s="19"/>
      <c r="K56" s="19"/>
      <c r="L56" s="19"/>
      <c r="M56" s="19"/>
      <c r="N56" s="19"/>
      <c r="O56" s="19"/>
      <c r="P56" s="19"/>
      <c r="Q56" s="19"/>
      <c r="R56" s="19"/>
      <c r="S56" s="19"/>
      <c r="T56" s="19"/>
      <c r="U56" s="19"/>
      <c r="V56" s="19"/>
      <c r="W56" s="19"/>
      <c r="X56" s="19"/>
    </row>
    <row r="60" spans="1:24" s="20" customFormat="1" ht="15" customHeight="1">
      <c r="A60" s="19"/>
      <c r="B60" s="19"/>
      <c r="K60" s="19"/>
      <c r="L60" s="19"/>
      <c r="M60" s="19"/>
      <c r="N60" s="19"/>
      <c r="O60" s="19"/>
      <c r="P60" s="19"/>
      <c r="Q60" s="19"/>
      <c r="R60" s="19"/>
      <c r="S60" s="19"/>
      <c r="T60" s="19"/>
      <c r="U60" s="19"/>
      <c r="V60" s="19"/>
      <c r="W60" s="19"/>
      <c r="X60" s="19"/>
    </row>
  </sheetData>
  <mergeCells count="17">
    <mergeCell ref="Q8:R8"/>
    <mergeCell ref="Q13:R13"/>
    <mergeCell ref="L8:L9"/>
    <mergeCell ref="L13:L14"/>
    <mergeCell ref="M8:N8"/>
    <mergeCell ref="O8:P8"/>
    <mergeCell ref="M13:N13"/>
    <mergeCell ref="B38:C40"/>
    <mergeCell ref="O13:P13"/>
    <mergeCell ref="B11:B13"/>
    <mergeCell ref="E11:G11"/>
    <mergeCell ref="E12:G12"/>
    <mergeCell ref="H2:J2"/>
    <mergeCell ref="H11:J11"/>
    <mergeCell ref="H12:J12"/>
    <mergeCell ref="E2:G2"/>
    <mergeCell ref="C11:C13"/>
  </mergeCells>
  <pageMargins left="0.25" right="0.25" top="0.75" bottom="0.75" header="0.3" footer="0.3"/>
  <pageSetup paperSize="3" scale="97"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50B6BB-DE6D-4255-8DD2-371F875C9FC4}">
  <sheetPr>
    <tabColor rgb="FF00B050"/>
    <pageSetUpPr fitToPage="1"/>
  </sheetPr>
  <dimension ref="A1:AC72"/>
  <sheetViews>
    <sheetView view="pageBreakPreview" zoomScale="85" zoomScaleNormal="70" zoomScaleSheetLayoutView="85" workbookViewId="0">
      <selection activeCell="O3" sqref="O3:O4"/>
    </sheetView>
  </sheetViews>
  <sheetFormatPr defaultRowHeight="15"/>
  <cols>
    <col min="2" max="2" width="8" customWidth="1"/>
    <col min="3" max="3" width="12.85546875" customWidth="1"/>
    <col min="4" max="4" width="15.5703125" customWidth="1"/>
    <col min="5" max="5" width="15.7109375" customWidth="1"/>
    <col min="6" max="6" width="13" customWidth="1"/>
    <col min="7" max="7" width="14" customWidth="1"/>
    <col min="8" max="8" width="14.140625" customWidth="1"/>
    <col min="9" max="9" width="13.42578125" customWidth="1"/>
    <col min="10" max="10" width="13.5703125" customWidth="1"/>
    <col min="11" max="11" width="13" customWidth="1"/>
    <col min="12" max="12" width="12.85546875" customWidth="1"/>
    <col min="13" max="14" width="15.7109375" customWidth="1"/>
    <col min="15" max="15" width="17.7109375" customWidth="1"/>
    <col min="16" max="16" width="12.5703125" customWidth="1"/>
    <col min="17" max="21" width="15.42578125" customWidth="1"/>
    <col min="22" max="22" width="21.85546875" customWidth="1"/>
    <col min="23" max="23" width="25.140625" customWidth="1"/>
    <col min="24" max="24" width="19.140625" customWidth="1"/>
    <col min="25" max="25" width="18.140625" customWidth="1"/>
    <col min="26" max="26" width="24.5703125" customWidth="1"/>
    <col min="27" max="29" width="13.140625" customWidth="1"/>
  </cols>
  <sheetData>
    <row r="1" spans="2:29" ht="15.75" thickBot="1">
      <c r="B1" s="7" t="s">
        <v>93</v>
      </c>
      <c r="C1" s="7"/>
      <c r="D1" s="7"/>
      <c r="E1" s="7"/>
      <c r="F1" s="7"/>
    </row>
    <row r="2" spans="2:29" ht="15.75" thickBot="1">
      <c r="C2" s="680" t="s">
        <v>94</v>
      </c>
      <c r="D2" s="681"/>
      <c r="E2" s="682"/>
      <c r="F2" s="673" t="s">
        <v>95</v>
      </c>
      <c r="G2" s="674"/>
      <c r="H2" s="674"/>
      <c r="I2" s="674"/>
      <c r="J2" s="674"/>
      <c r="K2" s="674"/>
      <c r="L2" s="674"/>
      <c r="M2" s="675"/>
      <c r="N2" s="674" t="s">
        <v>292</v>
      </c>
      <c r="O2" s="675"/>
    </row>
    <row r="3" spans="2:29" ht="28.5" customHeight="1">
      <c r="B3" s="692" t="s">
        <v>8</v>
      </c>
      <c r="C3" s="683" t="s">
        <v>96</v>
      </c>
      <c r="D3" s="685" t="s">
        <v>221</v>
      </c>
      <c r="E3" s="687" t="s">
        <v>97</v>
      </c>
      <c r="F3" s="683" t="s">
        <v>240</v>
      </c>
      <c r="G3" s="683" t="s">
        <v>98</v>
      </c>
      <c r="H3" s="685" t="s">
        <v>99</v>
      </c>
      <c r="I3" s="687" t="s">
        <v>100</v>
      </c>
      <c r="J3" s="683" t="s">
        <v>235</v>
      </c>
      <c r="K3" s="685" t="s">
        <v>236</v>
      </c>
      <c r="L3" s="687" t="s">
        <v>237</v>
      </c>
      <c r="M3" s="689" t="s">
        <v>311</v>
      </c>
      <c r="N3" s="670" t="s">
        <v>49</v>
      </c>
      <c r="O3" s="676" t="s">
        <v>101</v>
      </c>
      <c r="Q3" s="135"/>
    </row>
    <row r="4" spans="2:29" ht="28.5" customHeight="1" thickBot="1">
      <c r="B4" s="693"/>
      <c r="C4" s="684"/>
      <c r="D4" s="686"/>
      <c r="E4" s="694"/>
      <c r="F4" s="684"/>
      <c r="G4" s="684"/>
      <c r="H4" s="686"/>
      <c r="I4" s="688"/>
      <c r="J4" s="684"/>
      <c r="K4" s="686"/>
      <c r="L4" s="688"/>
      <c r="M4" s="690"/>
      <c r="N4" s="691"/>
      <c r="O4" s="677"/>
    </row>
    <row r="5" spans="2:29" ht="16.5">
      <c r="B5" s="482">
        <f t="shared" ref="B5:B6" si="0">B6-1</f>
        <v>2026</v>
      </c>
      <c r="C5" s="533">
        <f t="shared" ref="C5:C7" si="1">(F5*$U$9)</f>
        <v>0.14175244604506065</v>
      </c>
      <c r="D5" s="542">
        <f t="shared" ref="D5:D7" si="2">C5*_xlfn.XLOOKUP($B5,$Q$13:$Q$43,$U$13:$U$43)</f>
        <v>34.162339496859616</v>
      </c>
      <c r="E5" s="136">
        <f>D5*(1+0.02)^-($B5-Assumptions!$D$4)</f>
        <v>31.560721086538685</v>
      </c>
      <c r="F5" s="556">
        <f>('Construction Disbenefits'!Q31-'Construction Disbenefits'!P31)*$X$35</f>
        <v>420.10784627883169</v>
      </c>
      <c r="G5" s="543">
        <f t="shared" ref="G5:G7" si="3">($F5*R$9)</f>
        <v>1.1297739159389644E-4</v>
      </c>
      <c r="H5" s="544">
        <f t="shared" ref="H5:H7" si="4">($F5*S$9)</f>
        <v>8.9458541407191226E-7</v>
      </c>
      <c r="I5" s="545">
        <f t="shared" ref="I5:I7" si="5">($F5*T$9)</f>
        <v>2.6899137915840771E-6</v>
      </c>
      <c r="J5" s="546">
        <f t="shared" ref="J5:J7" si="6">G5*_xlfn.XLOOKUP($B5,$Q$13:$Q$43,$R$13:$R$43)</f>
        <v>2.3273342668342667</v>
      </c>
      <c r="K5" s="542">
        <f t="shared" ref="K5:K7" si="7">H5*_xlfn.XLOOKUP($B5,$Q$13:$Q$43,$S$13:$S$43)</f>
        <v>5.0186241729434276E-2</v>
      </c>
      <c r="L5" s="136">
        <f t="shared" ref="L5:L7" si="8">I5*_xlfn.XLOOKUP($B5,$Q$13:$Q$43,$T$13:$T$43)</f>
        <v>2.6724293519387805</v>
      </c>
      <c r="M5" s="547">
        <f t="shared" ref="M5:M7" si="9">SUM(J5:L5)</f>
        <v>5.0499498605024815</v>
      </c>
      <c r="N5" s="546">
        <f>M5*(1+Assumptions!$D$13)^-($B5-Assumptions!$D$4)</f>
        <v>4.4694327297915546</v>
      </c>
      <c r="O5" s="136">
        <f t="shared" ref="O5:O7" si="10">N5+E5</f>
        <v>36.030153816330241</v>
      </c>
      <c r="Q5" s="134" t="s">
        <v>222</v>
      </c>
      <c r="R5" s="134"/>
      <c r="S5" s="134"/>
      <c r="T5" s="134"/>
      <c r="U5" s="134"/>
      <c r="W5" s="7" t="s">
        <v>223</v>
      </c>
    </row>
    <row r="6" spans="2:29" ht="18">
      <c r="B6" s="559">
        <f t="shared" si="0"/>
        <v>2027</v>
      </c>
      <c r="C6" s="339">
        <f t="shared" si="1"/>
        <v>0.14175244604506065</v>
      </c>
      <c r="D6" s="340">
        <f t="shared" si="2"/>
        <v>34.729349281039859</v>
      </c>
      <c r="E6" s="137">
        <f>D6*(1+0.02)^-($B6-Assumptions!$D$4)</f>
        <v>31.455441649182241</v>
      </c>
      <c r="F6" s="557">
        <f>('Construction Disbenefits'!Q32-'Construction Disbenefits'!P32)*$X$35</f>
        <v>420.10784627883169</v>
      </c>
      <c r="G6" s="342">
        <f t="shared" si="3"/>
        <v>1.1297739159389644E-4</v>
      </c>
      <c r="H6" s="343">
        <f t="shared" si="4"/>
        <v>8.9458541407191226E-7</v>
      </c>
      <c r="I6" s="344">
        <f t="shared" si="5"/>
        <v>2.6899137915840771E-6</v>
      </c>
      <c r="J6" s="138">
        <f t="shared" si="6"/>
        <v>2.3725252234718255</v>
      </c>
      <c r="K6" s="340">
        <f t="shared" si="7"/>
        <v>5.1349202767727767E-2</v>
      </c>
      <c r="L6" s="137">
        <f t="shared" si="8"/>
        <v>2.7219237657039277</v>
      </c>
      <c r="M6" s="345">
        <f t="shared" si="9"/>
        <v>5.1457981919434808</v>
      </c>
      <c r="N6" s="138">
        <f>M6*(1+Assumptions!$D$13)^-($B6-Assumptions!$D$4)</f>
        <v>4.4173257163425763</v>
      </c>
      <c r="O6" s="137">
        <f t="shared" si="10"/>
        <v>35.872767365524815</v>
      </c>
      <c r="Q6" s="16" t="s">
        <v>102</v>
      </c>
      <c r="R6" s="142" t="s">
        <v>103</v>
      </c>
      <c r="S6" s="142" t="s">
        <v>104</v>
      </c>
      <c r="T6" s="142" t="s">
        <v>105</v>
      </c>
      <c r="U6" s="142" t="s">
        <v>106</v>
      </c>
      <c r="W6" s="16" t="s">
        <v>107</v>
      </c>
      <c r="X6" s="16" t="s">
        <v>108</v>
      </c>
      <c r="Y6" s="16" t="s">
        <v>109</v>
      </c>
      <c r="Z6" s="142" t="s">
        <v>103</v>
      </c>
      <c r="AA6" s="142" t="s">
        <v>104</v>
      </c>
      <c r="AB6" s="142" t="s">
        <v>105</v>
      </c>
      <c r="AC6" s="142" t="s">
        <v>106</v>
      </c>
    </row>
    <row r="7" spans="2:29" ht="15.75" thickBot="1">
      <c r="B7" s="540">
        <f>B8-1</f>
        <v>2028</v>
      </c>
      <c r="C7" s="548">
        <f t="shared" si="1"/>
        <v>0.14175244604506065</v>
      </c>
      <c r="D7" s="549">
        <f t="shared" si="2"/>
        <v>35.438111511265163</v>
      </c>
      <c r="E7" s="550">
        <f>D7*(1+0.02)^-($B7-Assumptions!$D$4)</f>
        <v>31.468028860726527</v>
      </c>
      <c r="F7" s="558">
        <f>('Construction Disbenefits'!Q33-'Construction Disbenefits'!P33)*$X$35</f>
        <v>420.10784627883169</v>
      </c>
      <c r="G7" s="551">
        <f t="shared" si="3"/>
        <v>1.1297739159389644E-4</v>
      </c>
      <c r="H7" s="552">
        <f t="shared" si="4"/>
        <v>8.9458541407191226E-7</v>
      </c>
      <c r="I7" s="553">
        <f t="shared" si="5"/>
        <v>2.6899137915840771E-6</v>
      </c>
      <c r="J7" s="554">
        <f t="shared" si="6"/>
        <v>2.4064184409499942</v>
      </c>
      <c r="K7" s="549">
        <f t="shared" si="7"/>
        <v>5.251216380602125E-2</v>
      </c>
      <c r="L7" s="550">
        <f t="shared" si="8"/>
        <v>2.7722251536065499</v>
      </c>
      <c r="M7" s="555">
        <f t="shared" si="9"/>
        <v>5.231155758362565</v>
      </c>
      <c r="N7" s="554">
        <f>M7*(1+Assumptions!$D$13)^-($B7-Assumptions!$D$4)</f>
        <v>4.3555766377865162</v>
      </c>
      <c r="O7" s="550">
        <f t="shared" si="10"/>
        <v>35.823605498513047</v>
      </c>
      <c r="Q7" s="143" t="s">
        <v>110</v>
      </c>
      <c r="R7" s="144">
        <f>X23</f>
        <v>0.22790983982547491</v>
      </c>
      <c r="S7" s="144">
        <f t="shared" ref="R7:U8" si="11">Y23</f>
        <v>2.0699004398994176E-3</v>
      </c>
      <c r="T7" s="144">
        <f t="shared" si="11"/>
        <v>5.8180715878192544E-3</v>
      </c>
      <c r="U7" s="144">
        <f t="shared" si="11"/>
        <v>317.22468262036</v>
      </c>
      <c r="W7" s="145">
        <v>11</v>
      </c>
      <c r="X7" s="143" t="s">
        <v>111</v>
      </c>
      <c r="Y7" s="143" t="s">
        <v>112</v>
      </c>
      <c r="Z7" s="146">
        <v>0.73690802096518104</v>
      </c>
      <c r="AA7" s="146">
        <v>2.4081927794970298E-3</v>
      </c>
      <c r="AB7" s="146">
        <v>1.78605259703664E-2</v>
      </c>
      <c r="AC7" s="146">
        <v>362.51238716242</v>
      </c>
    </row>
    <row r="8" spans="2:29">
      <c r="B8" s="541">
        <f>Assumptions!D8</f>
        <v>2029</v>
      </c>
      <c r="C8" s="339">
        <f t="shared" ref="C8:C27" si="12">(F8*$U$9)</f>
        <v>2.1977936176612243</v>
      </c>
      <c r="D8" s="340">
        <f t="shared" ref="D8:D27" si="13">C8*_xlfn.XLOOKUP($B8,$Q$13:$Q$43,$U$13:$U$43)</f>
        <v>556.04178526828969</v>
      </c>
      <c r="E8" s="137">
        <f>D8*(1+0.02)^-($B8-Assumptions!$D$4)</f>
        <v>484.06783589996184</v>
      </c>
      <c r="F8" s="341">
        <f>-'Annualized Operations'!G14*$X$35</f>
        <v>6513.5408174015893</v>
      </c>
      <c r="G8" s="342">
        <f>($F8*R$9)</f>
        <v>1.7516522438431E-3</v>
      </c>
      <c r="H8" s="343">
        <f>($F8*S$9)</f>
        <v>1.3870054227318792E-5</v>
      </c>
      <c r="I8" s="344">
        <f>($F8*T$9)</f>
        <v>4.1705632094158761E-5</v>
      </c>
      <c r="J8" s="138">
        <f t="shared" ref="J8:J27" si="14">G8*_xlfn.XLOOKUP($B8,$Q$13:$Q$43,$R$13:$R$43)</f>
        <v>38.010853691395269</v>
      </c>
      <c r="K8" s="340">
        <f t="shared" ref="K8:K27" si="15">H8*_xlfn.XLOOKUP($B8,$Q$13:$Q$43,$S$13:$S$43)</f>
        <v>0.83359025906185935</v>
      </c>
      <c r="L8" s="137">
        <f t="shared" ref="L8:L27" si="16">I8*_xlfn.XLOOKUP($B8,$Q$13:$Q$43,$T$13:$T$43)</f>
        <v>43.774231446029034</v>
      </c>
      <c r="M8" s="345">
        <f>SUM(J8:L8)</f>
        <v>82.618675396486168</v>
      </c>
      <c r="N8" s="138">
        <f>M8*(1+Assumptions!$D$13)^-($B8-Assumptions!$D$4)</f>
        <v>66.721771844226637</v>
      </c>
      <c r="O8" s="137">
        <f t="shared" ref="O8:O27" si="17">N8+E8</f>
        <v>550.78960774418852</v>
      </c>
      <c r="Q8" s="143" t="s">
        <v>113</v>
      </c>
      <c r="R8" s="144">
        <f t="shared" si="11"/>
        <v>2.099484306313415</v>
      </c>
      <c r="S8" s="144">
        <f t="shared" si="11"/>
        <v>4.7858028693373951E-3</v>
      </c>
      <c r="T8" s="144">
        <f t="shared" si="11"/>
        <v>3.2505287070740692E-2</v>
      </c>
      <c r="U8" s="144">
        <f t="shared" si="11"/>
        <v>1238.7315972924489</v>
      </c>
      <c r="W8" s="145">
        <v>21</v>
      </c>
      <c r="X8" s="143" t="s">
        <v>114</v>
      </c>
      <c r="Y8" s="143" t="s">
        <v>112</v>
      </c>
      <c r="Z8" s="146">
        <v>3.7528759722247264E-2</v>
      </c>
      <c r="AA8" s="146">
        <v>1.6122938930079201E-3</v>
      </c>
      <c r="AB8" s="146">
        <v>1.1798384221972261E-3</v>
      </c>
      <c r="AC8" s="146">
        <v>243.79125643460799</v>
      </c>
    </row>
    <row r="9" spans="2:29">
      <c r="B9" s="13">
        <f t="shared" ref="B9:B27" si="18">+B8+1</f>
        <v>2030</v>
      </c>
      <c r="C9" s="337">
        <f t="shared" si="12"/>
        <v>2.2650918282903763</v>
      </c>
      <c r="D9" s="139">
        <f t="shared" si="13"/>
        <v>582.12859987062666</v>
      </c>
      <c r="E9" s="140">
        <f>D9*(1+0.02)^-($B9-Assumptions!$D$4)</f>
        <v>496.84115478396109</v>
      </c>
      <c r="F9" s="333">
        <f>-'Annualized Operations'!G15*$X$35</f>
        <v>6712.9906830980499</v>
      </c>
      <c r="G9" s="163">
        <f t="shared" ref="G9:G27" si="19">($F9*R$9)</f>
        <v>1.8052892462931409E-3</v>
      </c>
      <c r="H9" s="164">
        <f t="shared" ref="H9:H27" si="20">($F9*S$9)</f>
        <v>1.4294766458406788E-5</v>
      </c>
      <c r="I9" s="165">
        <f t="shared" ref="I9:I27" si="21">($F9*T$9)</f>
        <v>4.2982692137713424E-5</v>
      </c>
      <c r="J9" s="335">
        <f t="shared" si="14"/>
        <v>39.716363418449099</v>
      </c>
      <c r="K9" s="139">
        <f t="shared" si="15"/>
        <v>0.87912813719201743</v>
      </c>
      <c r="L9" s="140">
        <f t="shared" si="16"/>
        <v>45.948497895215652</v>
      </c>
      <c r="M9" s="141">
        <f t="shared" ref="M9:M27" si="22">SUM(J9:L9)</f>
        <v>86.54398945085677</v>
      </c>
      <c r="N9" s="335">
        <f>M9*(1+Assumptions!$D$13)^-($B9-Assumptions!$D$4)</f>
        <v>67.790305158334277</v>
      </c>
      <c r="O9" s="140">
        <f t="shared" si="17"/>
        <v>564.63145994229535</v>
      </c>
      <c r="Q9" s="143" t="s">
        <v>152</v>
      </c>
      <c r="R9" s="210">
        <f>(R7*(1-Assumptions!$D$14)+R8*Assumptions!$D$14)/10^6</f>
        <v>2.6892473586154281E-7</v>
      </c>
      <c r="S9" s="210">
        <f>(S7*(1-Assumptions!$D$14)+S8*Assumptions!$D$14)/10^6</f>
        <v>2.1294184862192812E-9</v>
      </c>
      <c r="T9" s="210">
        <f>(T7*(1-Assumptions!$D$14)+T8*Assumptions!$D$14)/10^6</f>
        <v>6.4029125268913503E-9</v>
      </c>
      <c r="U9" s="210">
        <f>(U7*(1-Assumptions!$D$14)+U8*Assumptions!$D$14)/10^6</f>
        <v>3.3741918248053263E-4</v>
      </c>
      <c r="W9" s="145">
        <v>31</v>
      </c>
      <c r="X9" s="143" t="s">
        <v>114</v>
      </c>
      <c r="Y9" s="143" t="s">
        <v>112</v>
      </c>
      <c r="Z9" s="146">
        <v>5.602001301010253E-2</v>
      </c>
      <c r="AA9" s="146">
        <v>2.0534055761767299E-3</v>
      </c>
      <c r="AB9" s="146">
        <v>1.6834690354423085E-3</v>
      </c>
      <c r="AC9" s="146">
        <v>318.590574637288</v>
      </c>
    </row>
    <row r="10" spans="2:29">
      <c r="B10" s="13">
        <f t="shared" si="18"/>
        <v>2031</v>
      </c>
      <c r="C10" s="337">
        <f t="shared" si="12"/>
        <v>-24.342186847843543</v>
      </c>
      <c r="D10" s="139">
        <f t="shared" si="13"/>
        <v>-6377.6529541350083</v>
      </c>
      <c r="E10" s="140">
        <f>D10*(1+0.02)^-($B10-Assumptions!$D$4)</f>
        <v>-5336.5346932807843</v>
      </c>
      <c r="F10" s="333">
        <f>-'Annualized Operations'!G16*$X$35</f>
        <v>-72142.273207149279</v>
      </c>
      <c r="G10" s="163">
        <f t="shared" si="19"/>
        <v>-1.9400841766683878E-2</v>
      </c>
      <c r="H10" s="164">
        <f t="shared" si="20"/>
        <v>-1.5362109020518563E-4</v>
      </c>
      <c r="I10" s="165">
        <f t="shared" si="21"/>
        <v>-4.6192066483647433E-4</v>
      </c>
      <c r="J10" s="335">
        <f t="shared" si="14"/>
        <v>-426.81851886704533</v>
      </c>
      <c r="K10" s="139">
        <f t="shared" si="15"/>
        <v>-9.4476970476189166</v>
      </c>
      <c r="L10" s="140">
        <f t="shared" si="16"/>
        <v>-493.79319071019108</v>
      </c>
      <c r="M10" s="141">
        <f t="shared" si="22"/>
        <v>-930.05940662485534</v>
      </c>
      <c r="N10" s="335">
        <f>M10*(1+Assumptions!$D$13)^-($B10-Assumptions!$D$4)</f>
        <v>-706.61475534697831</v>
      </c>
      <c r="O10" s="140">
        <f t="shared" si="17"/>
        <v>-6043.1494486277625</v>
      </c>
      <c r="R10" s="8"/>
      <c r="S10" s="8"/>
      <c r="T10" s="8"/>
      <c r="U10" s="8"/>
      <c r="W10" s="145">
        <v>32</v>
      </c>
      <c r="X10" s="143" t="s">
        <v>114</v>
      </c>
      <c r="Y10" s="143" t="s">
        <v>112</v>
      </c>
      <c r="Z10" s="146">
        <v>8.1182565604368817E-2</v>
      </c>
      <c r="AA10" s="146">
        <v>2.2057095109159902E-3</v>
      </c>
      <c r="AB10" s="146">
        <v>2.5484529232710825E-3</v>
      </c>
      <c r="AC10" s="146">
        <v>344.00451224712401</v>
      </c>
    </row>
    <row r="11" spans="2:29">
      <c r="B11" s="13">
        <f t="shared" si="18"/>
        <v>2032</v>
      </c>
      <c r="C11" s="337">
        <f t="shared" si="12"/>
        <v>-50.94946552396965</v>
      </c>
      <c r="D11" s="139">
        <f t="shared" si="13"/>
        <v>-13501.608363851958</v>
      </c>
      <c r="E11" s="140">
        <f>D11*(1+0.02)^-($B11-Assumptions!$D$4)</f>
        <v>-11076.021466866132</v>
      </c>
      <c r="F11" s="333">
        <f>-'Annualized Operations'!G17*$X$35</f>
        <v>-150997.53709737345</v>
      </c>
      <c r="G11" s="163">
        <f>($F11*R$9)</f>
        <v>-4.0606972779654665E-2</v>
      </c>
      <c r="H11" s="164">
        <f t="shared" si="20"/>
        <v>-3.2153694686872875E-4</v>
      </c>
      <c r="I11" s="165">
        <f t="shared" si="21"/>
        <v>-9.6682402181051382E-4</v>
      </c>
      <c r="J11" s="335">
        <f t="shared" si="14"/>
        <v>-893.35340115240263</v>
      </c>
      <c r="K11" s="139">
        <f t="shared" si="15"/>
        <v>-19.774522232426818</v>
      </c>
      <c r="L11" s="140">
        <f t="shared" si="16"/>
        <v>-1033.5348793154392</v>
      </c>
      <c r="M11" s="141">
        <f t="shared" si="22"/>
        <v>-1946.6628027002687</v>
      </c>
      <c r="N11" s="335">
        <f>M11*(1+Assumptions!$D$13)^-($B11-Assumptions!$D$4)</f>
        <v>-1434.5116431210267</v>
      </c>
      <c r="O11" s="140">
        <f t="shared" si="17"/>
        <v>-12510.533109987158</v>
      </c>
      <c r="Q11" s="7" t="s">
        <v>115</v>
      </c>
      <c r="W11" s="145">
        <v>41</v>
      </c>
      <c r="X11" s="143" t="s">
        <v>116</v>
      </c>
      <c r="Y11" s="143" t="s">
        <v>90</v>
      </c>
      <c r="Z11" s="146">
        <v>2.237602310868759</v>
      </c>
      <c r="AA11" s="146">
        <v>5.5717265564873301E-3</v>
      </c>
      <c r="AB11" s="146">
        <v>1.658066855283262E-2</v>
      </c>
      <c r="AC11" s="146">
        <v>1406.7823013201701</v>
      </c>
    </row>
    <row r="12" spans="2:29" ht="18">
      <c r="B12" s="13">
        <f t="shared" si="18"/>
        <v>2033</v>
      </c>
      <c r="C12" s="337">
        <f t="shared" si="12"/>
        <v>-77.55674420011772</v>
      </c>
      <c r="D12" s="139">
        <f t="shared" si="13"/>
        <v>-20940.320934031784</v>
      </c>
      <c r="E12" s="140">
        <f>D12*(1+0.02)^-($B12-Assumptions!$D$4)</f>
        <v>-16841.526153993236</v>
      </c>
      <c r="F12" s="333">
        <f>-'Annualized Operations'!G18*$X$35</f>
        <v>-229852.80098766272</v>
      </c>
      <c r="G12" s="163">
        <f t="shared" si="19"/>
        <v>-6.1813103792642959E-2</v>
      </c>
      <c r="H12" s="164">
        <f t="shared" si="20"/>
        <v>-4.8945280353241045E-4</v>
      </c>
      <c r="I12" s="165">
        <f t="shared" si="21"/>
        <v>-1.4717273787849701E-3</v>
      </c>
      <c r="J12" s="335">
        <f t="shared" si="14"/>
        <v>-1359.8882834381452</v>
      </c>
      <c r="K12" s="139">
        <f t="shared" si="15"/>
        <v>-30.101347417243243</v>
      </c>
      <c r="L12" s="140">
        <f t="shared" si="16"/>
        <v>-1573.2765679211332</v>
      </c>
      <c r="M12" s="141">
        <f t="shared" si="22"/>
        <v>-2963.2661987765214</v>
      </c>
      <c r="N12" s="335">
        <f>M12*(1+Assumptions!$D$13)^-($B12-Assumptions!$D$4)</f>
        <v>-2117.997041066621</v>
      </c>
      <c r="O12" s="140">
        <f t="shared" si="17"/>
        <v>-18959.523195059857</v>
      </c>
      <c r="Q12" s="142" t="s">
        <v>4</v>
      </c>
      <c r="R12" s="142" t="s">
        <v>103</v>
      </c>
      <c r="S12" s="142" t="s">
        <v>104</v>
      </c>
      <c r="T12" s="142" t="s">
        <v>105</v>
      </c>
      <c r="U12" s="142" t="s">
        <v>106</v>
      </c>
      <c r="W12" s="145">
        <v>42</v>
      </c>
      <c r="X12" s="143" t="s">
        <v>116</v>
      </c>
      <c r="Y12" s="143" t="s">
        <v>90</v>
      </c>
      <c r="Z12" s="146">
        <v>1.9658170115512426</v>
      </c>
      <c r="AA12" s="146">
        <v>5.4889920561794897E-3</v>
      </c>
      <c r="AB12" s="146">
        <v>1.2308421676718551E-2</v>
      </c>
      <c r="AC12" s="146">
        <v>1391.9649569298599</v>
      </c>
    </row>
    <row r="13" spans="2:29">
      <c r="B13" s="13">
        <f t="shared" si="18"/>
        <v>2034</v>
      </c>
      <c r="C13" s="337">
        <f t="shared" si="12"/>
        <v>-104.16402287625142</v>
      </c>
      <c r="D13" s="139">
        <f t="shared" si="13"/>
        <v>-28540.942268092891</v>
      </c>
      <c r="E13" s="140">
        <f>D13*(1+0.02)^-($B13-Assumptions!$D$4)</f>
        <v>-22504.338203061288</v>
      </c>
      <c r="F13" s="333">
        <f>-'Annualized Operations'!G19*$X$35</f>
        <v>-308708.06487790943</v>
      </c>
      <c r="G13" s="163">
        <f t="shared" si="19"/>
        <v>-8.3019234805619818E-2</v>
      </c>
      <c r="H13" s="164">
        <f t="shared" si="20"/>
        <v>-6.5736866019600157E-4</v>
      </c>
      <c r="I13" s="165">
        <f t="shared" si="21"/>
        <v>-1.9766307357591542E-3</v>
      </c>
      <c r="J13" s="335">
        <f t="shared" si="14"/>
        <v>-1826.423165723636</v>
      </c>
      <c r="K13" s="139">
        <f t="shared" si="15"/>
        <v>-40.428172602054097</v>
      </c>
      <c r="L13" s="140">
        <f t="shared" si="16"/>
        <v>-2113.0182565265359</v>
      </c>
      <c r="M13" s="141">
        <f t="shared" si="22"/>
        <v>-3979.8695948522259</v>
      </c>
      <c r="N13" s="335">
        <f>M13*(1+Assumptions!$D$13)^-($B13-Assumptions!$D$4)</f>
        <v>-2759.0835934318775</v>
      </c>
      <c r="O13" s="140">
        <f t="shared" si="17"/>
        <v>-25263.421796493167</v>
      </c>
      <c r="Q13" s="147">
        <v>2023</v>
      </c>
      <c r="R13" s="158">
        <v>19800</v>
      </c>
      <c r="S13" s="158">
        <v>52900</v>
      </c>
      <c r="T13" s="158">
        <v>951000</v>
      </c>
      <c r="U13" s="158">
        <v>228</v>
      </c>
      <c r="W13" s="145">
        <v>43</v>
      </c>
      <c r="X13" s="143" t="s">
        <v>116</v>
      </c>
      <c r="Y13" s="143" t="s">
        <v>90</v>
      </c>
      <c r="Z13" s="146">
        <v>1.9469017025302577</v>
      </c>
      <c r="AA13" s="146">
        <v>3.66910948950592E-3</v>
      </c>
      <c r="AB13" s="146">
        <v>5.5096995199883071E-2</v>
      </c>
      <c r="AC13" s="146">
        <v>1071.1129065416801</v>
      </c>
    </row>
    <row r="14" spans="2:29">
      <c r="B14" s="13">
        <f t="shared" si="18"/>
        <v>2035</v>
      </c>
      <c r="C14" s="337">
        <f t="shared" si="12"/>
        <v>-130.77130155237754</v>
      </c>
      <c r="D14" s="139">
        <f t="shared" si="13"/>
        <v>-36354.421831560954</v>
      </c>
      <c r="E14" s="140">
        <f>D14*(1+0.02)^-($B14-Assumptions!$D$4)</f>
        <v>-28103.150506277056</v>
      </c>
      <c r="F14" s="333">
        <f>-'Annualized Operations'!G20*$X$35</f>
        <v>-387563.32876813359</v>
      </c>
      <c r="G14" s="163">
        <f t="shared" si="19"/>
        <v>-0.1042253658185906</v>
      </c>
      <c r="H14" s="164">
        <f t="shared" si="20"/>
        <v>-8.2528451685954466E-4</v>
      </c>
      <c r="I14" s="165">
        <f t="shared" si="21"/>
        <v>-2.4815340927331936E-3</v>
      </c>
      <c r="J14" s="335">
        <f t="shared" si="14"/>
        <v>-2292.958048008993</v>
      </c>
      <c r="K14" s="139">
        <f t="shared" si="15"/>
        <v>-50.754997786861999</v>
      </c>
      <c r="L14" s="140">
        <f t="shared" si="16"/>
        <v>-2652.7599451317838</v>
      </c>
      <c r="M14" s="141">
        <f t="shared" si="22"/>
        <v>-4996.4729909276393</v>
      </c>
      <c r="N14" s="335">
        <f>M14*(1+Assumptions!$D$13)^-($B14-Assumptions!$D$4)</f>
        <v>-3359.7030639785489</v>
      </c>
      <c r="O14" s="140">
        <f t="shared" si="17"/>
        <v>-31462.853570255604</v>
      </c>
      <c r="Q14" s="147">
        <v>2024</v>
      </c>
      <c r="R14" s="158">
        <v>20100</v>
      </c>
      <c r="S14" s="158">
        <v>53800</v>
      </c>
      <c r="T14" s="158">
        <v>963200</v>
      </c>
      <c r="U14" s="158">
        <v>233</v>
      </c>
      <c r="W14" s="145">
        <v>51</v>
      </c>
      <c r="X14" s="143" t="s">
        <v>117</v>
      </c>
      <c r="Y14" s="143" t="s">
        <v>90</v>
      </c>
      <c r="Z14" s="146">
        <v>2.48942987946789</v>
      </c>
      <c r="AA14" s="146">
        <v>5.2833773025508703E-3</v>
      </c>
      <c r="AB14" s="146">
        <v>3.4321389281753531E-2</v>
      </c>
      <c r="AC14" s="146">
        <v>1427.83446247497</v>
      </c>
    </row>
    <row r="15" spans="2:29">
      <c r="B15" s="13">
        <f t="shared" si="18"/>
        <v>2036</v>
      </c>
      <c r="C15" s="337">
        <f t="shared" si="12"/>
        <v>-157.37858022851103</v>
      </c>
      <c r="D15" s="139">
        <f t="shared" si="13"/>
        <v>-44380.759624440107</v>
      </c>
      <c r="E15" s="140">
        <f>D15*(1+0.02)^-($B15-Assumptions!$D$4)</f>
        <v>-33635.069291619511</v>
      </c>
      <c r="F15" s="333">
        <f>-'Annualized Operations'!G21*$X$35</f>
        <v>-466418.5926583797</v>
      </c>
      <c r="G15" s="163">
        <f t="shared" si="19"/>
        <v>-0.12543149683156729</v>
      </c>
      <c r="H15" s="164">
        <f t="shared" si="20"/>
        <v>-9.9320037352313437E-4</v>
      </c>
      <c r="I15" s="165">
        <f t="shared" si="21"/>
        <v>-2.9864374497073735E-3</v>
      </c>
      <c r="J15" s="335">
        <f t="shared" si="14"/>
        <v>-2759.4929302944802</v>
      </c>
      <c r="K15" s="139">
        <f t="shared" si="15"/>
        <v>-61.081822971672764</v>
      </c>
      <c r="L15" s="140">
        <f t="shared" si="16"/>
        <v>-3192.5016337371821</v>
      </c>
      <c r="M15" s="141">
        <f t="shared" si="22"/>
        <v>-6013.0763870033352</v>
      </c>
      <c r="N15" s="335">
        <f>M15*(1+Assumptions!$D$13)^-($B15-Assumptions!$D$4)</f>
        <v>-3921.7093802049999</v>
      </c>
      <c r="O15" s="140">
        <f t="shared" si="17"/>
        <v>-37556.778671824512</v>
      </c>
      <c r="Q15" s="147">
        <v>2025</v>
      </c>
      <c r="R15" s="158">
        <v>20300</v>
      </c>
      <c r="S15" s="158">
        <v>54800</v>
      </c>
      <c r="T15" s="158">
        <v>975500</v>
      </c>
      <c r="U15" s="158">
        <v>237</v>
      </c>
      <c r="W15" s="145">
        <v>52</v>
      </c>
      <c r="X15" s="143" t="s">
        <v>117</v>
      </c>
      <c r="Y15" s="143" t="s">
        <v>90</v>
      </c>
      <c r="Z15" s="146">
        <v>0.95074648895471525</v>
      </c>
      <c r="AA15" s="146">
        <v>3.5321878667988801E-3</v>
      </c>
      <c r="AB15" s="146">
        <v>1.5158170819293781E-2</v>
      </c>
      <c r="AC15" s="146">
        <v>862.616489254057</v>
      </c>
    </row>
    <row r="16" spans="2:29">
      <c r="B16" s="13">
        <f t="shared" si="18"/>
        <v>2037</v>
      </c>
      <c r="C16" s="337">
        <f t="shared" si="12"/>
        <v>-183.98585890465213</v>
      </c>
      <c r="D16" s="139">
        <f t="shared" si="13"/>
        <v>-52803.941505635165</v>
      </c>
      <c r="E16" s="140">
        <f>D16*(1+0.02)^-($B16-Assumptions!$D$4)</f>
        <v>-39234.106340139078</v>
      </c>
      <c r="F16" s="333">
        <f>-'Annualized Operations'!G22*$X$35</f>
        <v>-545273.85654864833</v>
      </c>
      <c r="G16" s="163">
        <f t="shared" si="19"/>
        <v>-0.14663762784455003</v>
      </c>
      <c r="H16" s="164">
        <f t="shared" si="20"/>
        <v>-1.1611162301867722E-3</v>
      </c>
      <c r="I16" s="165">
        <f t="shared" si="21"/>
        <v>-3.4913408066816975E-3</v>
      </c>
      <c r="J16" s="335">
        <f t="shared" si="14"/>
        <v>-3226.0278125801005</v>
      </c>
      <c r="K16" s="139">
        <f t="shared" si="15"/>
        <v>-71.408648156486493</v>
      </c>
      <c r="L16" s="140">
        <f t="shared" si="16"/>
        <v>-3732.2433223427347</v>
      </c>
      <c r="M16" s="141">
        <f t="shared" si="22"/>
        <v>-7029.6797830793221</v>
      </c>
      <c r="N16" s="335">
        <f>M16*(1+Assumptions!$D$13)^-($B16-Assumptions!$D$4)</f>
        <v>-4446.8815676251115</v>
      </c>
      <c r="O16" s="140">
        <f t="shared" si="17"/>
        <v>-43680.987907764189</v>
      </c>
      <c r="Q16" s="147">
        <v>2026</v>
      </c>
      <c r="R16" s="158">
        <v>20600</v>
      </c>
      <c r="S16" s="158">
        <v>56100</v>
      </c>
      <c r="T16" s="158">
        <v>993500</v>
      </c>
      <c r="U16" s="158">
        <v>241</v>
      </c>
      <c r="W16" s="145">
        <v>53</v>
      </c>
      <c r="X16" s="143" t="s">
        <v>117</v>
      </c>
      <c r="Y16" s="143" t="s">
        <v>90</v>
      </c>
      <c r="Z16" s="146">
        <v>0.89067775827536644</v>
      </c>
      <c r="AA16" s="146">
        <v>3.4020765235606102E-3</v>
      </c>
      <c r="AB16" s="146">
        <v>1.349939126139434E-2</v>
      </c>
      <c r="AC16" s="146">
        <v>829.46088804247995</v>
      </c>
    </row>
    <row r="17" spans="2:29">
      <c r="B17" s="13">
        <f t="shared" si="18"/>
        <v>2038</v>
      </c>
      <c r="C17" s="337">
        <f t="shared" si="12"/>
        <v>-210.59313758078562</v>
      </c>
      <c r="D17" s="139">
        <f t="shared" si="13"/>
        <v>-61072.00989842783</v>
      </c>
      <c r="E17" s="140">
        <f>D17*(1+0.02)^-($B17-Assumptions!$D$4)</f>
        <v>-44487.649945624042</v>
      </c>
      <c r="F17" s="333">
        <f>-'Annualized Operations'!G23*$X$35</f>
        <v>-624129.12043889437</v>
      </c>
      <c r="G17" s="163">
        <f t="shared" si="19"/>
        <v>-0.1678437588575267</v>
      </c>
      <c r="H17" s="164">
        <f t="shared" si="20"/>
        <v>-1.3290320868503619E-3</v>
      </c>
      <c r="I17" s="165">
        <f t="shared" si="21"/>
        <v>-3.9962441636558774E-3</v>
      </c>
      <c r="J17" s="335">
        <f t="shared" si="14"/>
        <v>-3692.5626948655872</v>
      </c>
      <c r="K17" s="139">
        <f t="shared" si="15"/>
        <v>-81.735473341297265</v>
      </c>
      <c r="L17" s="140">
        <f t="shared" si="16"/>
        <v>-4271.9850109481331</v>
      </c>
      <c r="M17" s="141">
        <f t="shared" si="22"/>
        <v>-8046.2831791550179</v>
      </c>
      <c r="N17" s="335">
        <f>M17*(1+Assumptions!$D$13)^-($B17-Assumptions!$D$4)</f>
        <v>-4936.9265779626812</v>
      </c>
      <c r="O17" s="140">
        <f t="shared" si="17"/>
        <v>-49424.576523586722</v>
      </c>
      <c r="Q17" s="147">
        <v>2027</v>
      </c>
      <c r="R17" s="158">
        <v>21000</v>
      </c>
      <c r="S17" s="158">
        <v>57400</v>
      </c>
      <c r="T17" s="158">
        <v>1011900</v>
      </c>
      <c r="U17" s="158">
        <v>245</v>
      </c>
      <c r="W17" s="145">
        <v>54</v>
      </c>
      <c r="X17" s="143" t="s">
        <v>117</v>
      </c>
      <c r="Y17" s="143" t="s">
        <v>90</v>
      </c>
      <c r="Z17" s="146">
        <v>1.6481032166429217</v>
      </c>
      <c r="AA17" s="146">
        <v>6.0326542026046303E-3</v>
      </c>
      <c r="AB17" s="146">
        <v>4.2864875162321965E-2</v>
      </c>
      <c r="AC17" s="146">
        <v>1166.1048437433201</v>
      </c>
    </row>
    <row r="18" spans="2:29">
      <c r="B18" s="13">
        <f t="shared" si="18"/>
        <v>2039</v>
      </c>
      <c r="C18" s="337">
        <f t="shared" si="12"/>
        <v>-237.20041625691911</v>
      </c>
      <c r="D18" s="139">
        <f t="shared" si="13"/>
        <v>-69736.922379534226</v>
      </c>
      <c r="E18" s="140">
        <f>D18*(1+0.02)^-($B18-Assumptions!$D$4)</f>
        <v>-49803.499184986482</v>
      </c>
      <c r="F18" s="333">
        <f>-'Annualized Operations'!G24*$X$35</f>
        <v>-702984.38432914042</v>
      </c>
      <c r="G18" s="163">
        <f t="shared" si="19"/>
        <v>-0.18904988987050339</v>
      </c>
      <c r="H18" s="164">
        <f t="shared" si="20"/>
        <v>-1.4969479435139516E-3</v>
      </c>
      <c r="I18" s="165">
        <f t="shared" si="21"/>
        <v>-4.5011475206300569E-3</v>
      </c>
      <c r="J18" s="335">
        <f t="shared" si="14"/>
        <v>-4159.0975771510748</v>
      </c>
      <c r="K18" s="139">
        <f t="shared" si="15"/>
        <v>-92.062298526108023</v>
      </c>
      <c r="L18" s="140">
        <f t="shared" si="16"/>
        <v>-4811.726699553531</v>
      </c>
      <c r="M18" s="141">
        <f t="shared" si="22"/>
        <v>-9062.8865752307138</v>
      </c>
      <c r="N18" s="335">
        <f>M18*(1+Assumptions!$D$13)^-($B18-Assumptions!$D$4)</f>
        <v>-5393.4820149882617</v>
      </c>
      <c r="O18" s="140">
        <f t="shared" si="17"/>
        <v>-55196.981199974747</v>
      </c>
      <c r="Q18" s="147">
        <v>2028</v>
      </c>
      <c r="R18" s="158">
        <v>21300</v>
      </c>
      <c r="S18" s="158">
        <v>58700</v>
      </c>
      <c r="T18" s="158">
        <v>1030600</v>
      </c>
      <c r="U18" s="158">
        <v>250</v>
      </c>
      <c r="W18" s="145">
        <v>61</v>
      </c>
      <c r="X18" s="143" t="s">
        <v>118</v>
      </c>
      <c r="Y18" s="143" t="s">
        <v>90</v>
      </c>
      <c r="Z18" s="146">
        <v>3.0234078113615883</v>
      </c>
      <c r="AA18" s="146">
        <v>4.9760807160904204E-3</v>
      </c>
      <c r="AB18" s="146">
        <v>4.3407648080982714E-2</v>
      </c>
      <c r="AC18" s="146">
        <v>1463.90880302132</v>
      </c>
    </row>
    <row r="19" spans="2:29">
      <c r="B19" s="13">
        <f t="shared" si="18"/>
        <v>2040</v>
      </c>
      <c r="C19" s="337">
        <f t="shared" si="12"/>
        <v>-263.80769493304547</v>
      </c>
      <c r="D19" s="139">
        <f t="shared" si="13"/>
        <v>-78878.500784980599</v>
      </c>
      <c r="E19" s="140">
        <f>D19*(1+0.02)^-($B19-Assumptions!$D$4)</f>
        <v>-55227.521807837446</v>
      </c>
      <c r="F19" s="333">
        <f>-'Annualized Operations'!G25*$X$35</f>
        <v>-781839.64821936528</v>
      </c>
      <c r="G19" s="163">
        <f t="shared" si="19"/>
        <v>-0.21025602088347436</v>
      </c>
      <c r="H19" s="164">
        <f t="shared" si="20"/>
        <v>-1.6648638001774962E-3</v>
      </c>
      <c r="I19" s="165">
        <f t="shared" si="21"/>
        <v>-5.0060508776041002E-3</v>
      </c>
      <c r="J19" s="335">
        <f t="shared" si="14"/>
        <v>-4625.632459436436</v>
      </c>
      <c r="K19" s="139">
        <f t="shared" si="15"/>
        <v>-102.38912371091602</v>
      </c>
      <c r="L19" s="140">
        <f t="shared" si="16"/>
        <v>-5351.4683881587835</v>
      </c>
      <c r="M19" s="141">
        <f t="shared" si="22"/>
        <v>-10079.489971306135</v>
      </c>
      <c r="N19" s="335">
        <f>M19*(1+Assumptions!$D$13)^-($B19-Assumptions!$D$4)</f>
        <v>-5818.1187615942126</v>
      </c>
      <c r="O19" s="140">
        <f t="shared" si="17"/>
        <v>-61045.640569431656</v>
      </c>
      <c r="Q19" s="147">
        <v>2029</v>
      </c>
      <c r="R19" s="158">
        <v>21700</v>
      </c>
      <c r="S19" s="158">
        <v>60100</v>
      </c>
      <c r="T19" s="158">
        <v>1049600</v>
      </c>
      <c r="U19" s="158">
        <v>253</v>
      </c>
      <c r="W19" s="145">
        <v>62</v>
      </c>
      <c r="X19" s="143" t="s">
        <v>118</v>
      </c>
      <c r="Y19" s="143" t="s">
        <v>90</v>
      </c>
      <c r="Z19" s="146">
        <v>3.7426725771679936</v>
      </c>
      <c r="AA19" s="146">
        <v>5.1160211102583997E-3</v>
      </c>
      <c r="AB19" s="146">
        <v>5.9310023601485649E-2</v>
      </c>
      <c r="AC19" s="146">
        <v>1528.79872430418</v>
      </c>
    </row>
    <row r="20" spans="2:29">
      <c r="B20" s="13">
        <f t="shared" si="18"/>
        <v>2041</v>
      </c>
      <c r="C20" s="337">
        <f t="shared" si="12"/>
        <v>-290.41497360917896</v>
      </c>
      <c r="D20" s="139">
        <f t="shared" si="13"/>
        <v>-87995.73700358122</v>
      </c>
      <c r="E20" s="140">
        <f>D20*(1+0.02)^-($B20-Assumptions!$D$4)</f>
        <v>-60402.980607908627</v>
      </c>
      <c r="F20" s="333">
        <f>-'Annualized Operations'!G26*$X$35</f>
        <v>-860694.91210961132</v>
      </c>
      <c r="G20" s="163">
        <f t="shared" si="19"/>
        <v>-0.23146215189645103</v>
      </c>
      <c r="H20" s="164">
        <f t="shared" si="20"/>
        <v>-1.832779656841086E-3</v>
      </c>
      <c r="I20" s="165">
        <f t="shared" si="21"/>
        <v>-5.5109542345782797E-3</v>
      </c>
      <c r="J20" s="335">
        <f t="shared" si="14"/>
        <v>-5092.1673417219226</v>
      </c>
      <c r="K20" s="139">
        <f t="shared" si="15"/>
        <v>-112.71594889572678</v>
      </c>
      <c r="L20" s="140">
        <f t="shared" si="16"/>
        <v>-5891.2100767641814</v>
      </c>
      <c r="M20" s="141">
        <f t="shared" si="22"/>
        <v>-11096.093367381831</v>
      </c>
      <c r="N20" s="335">
        <f>M20*(1+Assumptions!$D$13)^-($B20-Assumptions!$D$4)</f>
        <v>-6212.3435115861912</v>
      </c>
      <c r="O20" s="140">
        <f t="shared" si="17"/>
        <v>-66615.32411949482</v>
      </c>
      <c r="Q20" s="147">
        <v>2030</v>
      </c>
      <c r="R20" s="158">
        <v>22000</v>
      </c>
      <c r="S20" s="158">
        <v>61500</v>
      </c>
      <c r="T20" s="158">
        <v>1069000</v>
      </c>
      <c r="U20" s="158">
        <v>257</v>
      </c>
    </row>
    <row r="21" spans="2:29" ht="16.5">
      <c r="B21" s="13">
        <f t="shared" si="18"/>
        <v>2042</v>
      </c>
      <c r="C21" s="337">
        <f t="shared" si="12"/>
        <v>-317.02225228531984</v>
      </c>
      <c r="D21" s="139">
        <f t="shared" si="13"/>
        <v>-97642.853703878514</v>
      </c>
      <c r="E21" s="140">
        <f>D21*(1+0.02)^-($B21-Assumptions!$D$4)</f>
        <v>-65710.841425574181</v>
      </c>
      <c r="F21" s="333">
        <f>-'Annualized Operations'!G27*$X$35</f>
        <v>-939550.17599987937</v>
      </c>
      <c r="G21" s="163">
        <f t="shared" si="19"/>
        <v>-0.25266828290943361</v>
      </c>
      <c r="H21" s="164">
        <f t="shared" si="20"/>
        <v>-2.0006955135047225E-3</v>
      </c>
      <c r="I21" s="165">
        <f t="shared" si="21"/>
        <v>-6.0158575915526006E-3</v>
      </c>
      <c r="J21" s="335">
        <f t="shared" si="14"/>
        <v>-5558.7022240075394</v>
      </c>
      <c r="K21" s="139">
        <f t="shared" si="15"/>
        <v>-123.04277408054044</v>
      </c>
      <c r="L21" s="140">
        <f t="shared" si="16"/>
        <v>-6430.9517653697303</v>
      </c>
      <c r="M21" s="141">
        <f t="shared" si="22"/>
        <v>-12112.69676345781</v>
      </c>
      <c r="N21" s="335">
        <f>M21*(1+Assumptions!$D$13)^-($B21-Assumptions!$D$4)</f>
        <v>-6577.6012095426613</v>
      </c>
      <c r="O21" s="140">
        <f t="shared" si="17"/>
        <v>-72288.442635116837</v>
      </c>
      <c r="Q21" s="147">
        <v>2031</v>
      </c>
      <c r="R21" s="158">
        <v>22000</v>
      </c>
      <c r="S21" s="158">
        <v>61500</v>
      </c>
      <c r="T21" s="158">
        <v>1069000</v>
      </c>
      <c r="U21" s="158">
        <v>262</v>
      </c>
      <c r="W21" s="7" t="s">
        <v>224</v>
      </c>
    </row>
    <row r="22" spans="2:29">
      <c r="B22" s="13">
        <f t="shared" si="18"/>
        <v>2043</v>
      </c>
      <c r="C22" s="337">
        <f t="shared" si="12"/>
        <v>-343.62953096145355</v>
      </c>
      <c r="D22" s="139">
        <f t="shared" si="13"/>
        <v>-107212.41365997351</v>
      </c>
      <c r="E22" s="140">
        <f>D22*(1+0.02)^-($B22-Assumptions!$D$4)</f>
        <v>-70736.157790671481</v>
      </c>
      <c r="F22" s="333">
        <f>-'Annualized Operations'!G28*$X$35</f>
        <v>-1018405.439890126</v>
      </c>
      <c r="G22" s="163">
        <f t="shared" si="19"/>
        <v>-0.27387441392241046</v>
      </c>
      <c r="H22" s="164">
        <f t="shared" si="20"/>
        <v>-2.1686113701683135E-3</v>
      </c>
      <c r="I22" s="165">
        <f t="shared" si="21"/>
        <v>-6.5207609485267836E-3</v>
      </c>
      <c r="J22" s="335">
        <f t="shared" si="14"/>
        <v>-6025.2371062930306</v>
      </c>
      <c r="K22" s="139">
        <f t="shared" si="15"/>
        <v>-133.36959926535127</v>
      </c>
      <c r="L22" s="140">
        <f t="shared" si="16"/>
        <v>-6970.6934539751319</v>
      </c>
      <c r="M22" s="141">
        <f t="shared" si="22"/>
        <v>-13129.300159533514</v>
      </c>
      <c r="N22" s="335">
        <f>M22*(1+Assumptions!$D$13)^-($B22-Assumptions!$D$4)</f>
        <v>-6915.2774019842882</v>
      </c>
      <c r="O22" s="140">
        <f t="shared" si="17"/>
        <v>-77651.435192655772</v>
      </c>
      <c r="Q22" s="147">
        <v>2032</v>
      </c>
      <c r="R22" s="158">
        <v>22000</v>
      </c>
      <c r="S22" s="158">
        <v>61500</v>
      </c>
      <c r="T22" s="158">
        <v>1069000</v>
      </c>
      <c r="U22" s="158">
        <v>265</v>
      </c>
      <c r="W22" s="148" t="s">
        <v>102</v>
      </c>
      <c r="X22" s="142" t="s">
        <v>119</v>
      </c>
      <c r="Y22" s="142" t="s">
        <v>120</v>
      </c>
      <c r="Z22" s="142" t="s">
        <v>121</v>
      </c>
      <c r="AA22" s="142" t="s">
        <v>122</v>
      </c>
    </row>
    <row r="23" spans="2:29">
      <c r="B23" s="13">
        <f t="shared" si="18"/>
        <v>2044</v>
      </c>
      <c r="C23" s="337">
        <f t="shared" si="12"/>
        <v>-370.23680963758727</v>
      </c>
      <c r="D23" s="139">
        <f t="shared" si="13"/>
        <v>-117365.06865511516</v>
      </c>
      <c r="E23" s="140">
        <f>D23*(1+0.02)^-($B23-Assumptions!$D$4)</f>
        <v>-75916.307875001512</v>
      </c>
      <c r="F23" s="333">
        <f>-'Annualized Operations'!G29*$X$35</f>
        <v>-1097260.7037803729</v>
      </c>
      <c r="G23" s="163">
        <f t="shared" si="19"/>
        <v>-0.29508054493538732</v>
      </c>
      <c r="H23" s="164">
        <f t="shared" si="20"/>
        <v>-2.3365272268319045E-3</v>
      </c>
      <c r="I23" s="165">
        <f t="shared" si="21"/>
        <v>-7.0256643055009683E-3</v>
      </c>
      <c r="J23" s="335">
        <f t="shared" si="14"/>
        <v>-6491.7719885785209</v>
      </c>
      <c r="K23" s="139">
        <f t="shared" si="15"/>
        <v>-143.69642445016214</v>
      </c>
      <c r="L23" s="140">
        <f t="shared" si="16"/>
        <v>-7510.4351425805353</v>
      </c>
      <c r="M23" s="141">
        <f t="shared" si="22"/>
        <v>-14145.903555609219</v>
      </c>
      <c r="N23" s="335">
        <f>M23*(1+Assumptions!$D$13)^-($B23-Assumptions!$D$4)</f>
        <v>-7226.7005029807706</v>
      </c>
      <c r="O23" s="140">
        <f t="shared" si="17"/>
        <v>-83143.008377982289</v>
      </c>
      <c r="Q23" s="147">
        <v>2033</v>
      </c>
      <c r="R23" s="158">
        <v>22000</v>
      </c>
      <c r="S23" s="158">
        <v>61500</v>
      </c>
      <c r="T23" s="158">
        <v>1069000</v>
      </c>
      <c r="U23" s="158">
        <v>270</v>
      </c>
      <c r="W23" s="148" t="s">
        <v>110</v>
      </c>
      <c r="X23" s="149">
        <f>AVERAGE(Z7:Z10)</f>
        <v>0.22790983982547491</v>
      </c>
      <c r="Y23" s="149">
        <f>AVERAGE(AA7:AA10)</f>
        <v>2.0699004398994176E-3</v>
      </c>
      <c r="Z23" s="149">
        <f>AVERAGE(AB7:AB10)</f>
        <v>5.8180715878192544E-3</v>
      </c>
      <c r="AA23" s="149">
        <f>AVERAGE(AC7:AC10)</f>
        <v>317.22468262036</v>
      </c>
    </row>
    <row r="24" spans="2:29">
      <c r="B24" s="13">
        <f t="shared" si="18"/>
        <v>2045</v>
      </c>
      <c r="C24" s="337">
        <f t="shared" si="12"/>
        <v>-396.84408831371309</v>
      </c>
      <c r="D24" s="139">
        <f t="shared" si="13"/>
        <v>-127386.9523487019</v>
      </c>
      <c r="E24" s="140">
        <f>D24*(1+0.02)^-($B24-Assumptions!$D$4)</f>
        <v>-80783.189669394269</v>
      </c>
      <c r="F24" s="333">
        <f>-'Annualized Operations'!G30*$X$35</f>
        <v>-1176115.9676705962</v>
      </c>
      <c r="G24" s="163">
        <f t="shared" si="19"/>
        <v>-0.31628667594835791</v>
      </c>
      <c r="H24" s="164">
        <f t="shared" si="20"/>
        <v>-2.5044430834954461E-3</v>
      </c>
      <c r="I24" s="165">
        <f t="shared" si="21"/>
        <v>-7.530567662475003E-3</v>
      </c>
      <c r="J24" s="335">
        <f t="shared" si="14"/>
        <v>-6958.3068708638739</v>
      </c>
      <c r="K24" s="139">
        <f t="shared" si="15"/>
        <v>-154.02324963496994</v>
      </c>
      <c r="L24" s="140">
        <f t="shared" si="16"/>
        <v>-8050.1768311857786</v>
      </c>
      <c r="M24" s="141">
        <f t="shared" si="22"/>
        <v>-15162.506951684623</v>
      </c>
      <c r="N24" s="335">
        <f>M24*(1+Assumptions!$D$13)^-($B24-Assumptions!$D$4)</f>
        <v>-7513.1439772126178</v>
      </c>
      <c r="O24" s="140">
        <f t="shared" si="17"/>
        <v>-88296.333646606887</v>
      </c>
      <c r="Q24" s="147">
        <v>2034</v>
      </c>
      <c r="R24" s="158">
        <v>22000</v>
      </c>
      <c r="S24" s="158">
        <v>61500</v>
      </c>
      <c r="T24" s="158">
        <v>1069000</v>
      </c>
      <c r="U24" s="158">
        <v>274</v>
      </c>
      <c r="W24" s="148" t="s">
        <v>113</v>
      </c>
      <c r="X24" s="149">
        <f>AVERAGE(Z11:Z19)</f>
        <v>2.099484306313415</v>
      </c>
      <c r="Y24" s="149">
        <f>AVERAGE(AA11:AA19)</f>
        <v>4.7858028693373951E-3</v>
      </c>
      <c r="Z24" s="149">
        <f>AVERAGE(AB11:AB19)</f>
        <v>3.2505287070740692E-2</v>
      </c>
      <c r="AA24" s="149">
        <f>AVERAGE(AC11:AC19)</f>
        <v>1238.7315972924489</v>
      </c>
    </row>
    <row r="25" spans="2:29">
      <c r="B25" s="13">
        <f t="shared" si="18"/>
        <v>2046</v>
      </c>
      <c r="C25" s="337">
        <f t="shared" si="12"/>
        <v>-423.45136698986187</v>
      </c>
      <c r="D25" s="139">
        <f t="shared" si="13"/>
        <v>-138045.14563869496</v>
      </c>
      <c r="E25" s="140">
        <f>D25*(1+0.02)^-($B25-Assumptions!$D$4)</f>
        <v>-85825.633349223965</v>
      </c>
      <c r="F25" s="333">
        <f>-'Annualized Operations'!G31*$X$35</f>
        <v>-1254971.2315608875</v>
      </c>
      <c r="G25" s="163">
        <f t="shared" si="19"/>
        <v>-0.33749280696134676</v>
      </c>
      <c r="H25" s="164">
        <f t="shared" si="20"/>
        <v>-2.6723589401591321E-3</v>
      </c>
      <c r="I25" s="165">
        <f t="shared" si="21"/>
        <v>-8.0354710194494722E-3</v>
      </c>
      <c r="J25" s="335">
        <f t="shared" si="14"/>
        <v>-7424.8417531496289</v>
      </c>
      <c r="K25" s="139">
        <f t="shared" si="15"/>
        <v>-164.35007481978661</v>
      </c>
      <c r="L25" s="140">
        <f t="shared" si="16"/>
        <v>-8589.9185197914849</v>
      </c>
      <c r="M25" s="141">
        <f t="shared" si="22"/>
        <v>-16179.110347760899</v>
      </c>
      <c r="N25" s="335">
        <f>M25*(1+Assumptions!$D$13)^-($B25-Assumptions!$D$4)</f>
        <v>-7775.8284434067618</v>
      </c>
      <c r="O25" s="140">
        <f t="shared" si="17"/>
        <v>-93601.461792630726</v>
      </c>
      <c r="Q25" s="147">
        <v>2035</v>
      </c>
      <c r="R25" s="158">
        <v>22000</v>
      </c>
      <c r="S25" s="158">
        <v>61500</v>
      </c>
      <c r="T25" s="158">
        <v>1069000</v>
      </c>
      <c r="U25" s="158">
        <v>278</v>
      </c>
      <c r="V25" s="155"/>
    </row>
    <row r="26" spans="2:29" ht="16.5">
      <c r="B26" s="13">
        <f t="shared" si="18"/>
        <v>2047</v>
      </c>
      <c r="C26" s="337">
        <f t="shared" si="12"/>
        <v>-450.05864566598768</v>
      </c>
      <c r="D26" s="139">
        <f t="shared" si="13"/>
        <v>-148969.41171544194</v>
      </c>
      <c r="E26" s="140">
        <f>D26*(1+0.02)^-($B26-Assumptions!$D$4)</f>
        <v>-90801.455204998987</v>
      </c>
      <c r="F26" s="333">
        <f>-'Annualized Operations'!G32*$X$35</f>
        <v>-1333826.4954511109</v>
      </c>
      <c r="G26" s="163">
        <f t="shared" si="19"/>
        <v>-0.35869893797431734</v>
      </c>
      <c r="H26" s="164">
        <f t="shared" si="20"/>
        <v>-2.8402747968226737E-3</v>
      </c>
      <c r="I26" s="165">
        <f t="shared" si="21"/>
        <v>-8.5403743764235068E-3</v>
      </c>
      <c r="J26" s="335">
        <f t="shared" si="14"/>
        <v>-7891.3766354349818</v>
      </c>
      <c r="K26" s="139">
        <f t="shared" si="15"/>
        <v>-174.67690000459444</v>
      </c>
      <c r="L26" s="140">
        <f t="shared" si="16"/>
        <v>-9129.6602083967282</v>
      </c>
      <c r="M26" s="141">
        <f t="shared" si="22"/>
        <v>-17195.713743836306</v>
      </c>
      <c r="N26" s="335">
        <f>M26*(1+Assumptions!$D$13)^-($B26-Assumptions!$D$4)</f>
        <v>-8015.9237009558128</v>
      </c>
      <c r="O26" s="140">
        <f t="shared" si="17"/>
        <v>-98817.3789059548</v>
      </c>
      <c r="Q26" s="147">
        <v>2036</v>
      </c>
      <c r="R26" s="158">
        <v>22000</v>
      </c>
      <c r="S26" s="158">
        <v>61500</v>
      </c>
      <c r="T26" s="158">
        <v>1069000</v>
      </c>
      <c r="U26" s="158">
        <v>282</v>
      </c>
      <c r="V26" s="155"/>
      <c r="W26" s="7" t="s">
        <v>225</v>
      </c>
    </row>
    <row r="27" spans="2:29" ht="15.75" thickBot="1">
      <c r="B27" s="17">
        <f t="shared" si="18"/>
        <v>2048</v>
      </c>
      <c r="C27" s="338">
        <f t="shared" si="12"/>
        <v>-476.66592434212146</v>
      </c>
      <c r="D27" s="230">
        <f t="shared" si="13"/>
        <v>-160159.75057895281</v>
      </c>
      <c r="E27" s="231">
        <f>D27*(1+0.02)^-($B27-Assumptions!$D$4)</f>
        <v>-95708.149209785479</v>
      </c>
      <c r="F27" s="334">
        <f>-'Annualized Operations'!G33*$X$35</f>
        <v>-1412681.7593413577</v>
      </c>
      <c r="G27" s="227">
        <f t="shared" si="19"/>
        <v>-0.3799050689872942</v>
      </c>
      <c r="H27" s="228">
        <f t="shared" si="20"/>
        <v>-3.0081906534862651E-3</v>
      </c>
      <c r="I27" s="229">
        <f t="shared" si="21"/>
        <v>-9.0452777333976907E-3</v>
      </c>
      <c r="J27" s="336">
        <f t="shared" si="14"/>
        <v>-8357.9115177204731</v>
      </c>
      <c r="K27" s="230">
        <f t="shared" si="15"/>
        <v>-185.00372518940532</v>
      </c>
      <c r="L27" s="231">
        <f t="shared" si="16"/>
        <v>-9669.4018970021316</v>
      </c>
      <c r="M27" s="232">
        <f t="shared" si="22"/>
        <v>-18212.317139912011</v>
      </c>
      <c r="N27" s="336">
        <f>M27*(1+Assumptions!$D$13)^-($B27-Assumptions!$D$4)</f>
        <v>-8234.5506824467411</v>
      </c>
      <c r="O27" s="231">
        <f t="shared" si="17"/>
        <v>-103942.69989223222</v>
      </c>
      <c r="Q27" s="147">
        <v>2037</v>
      </c>
      <c r="R27" s="158">
        <v>22000</v>
      </c>
      <c r="S27" s="158">
        <v>61500</v>
      </c>
      <c r="T27" s="158">
        <v>1069000</v>
      </c>
      <c r="U27" s="158">
        <v>287</v>
      </c>
      <c r="V27" s="155"/>
      <c r="W27" s="37" t="s">
        <v>110</v>
      </c>
      <c r="X27" s="38">
        <f>AVERAGE(AA48:AA50)</f>
        <v>0.24000000000000002</v>
      </c>
    </row>
    <row r="28" spans="2:29">
      <c r="B28" s="19"/>
      <c r="C28" s="150"/>
      <c r="D28" s="151"/>
      <c r="E28" s="152"/>
      <c r="F28" s="152"/>
      <c r="G28" s="153"/>
      <c r="H28" s="153"/>
      <c r="I28" s="153"/>
      <c r="J28" s="19"/>
      <c r="K28" s="19"/>
      <c r="L28" s="19"/>
      <c r="M28" s="151"/>
      <c r="N28" s="358" t="s">
        <v>51</v>
      </c>
      <c r="O28" s="154">
        <f>SUM(O5:O27)</f>
        <v>-1024277.3829613129</v>
      </c>
      <c r="Q28" s="147">
        <v>2038</v>
      </c>
      <c r="R28" s="158">
        <v>22000</v>
      </c>
      <c r="S28" s="158">
        <v>61500</v>
      </c>
      <c r="T28" s="158">
        <v>1069000</v>
      </c>
      <c r="U28" s="158">
        <v>290</v>
      </c>
      <c r="V28" s="155"/>
      <c r="W28" t="s">
        <v>234</v>
      </c>
    </row>
    <row r="29" spans="2:29">
      <c r="G29" s="48"/>
      <c r="H29" s="48"/>
      <c r="I29" s="48"/>
      <c r="Q29" s="147">
        <v>2039</v>
      </c>
      <c r="R29" s="158">
        <v>22000</v>
      </c>
      <c r="S29" s="158">
        <v>61500</v>
      </c>
      <c r="T29" s="158">
        <v>1069000</v>
      </c>
      <c r="U29" s="158">
        <v>294</v>
      </c>
      <c r="V29" s="155"/>
    </row>
    <row r="30" spans="2:29" ht="16.5">
      <c r="B30" s="7" t="s">
        <v>52</v>
      </c>
      <c r="D30" s="7"/>
      <c r="E30" s="7"/>
      <c r="F30" s="7"/>
      <c r="Q30" s="147">
        <v>2040</v>
      </c>
      <c r="R30" s="158">
        <v>22000</v>
      </c>
      <c r="S30" s="158">
        <v>61500</v>
      </c>
      <c r="T30" s="158">
        <v>1069000</v>
      </c>
      <c r="U30" s="158">
        <v>299</v>
      </c>
      <c r="V30" s="155"/>
      <c r="W30" s="7" t="s">
        <v>231</v>
      </c>
    </row>
    <row r="31" spans="2:29">
      <c r="B31" s="23" t="s">
        <v>18</v>
      </c>
      <c r="C31" s="678" t="s">
        <v>123</v>
      </c>
      <c r="D31" s="678"/>
      <c r="E31" s="678"/>
      <c r="F31" s="678"/>
      <c r="G31" s="157"/>
      <c r="H31" s="157"/>
      <c r="I31" s="157"/>
      <c r="J31" s="157"/>
      <c r="K31" s="157"/>
      <c r="L31" s="157"/>
      <c r="M31" s="157"/>
      <c r="Q31" s="147">
        <v>2041</v>
      </c>
      <c r="R31" s="158">
        <v>22000</v>
      </c>
      <c r="S31" s="158">
        <v>61500</v>
      </c>
      <c r="T31" s="158">
        <v>1069000</v>
      </c>
      <c r="U31" s="158">
        <v>303</v>
      </c>
      <c r="V31" s="155"/>
      <c r="W31" s="37" t="s">
        <v>124</v>
      </c>
      <c r="X31" s="37" t="s">
        <v>125</v>
      </c>
    </row>
    <row r="32" spans="2:29">
      <c r="C32" s="678"/>
      <c r="D32" s="678"/>
      <c r="E32" s="678"/>
      <c r="F32" s="678"/>
      <c r="G32" s="157"/>
      <c r="H32" s="157"/>
      <c r="I32" s="157"/>
      <c r="J32" s="157"/>
      <c r="K32" s="157"/>
      <c r="L32" s="157"/>
      <c r="M32" s="157"/>
      <c r="Q32" s="147">
        <v>2042</v>
      </c>
      <c r="R32" s="158">
        <v>22000</v>
      </c>
      <c r="S32" s="158">
        <v>61500</v>
      </c>
      <c r="T32" s="158">
        <v>1069000</v>
      </c>
      <c r="U32" s="158">
        <v>308</v>
      </c>
      <c r="V32" s="155"/>
      <c r="W32" s="37" t="s">
        <v>110</v>
      </c>
      <c r="X32" s="38">
        <f>AVERAGE(X62:X64)</f>
        <v>22.400000000000002</v>
      </c>
    </row>
    <row r="33" spans="1:27">
      <c r="C33" s="678"/>
      <c r="D33" s="678"/>
      <c r="E33" s="678"/>
      <c r="F33" s="678"/>
      <c r="G33" s="157"/>
      <c r="H33" s="157"/>
      <c r="I33" s="157"/>
      <c r="J33" s="157"/>
      <c r="K33" s="157"/>
      <c r="L33" s="157"/>
      <c r="M33" s="157"/>
      <c r="Q33" s="147">
        <v>2043</v>
      </c>
      <c r="R33" s="158">
        <v>22000</v>
      </c>
      <c r="S33" s="158">
        <v>61500</v>
      </c>
      <c r="T33" s="158">
        <v>1069000</v>
      </c>
      <c r="U33" s="158">
        <v>312</v>
      </c>
      <c r="V33" s="155"/>
    </row>
    <row r="34" spans="1:27" ht="16.5">
      <c r="C34" s="7"/>
      <c r="D34" s="7"/>
      <c r="E34" s="7"/>
      <c r="F34" s="7"/>
      <c r="Q34" s="147">
        <v>2044</v>
      </c>
      <c r="R34" s="158">
        <v>22000</v>
      </c>
      <c r="S34" s="158">
        <v>61500</v>
      </c>
      <c r="T34" s="158">
        <v>1069000</v>
      </c>
      <c r="U34" s="158">
        <v>317</v>
      </c>
      <c r="V34" s="155"/>
      <c r="W34" s="7" t="s">
        <v>232</v>
      </c>
    </row>
    <row r="35" spans="1:27">
      <c r="B35" s="23" t="s">
        <v>19</v>
      </c>
      <c r="C35" s="678" t="s">
        <v>226</v>
      </c>
      <c r="D35" s="678"/>
      <c r="E35" s="678"/>
      <c r="F35" s="678"/>
      <c r="G35" s="157"/>
      <c r="H35" s="157"/>
      <c r="I35" s="157"/>
      <c r="J35" s="157"/>
      <c r="K35" s="157"/>
      <c r="L35" s="157"/>
      <c r="M35" s="157"/>
      <c r="Q35" s="147">
        <v>2045</v>
      </c>
      <c r="R35" s="158">
        <v>22000</v>
      </c>
      <c r="S35" s="158">
        <v>61500</v>
      </c>
      <c r="T35" s="158">
        <v>1069000</v>
      </c>
      <c r="U35" s="158">
        <v>321</v>
      </c>
      <c r="V35" s="155"/>
      <c r="W35" s="37" t="s">
        <v>233</v>
      </c>
      <c r="X35" s="38">
        <f>X27*X32</f>
        <v>5.3760000000000012</v>
      </c>
      <c r="Y35" s="37" t="s">
        <v>0</v>
      </c>
    </row>
    <row r="36" spans="1:27">
      <c r="C36" s="678"/>
      <c r="D36" s="678"/>
      <c r="E36" s="678"/>
      <c r="F36" s="678"/>
      <c r="G36" s="157"/>
      <c r="H36" s="157"/>
      <c r="I36" s="157"/>
      <c r="J36" s="157"/>
      <c r="K36" s="157"/>
      <c r="L36" s="157"/>
      <c r="M36" s="157"/>
      <c r="Q36" s="147">
        <v>2046</v>
      </c>
      <c r="R36" s="158">
        <v>22000</v>
      </c>
      <c r="S36" s="158">
        <v>61500</v>
      </c>
      <c r="T36" s="158">
        <v>1069000</v>
      </c>
      <c r="U36" s="158">
        <v>326</v>
      </c>
      <c r="V36" s="155"/>
    </row>
    <row r="37" spans="1:27">
      <c r="A37" s="23"/>
      <c r="B37" s="23"/>
      <c r="C37" s="678"/>
      <c r="D37" s="678"/>
      <c r="E37" s="678"/>
      <c r="F37" s="678"/>
      <c r="G37" s="24"/>
      <c r="H37" s="24"/>
      <c r="I37" s="157"/>
      <c r="Q37" s="147">
        <v>2047</v>
      </c>
      <c r="R37" s="158">
        <v>22000</v>
      </c>
      <c r="S37" s="158">
        <v>61500</v>
      </c>
      <c r="T37" s="158">
        <v>1069000</v>
      </c>
      <c r="U37" s="158">
        <v>331</v>
      </c>
      <c r="V37" s="155"/>
    </row>
    <row r="38" spans="1:27" ht="18.75">
      <c r="Q38" s="147">
        <v>2048</v>
      </c>
      <c r="R38" s="158">
        <v>22000</v>
      </c>
      <c r="S38" s="158">
        <v>61500</v>
      </c>
      <c r="T38" s="158">
        <v>1069000</v>
      </c>
      <c r="U38" s="158">
        <v>336</v>
      </c>
      <c r="V38" s="155"/>
      <c r="W38" s="161" t="s">
        <v>227</v>
      </c>
      <c r="X38" s="160"/>
      <c r="Y38" s="160"/>
      <c r="Z38" s="160"/>
      <c r="AA38" s="160"/>
    </row>
    <row r="39" spans="1:27" ht="15.75">
      <c r="B39" s="23" t="s">
        <v>228</v>
      </c>
      <c r="C39" s="679" t="s">
        <v>229</v>
      </c>
      <c r="D39" s="679"/>
      <c r="E39" s="679"/>
      <c r="F39" s="679"/>
      <c r="Q39" s="147">
        <v>2049</v>
      </c>
      <c r="R39" s="158">
        <v>22000</v>
      </c>
      <c r="S39" s="158">
        <v>61500</v>
      </c>
      <c r="T39" s="158">
        <v>1069000</v>
      </c>
      <c r="U39" s="158">
        <v>340</v>
      </c>
      <c r="V39" s="155"/>
      <c r="W39" s="214" t="s">
        <v>126</v>
      </c>
      <c r="X39" s="215" t="s">
        <v>127</v>
      </c>
      <c r="Y39" s="215" t="s">
        <v>128</v>
      </c>
      <c r="Z39" s="215" t="s">
        <v>129</v>
      </c>
      <c r="AA39" s="215" t="s">
        <v>130</v>
      </c>
    </row>
    <row r="40" spans="1:27" ht="15.75">
      <c r="Q40" s="147">
        <v>2050</v>
      </c>
      <c r="R40" s="158">
        <v>22000</v>
      </c>
      <c r="S40" s="158">
        <v>61500</v>
      </c>
      <c r="T40" s="158">
        <v>1069000</v>
      </c>
      <c r="U40" s="158">
        <v>345</v>
      </c>
      <c r="V40" s="155"/>
      <c r="W40" s="215" t="s">
        <v>131</v>
      </c>
      <c r="X40" s="216" t="s">
        <v>132</v>
      </c>
      <c r="Y40" s="216" t="s">
        <v>133</v>
      </c>
      <c r="Z40" s="217">
        <v>80000</v>
      </c>
      <c r="AA40" s="218">
        <v>0.64</v>
      </c>
    </row>
    <row r="41" spans="1:27" ht="15.75">
      <c r="B41" s="156"/>
      <c r="C41" s="156"/>
      <c r="D41" s="156"/>
      <c r="E41" s="156"/>
      <c r="F41" s="156"/>
      <c r="G41" s="156"/>
      <c r="H41" s="156"/>
      <c r="I41" s="156"/>
      <c r="Q41" s="147">
        <v>2051</v>
      </c>
      <c r="R41" s="158">
        <v>22000</v>
      </c>
      <c r="S41" s="158">
        <v>61500</v>
      </c>
      <c r="T41" s="158">
        <v>1069000</v>
      </c>
      <c r="U41" s="158">
        <v>349</v>
      </c>
      <c r="V41" s="155"/>
      <c r="W41" s="215" t="s">
        <v>134</v>
      </c>
      <c r="X41" s="216" t="s">
        <v>132</v>
      </c>
      <c r="Y41" s="216" t="s">
        <v>133</v>
      </c>
      <c r="Z41" s="217">
        <v>37000</v>
      </c>
      <c r="AA41" s="218">
        <v>0.9</v>
      </c>
    </row>
    <row r="42" spans="1:27" ht="15.75">
      <c r="A42" s="23"/>
      <c r="B42" s="156"/>
      <c r="C42" s="156"/>
      <c r="D42" s="156"/>
      <c r="E42" s="156"/>
      <c r="F42" s="156"/>
      <c r="G42" s="156"/>
      <c r="H42" s="156"/>
      <c r="I42" s="156"/>
      <c r="Q42" s="147">
        <v>2052</v>
      </c>
      <c r="R42" s="158">
        <v>22000</v>
      </c>
      <c r="S42" s="158">
        <v>61500</v>
      </c>
      <c r="T42" s="158">
        <v>1069000</v>
      </c>
      <c r="U42" s="158">
        <v>353</v>
      </c>
      <c r="V42" s="155"/>
      <c r="W42" s="215" t="s">
        <v>118</v>
      </c>
      <c r="X42" s="216" t="s">
        <v>132</v>
      </c>
      <c r="Y42" s="216" t="s">
        <v>133</v>
      </c>
      <c r="Z42" s="217">
        <v>32000</v>
      </c>
      <c r="AA42" s="218">
        <v>0.49</v>
      </c>
    </row>
    <row r="43" spans="1:27" ht="15.75">
      <c r="G43" s="157"/>
      <c r="H43" s="156"/>
      <c r="I43" s="156"/>
      <c r="Q43" s="147">
        <v>2053</v>
      </c>
      <c r="R43" s="158">
        <v>22000</v>
      </c>
      <c r="S43" s="158">
        <v>61500</v>
      </c>
      <c r="T43" s="158">
        <v>1069000</v>
      </c>
      <c r="U43" s="158">
        <v>357</v>
      </c>
      <c r="V43" s="155"/>
      <c r="W43" s="215" t="s">
        <v>135</v>
      </c>
      <c r="X43" s="216" t="s">
        <v>132</v>
      </c>
      <c r="Y43" s="216" t="s">
        <v>133</v>
      </c>
      <c r="Z43" s="217">
        <v>30000</v>
      </c>
      <c r="AA43" s="218">
        <v>0.97</v>
      </c>
    </row>
    <row r="44" spans="1:27" ht="15.75">
      <c r="G44" s="157"/>
      <c r="H44" s="156"/>
      <c r="I44" s="156"/>
      <c r="W44" s="215" t="s">
        <v>136</v>
      </c>
      <c r="X44" s="216" t="s">
        <v>132</v>
      </c>
      <c r="Y44" s="219" t="s">
        <v>137</v>
      </c>
      <c r="Z44" s="216" t="s">
        <v>138</v>
      </c>
      <c r="AA44" s="218">
        <v>0.44</v>
      </c>
    </row>
    <row r="45" spans="1:27" ht="15.75">
      <c r="A45" s="23"/>
      <c r="G45" s="157"/>
      <c r="H45" s="156"/>
      <c r="I45" s="156"/>
      <c r="W45" s="215" t="s">
        <v>139</v>
      </c>
      <c r="X45" s="216" t="s">
        <v>132</v>
      </c>
      <c r="Y45" s="216" t="s">
        <v>133</v>
      </c>
      <c r="Z45" s="217">
        <v>26000</v>
      </c>
      <c r="AA45" s="218">
        <v>0.59</v>
      </c>
    </row>
    <row r="46" spans="1:27" ht="15.75">
      <c r="G46" s="157"/>
      <c r="H46" s="157"/>
      <c r="I46" s="157"/>
      <c r="N46" s="159"/>
      <c r="O46" s="159"/>
      <c r="W46" s="215" t="s">
        <v>140</v>
      </c>
      <c r="X46" s="216" t="s">
        <v>132</v>
      </c>
      <c r="Y46" s="216" t="s">
        <v>133</v>
      </c>
      <c r="Z46" s="217">
        <v>19500</v>
      </c>
      <c r="AA46" s="218">
        <v>0.84</v>
      </c>
    </row>
    <row r="47" spans="1:27" ht="15.75">
      <c r="A47" s="23"/>
      <c r="G47" s="157"/>
      <c r="H47" s="157"/>
      <c r="I47" s="157"/>
      <c r="N47" s="159"/>
      <c r="O47" s="159"/>
      <c r="W47" s="215" t="s">
        <v>136</v>
      </c>
      <c r="X47" s="216" t="s">
        <v>141</v>
      </c>
      <c r="Y47" s="219" t="s">
        <v>142</v>
      </c>
      <c r="Z47" s="216" t="s">
        <v>143</v>
      </c>
      <c r="AA47" s="218">
        <v>0.84</v>
      </c>
    </row>
    <row r="48" spans="1:27" ht="15.75">
      <c r="G48" s="157"/>
      <c r="H48" s="157"/>
      <c r="I48" s="157"/>
      <c r="J48" s="36"/>
      <c r="L48" s="24"/>
      <c r="M48" s="24"/>
      <c r="N48" s="159"/>
      <c r="O48" s="159"/>
      <c r="W48" s="215" t="s">
        <v>144</v>
      </c>
      <c r="X48" s="216" t="s">
        <v>132</v>
      </c>
      <c r="Y48" s="216">
        <v>2</v>
      </c>
      <c r="Z48" s="216" t="s">
        <v>133</v>
      </c>
      <c r="AA48" s="218">
        <v>0.17</v>
      </c>
    </row>
    <row r="49" spans="1:27" ht="15.75">
      <c r="G49" s="157"/>
      <c r="H49" s="157"/>
      <c r="I49" s="157"/>
      <c r="J49" s="36"/>
      <c r="L49" s="24"/>
      <c r="M49" s="24"/>
      <c r="W49" s="215" t="s">
        <v>145</v>
      </c>
      <c r="X49" s="216" t="s">
        <v>141</v>
      </c>
      <c r="Y49" s="216">
        <v>4.5999999999999996</v>
      </c>
      <c r="Z49" s="216" t="s">
        <v>133</v>
      </c>
      <c r="AA49" s="218">
        <v>0.39</v>
      </c>
    </row>
    <row r="50" spans="1:27" ht="15.75">
      <c r="G50" s="157"/>
      <c r="H50" s="157"/>
      <c r="I50" s="157"/>
      <c r="L50" s="24"/>
      <c r="M50" s="24"/>
      <c r="W50" s="215" t="s">
        <v>144</v>
      </c>
      <c r="X50" s="216" t="s">
        <v>141</v>
      </c>
      <c r="Y50" s="216">
        <v>2</v>
      </c>
      <c r="Z50" s="216" t="s">
        <v>133</v>
      </c>
      <c r="AA50" s="218">
        <v>0.16</v>
      </c>
    </row>
    <row r="51" spans="1:27">
      <c r="G51" s="157"/>
      <c r="H51" s="157"/>
      <c r="I51" s="157"/>
      <c r="L51" s="24"/>
      <c r="M51" s="24"/>
    </row>
    <row r="52" spans="1:27">
      <c r="B52" s="157"/>
      <c r="C52" s="157"/>
      <c r="D52" s="157"/>
      <c r="E52" s="157"/>
      <c r="F52" s="157"/>
      <c r="G52" s="157"/>
      <c r="H52" s="157"/>
      <c r="I52" s="157"/>
      <c r="J52" s="24"/>
      <c r="K52" s="24"/>
      <c r="L52" s="24"/>
      <c r="M52" s="24"/>
    </row>
    <row r="53" spans="1:27" ht="15.75" thickBot="1">
      <c r="B53" s="157"/>
      <c r="C53" s="157"/>
      <c r="D53" s="157"/>
      <c r="E53" s="157"/>
      <c r="F53" s="157"/>
      <c r="G53" s="157"/>
      <c r="H53" s="157"/>
      <c r="I53" s="157"/>
      <c r="K53" s="24"/>
      <c r="L53" s="24"/>
      <c r="M53" s="24"/>
    </row>
    <row r="54" spans="1:27" ht="19.5" thickBot="1">
      <c r="B54" s="157"/>
      <c r="C54" s="157"/>
      <c r="D54" s="157"/>
      <c r="E54" s="157"/>
      <c r="F54" s="157"/>
      <c r="G54" s="157"/>
      <c r="H54" s="157"/>
      <c r="I54" s="157"/>
      <c r="J54" s="157"/>
      <c r="L54" s="24"/>
      <c r="M54" s="24"/>
      <c r="W54" s="213" t="s">
        <v>230</v>
      </c>
      <c r="X54" s="211"/>
      <c r="Y54" s="211"/>
      <c r="Z54" s="212"/>
    </row>
    <row r="55" spans="1:27">
      <c r="A55" s="23"/>
      <c r="B55" s="157"/>
      <c r="C55" s="157"/>
      <c r="D55" s="157"/>
      <c r="E55" s="157"/>
      <c r="F55" s="157"/>
      <c r="G55" s="157"/>
      <c r="H55" s="157"/>
      <c r="I55" s="157"/>
      <c r="J55" s="157"/>
      <c r="W55" s="185" t="s">
        <v>126</v>
      </c>
      <c r="X55" s="186" t="s">
        <v>205</v>
      </c>
      <c r="Y55" s="186" t="s">
        <v>206</v>
      </c>
      <c r="Z55" s="187" t="s">
        <v>207</v>
      </c>
    </row>
    <row r="56" spans="1:27">
      <c r="B56" s="157"/>
      <c r="C56" s="157"/>
      <c r="D56" s="157"/>
      <c r="E56" s="157"/>
      <c r="F56" s="157"/>
      <c r="G56" s="157"/>
      <c r="H56" s="157"/>
      <c r="I56" s="157"/>
      <c r="J56" s="157"/>
      <c r="K56" s="157"/>
      <c r="W56" s="188" t="s">
        <v>208</v>
      </c>
      <c r="X56" s="189">
        <v>2.4779999999999998</v>
      </c>
      <c r="Y56" s="190">
        <v>2.8</v>
      </c>
      <c r="Z56" s="191" t="s">
        <v>209</v>
      </c>
    </row>
    <row r="57" spans="1:27">
      <c r="B57" s="157"/>
      <c r="C57" s="157"/>
      <c r="D57" s="157"/>
      <c r="E57" s="157"/>
      <c r="F57" s="157"/>
      <c r="G57" s="157"/>
      <c r="H57" s="157"/>
      <c r="I57" s="157"/>
      <c r="J57" s="157"/>
      <c r="K57" s="157"/>
      <c r="U57" s="180"/>
      <c r="W57" s="188" t="s">
        <v>135</v>
      </c>
      <c r="X57" s="189">
        <v>3.2745000000000002</v>
      </c>
      <c r="Y57" s="190">
        <v>3.7</v>
      </c>
      <c r="Z57" s="191" t="s">
        <v>210</v>
      </c>
    </row>
    <row r="58" spans="1:27">
      <c r="B58" s="157"/>
      <c r="C58" s="157"/>
      <c r="D58" s="157"/>
      <c r="E58" s="157"/>
      <c r="F58" s="157"/>
      <c r="G58" s="157"/>
      <c r="H58" s="157"/>
      <c r="I58" s="157"/>
      <c r="J58" s="157"/>
      <c r="K58" s="157"/>
      <c r="U58" s="180"/>
      <c r="W58" s="188" t="s">
        <v>211</v>
      </c>
      <c r="X58" s="189">
        <v>5.3100000000000005</v>
      </c>
      <c r="Y58" s="200">
        <v>6</v>
      </c>
      <c r="Z58" s="191" t="s">
        <v>212</v>
      </c>
    </row>
    <row r="59" spans="1:27">
      <c r="B59" s="157"/>
      <c r="C59" s="157"/>
      <c r="D59" s="157"/>
      <c r="E59" s="157"/>
      <c r="F59" s="157"/>
      <c r="G59" s="157"/>
      <c r="J59" s="157"/>
      <c r="K59" s="157"/>
      <c r="U59" s="180"/>
      <c r="W59" s="188" t="s">
        <v>213</v>
      </c>
      <c r="X59" s="189">
        <v>6.1950000000000003</v>
      </c>
      <c r="Y59" s="190">
        <v>7</v>
      </c>
      <c r="Z59" s="191" t="s">
        <v>214</v>
      </c>
    </row>
    <row r="60" spans="1:27">
      <c r="A60" s="23"/>
      <c r="B60" s="157"/>
      <c r="C60" s="157"/>
      <c r="D60" s="157"/>
      <c r="E60" s="157"/>
      <c r="F60" s="157"/>
      <c r="G60" s="157"/>
      <c r="I60" s="24"/>
      <c r="J60" s="157"/>
      <c r="K60" s="157"/>
      <c r="U60" s="180"/>
      <c r="W60" s="188" t="s">
        <v>140</v>
      </c>
      <c r="X60" s="189">
        <v>6.5401499999999997</v>
      </c>
      <c r="Y60" s="200">
        <v>7.39</v>
      </c>
      <c r="Z60" s="191" t="s">
        <v>212</v>
      </c>
    </row>
    <row r="61" spans="1:27">
      <c r="B61" s="24"/>
      <c r="C61" s="24"/>
      <c r="D61" s="24"/>
      <c r="E61" s="24"/>
      <c r="F61" s="24"/>
      <c r="I61" s="24"/>
      <c r="J61" s="157"/>
      <c r="K61" s="157"/>
      <c r="W61" s="188" t="s">
        <v>215</v>
      </c>
      <c r="X61" s="189">
        <v>7.08</v>
      </c>
      <c r="Y61" s="201">
        <v>8</v>
      </c>
      <c r="Z61" s="191" t="s">
        <v>210</v>
      </c>
    </row>
    <row r="62" spans="1:27">
      <c r="J62" s="157"/>
      <c r="K62" s="157"/>
      <c r="W62" s="188" t="s">
        <v>216</v>
      </c>
      <c r="X62" s="198">
        <v>17.5</v>
      </c>
      <c r="Y62" s="192">
        <v>19.774011299435028</v>
      </c>
      <c r="Z62" s="191" t="s">
        <v>212</v>
      </c>
    </row>
    <row r="63" spans="1:27">
      <c r="A63" s="23"/>
      <c r="B63" s="157"/>
      <c r="C63" s="157"/>
      <c r="D63" s="157"/>
      <c r="E63" s="157"/>
      <c r="F63" s="157"/>
      <c r="G63" s="157"/>
      <c r="H63" s="157"/>
      <c r="I63" s="157"/>
      <c r="J63" s="157"/>
      <c r="K63" s="157"/>
      <c r="W63" s="188" t="s">
        <v>204</v>
      </c>
      <c r="X63" s="198">
        <v>24.2</v>
      </c>
      <c r="Y63" s="192">
        <v>27.344632768361581</v>
      </c>
      <c r="Z63" s="191" t="s">
        <v>212</v>
      </c>
    </row>
    <row r="64" spans="1:27">
      <c r="B64" s="157"/>
      <c r="C64" s="157"/>
      <c r="D64" s="157"/>
      <c r="E64" s="157"/>
      <c r="F64" s="157"/>
      <c r="G64" s="157"/>
      <c r="H64" s="157"/>
      <c r="J64" s="157"/>
      <c r="K64" s="157"/>
      <c r="W64" s="196" t="s">
        <v>217</v>
      </c>
      <c r="X64" s="202">
        <v>25.5</v>
      </c>
      <c r="Y64" s="192">
        <v>28.8135593220339</v>
      </c>
      <c r="Z64" s="197" t="s">
        <v>218</v>
      </c>
    </row>
    <row r="65" spans="10:26" ht="15.75" thickBot="1">
      <c r="J65" s="157"/>
      <c r="K65" s="157"/>
      <c r="W65" s="193" t="s">
        <v>111</v>
      </c>
      <c r="X65" s="199">
        <v>44</v>
      </c>
      <c r="Y65" s="194">
        <v>49.717514124293785</v>
      </c>
      <c r="Z65" s="195" t="s">
        <v>212</v>
      </c>
    </row>
    <row r="66" spans="10:26">
      <c r="J66" s="157"/>
      <c r="K66" s="157"/>
    </row>
    <row r="67" spans="10:26">
      <c r="J67" s="157"/>
      <c r="K67" s="157"/>
    </row>
    <row r="69" spans="10:26">
      <c r="J69" s="24"/>
    </row>
    <row r="70" spans="10:26">
      <c r="J70" s="24"/>
      <c r="L70" s="157"/>
    </row>
    <row r="72" spans="10:26">
      <c r="J72" s="157"/>
      <c r="K72" s="157"/>
    </row>
  </sheetData>
  <mergeCells count="20">
    <mergeCell ref="B3:B4"/>
    <mergeCell ref="C3:C4"/>
    <mergeCell ref="D3:D4"/>
    <mergeCell ref="E3:E4"/>
    <mergeCell ref="F3:F4"/>
    <mergeCell ref="F2:M2"/>
    <mergeCell ref="O3:O4"/>
    <mergeCell ref="C31:F33"/>
    <mergeCell ref="C35:F37"/>
    <mergeCell ref="C39:F39"/>
    <mergeCell ref="C2:E2"/>
    <mergeCell ref="G3:G4"/>
    <mergeCell ref="H3:H4"/>
    <mergeCell ref="I3:I4"/>
    <mergeCell ref="J3:J4"/>
    <mergeCell ref="K3:K4"/>
    <mergeCell ref="L3:L4"/>
    <mergeCell ref="M3:M4"/>
    <mergeCell ref="N3:N4"/>
    <mergeCell ref="N2:O2"/>
  </mergeCells>
  <pageMargins left="0.25" right="0.25" top="0.75" bottom="0.75" header="0.3" footer="0.3"/>
  <pageSetup paperSize="3" scale="69"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5C26C9-F5E6-470C-8B47-71D2FC2F331C}">
  <sheetPr>
    <tabColor rgb="FF00B050"/>
    <pageSetUpPr fitToPage="1"/>
  </sheetPr>
  <dimension ref="B2:K35"/>
  <sheetViews>
    <sheetView view="pageBreakPreview" zoomScaleNormal="85" zoomScaleSheetLayoutView="100" workbookViewId="0">
      <selection activeCell="M19" sqref="M19"/>
    </sheetView>
  </sheetViews>
  <sheetFormatPr defaultColWidth="9.140625" defaultRowHeight="12"/>
  <cols>
    <col min="1" max="1" width="3.7109375" style="19" customWidth="1"/>
    <col min="2" max="2" width="11.140625" style="19" customWidth="1"/>
    <col min="3" max="3" width="10" style="19" customWidth="1"/>
    <col min="4" max="4" width="9.42578125" style="19" customWidth="1"/>
    <col min="5" max="5" width="8.5703125" style="19" bestFit="1" customWidth="1"/>
    <col min="6" max="6" width="11.5703125" style="19" customWidth="1"/>
    <col min="7" max="7" width="11.140625" style="19" bestFit="1" customWidth="1"/>
    <col min="8" max="8" width="11.140625" style="19" customWidth="1"/>
    <col min="9" max="9" width="24.5703125" style="19" customWidth="1"/>
    <col min="10" max="10" width="15.28515625" style="19" customWidth="1"/>
    <col min="11" max="11" width="13.7109375" style="19" customWidth="1"/>
    <col min="12" max="12" width="15.5703125" style="19" bestFit="1" customWidth="1"/>
    <col min="13" max="13" width="7" style="19" bestFit="1" customWidth="1"/>
    <col min="14" max="14" width="9.42578125" style="19" bestFit="1" customWidth="1"/>
    <col min="15" max="15" width="16.42578125" style="19" bestFit="1" customWidth="1"/>
    <col min="16" max="16384" width="9.140625" style="19"/>
  </cols>
  <sheetData>
    <row r="2" spans="2:11">
      <c r="B2" s="35" t="s">
        <v>46</v>
      </c>
    </row>
    <row r="3" spans="2:11" ht="12.75" thickBot="1">
      <c r="B3" s="35"/>
    </row>
    <row r="4" spans="2:11" ht="12.75" thickBot="1">
      <c r="C4" s="696" t="s">
        <v>47</v>
      </c>
      <c r="D4" s="697"/>
      <c r="E4" s="697"/>
      <c r="F4" s="697"/>
      <c r="G4" s="698"/>
      <c r="J4" s="256"/>
      <c r="K4" s="256"/>
    </row>
    <row r="5" spans="2:11">
      <c r="B5" s="658" t="s">
        <v>8</v>
      </c>
      <c r="C5" s="701" t="s">
        <v>202</v>
      </c>
      <c r="D5" s="703" t="s">
        <v>203</v>
      </c>
      <c r="E5" s="705" t="s">
        <v>3</v>
      </c>
      <c r="F5" s="707" t="s">
        <v>48</v>
      </c>
      <c r="G5" s="699" t="s">
        <v>49</v>
      </c>
      <c r="I5" s="256"/>
    </row>
    <row r="6" spans="2:11" ht="14.25" thickBot="1">
      <c r="B6" s="660"/>
      <c r="C6" s="702"/>
      <c r="D6" s="704"/>
      <c r="E6" s="706"/>
      <c r="F6" s="708"/>
      <c r="G6" s="700"/>
      <c r="I6" s="695" t="s">
        <v>293</v>
      </c>
      <c r="J6" s="695"/>
    </row>
    <row r="7" spans="2:11">
      <c r="B7" s="12">
        <f>Assumptions!D8</f>
        <v>2029</v>
      </c>
      <c r="C7" s="39">
        <f>_xlfn.XLOOKUP($B7,'Annualized Operations'!$B$14:$B$33,'Annualized Operations'!E$14:E$33,0,0,1)</f>
        <v>652081.03942228551</v>
      </c>
      <c r="D7" s="40">
        <f>_xlfn.XLOOKUP($B7,'Annualized Operations'!$B$14:$B$33,'Annualized Operations'!F$14:F$33,0,0,1)</f>
        <v>653292.63555647479</v>
      </c>
      <c r="E7" s="41">
        <f>C7-D7</f>
        <v>-1211.5961341892835</v>
      </c>
      <c r="F7" s="42">
        <f t="shared" ref="F7:F26" si="0">E7*$J$19</f>
        <v>-39678.356372230672</v>
      </c>
      <c r="G7" s="43">
        <f>F7*(1+Assumptions!$D$13)^-($B7-Assumptions!$D$4)</f>
        <v>-32043.726534188503</v>
      </c>
      <c r="I7" s="257" t="s">
        <v>9</v>
      </c>
      <c r="J7" s="258">
        <f>Assumptions!D17</f>
        <v>19.600000000000001</v>
      </c>
    </row>
    <row r="8" spans="2:11">
      <c r="B8" s="13">
        <f>B7+1</f>
        <v>2030</v>
      </c>
      <c r="C8" s="44">
        <f>_xlfn.XLOOKUP($B8,'Annualized Operations'!$B$14:$B$33,'Annualized Operations'!E$14:E$33,0,0,1)</f>
        <v>672048.2860153279</v>
      </c>
      <c r="D8" s="45">
        <f>_xlfn.XLOOKUP($B8,'Annualized Operations'!$B$14:$B$33,'Annualized Operations'!F$14:F$33,0,0,1)</f>
        <v>673296.98219893989</v>
      </c>
      <c r="E8" s="46">
        <f t="shared" ref="E8:E26" si="1">C8-D8</f>
        <v>-1248.6961836119881</v>
      </c>
      <c r="F8" s="47">
        <f t="shared" si="0"/>
        <v>-40893.33960045503</v>
      </c>
      <c r="G8" s="14">
        <f>F8*(1+Assumptions!$D$13)^-($B8-Assumptions!$D$4)</f>
        <v>-32031.941074687747</v>
      </c>
      <c r="I8" s="257" t="s">
        <v>11</v>
      </c>
      <c r="J8" s="262">
        <f>Assumptions!D18</f>
        <v>33.5</v>
      </c>
    </row>
    <row r="9" spans="2:11">
      <c r="B9" s="13">
        <f t="shared" ref="B9:B26" si="2">B8+1</f>
        <v>2031</v>
      </c>
      <c r="C9" s="44">
        <f>_xlfn.XLOOKUP($B9,'Annualized Operations'!$B$14:$B$33,'Annualized Operations'!E$14:E$33,0,0,1)</f>
        <v>703365.58630009869</v>
      </c>
      <c r="D9" s="45">
        <f>_xlfn.XLOOKUP($B9,'Annualized Operations'!$B$14:$B$33,'Annualized Operations'!F$14:F$33,0,0,1)</f>
        <v>689946.26464698312</v>
      </c>
      <c r="E9" s="46">
        <f t="shared" si="1"/>
        <v>13419.321653115563</v>
      </c>
      <c r="F9" s="47">
        <f t="shared" si="0"/>
        <v>439467.08956957358</v>
      </c>
      <c r="G9" s="14">
        <f>F9*(1+Assumptions!$D$13)^-($B9-Assumptions!$D$4)</f>
        <v>333886.12358232774</v>
      </c>
      <c r="H9" s="266"/>
      <c r="I9" s="256"/>
      <c r="J9" s="267"/>
    </row>
    <row r="10" spans="2:11" ht="13.5">
      <c r="B10" s="13">
        <f t="shared" si="2"/>
        <v>2032</v>
      </c>
      <c r="C10" s="44">
        <f>_xlfn.XLOOKUP($B10,'Annualized Operations'!$B$14:$B$33,'Annualized Operations'!E$14:E$33,0,0,1)</f>
        <v>734682.88658486935</v>
      </c>
      <c r="D10" s="45">
        <f>_xlfn.XLOOKUP($B10,'Annualized Operations'!$B$14:$B$33,'Annualized Operations'!F$14:F$33,0,0,1)</f>
        <v>706595.54709503055</v>
      </c>
      <c r="E10" s="46">
        <f t="shared" si="1"/>
        <v>28087.339489838807</v>
      </c>
      <c r="F10" s="47">
        <f t="shared" si="0"/>
        <v>919827.5187394612</v>
      </c>
      <c r="G10" s="14">
        <f>F10*(1+Assumptions!$D$13)^-($B10-Assumptions!$D$4)</f>
        <v>677828.37554843235</v>
      </c>
      <c r="I10" s="695" t="s">
        <v>294</v>
      </c>
      <c r="J10" s="695"/>
    </row>
    <row r="11" spans="2:11">
      <c r="B11" s="13">
        <f t="shared" si="2"/>
        <v>2033</v>
      </c>
      <c r="C11" s="44">
        <f>_xlfn.XLOOKUP($B11,'Annualized Operations'!$B$14:$B$33,'Annualized Operations'!E$14:E$33,0,0,1)</f>
        <v>766000.18686964805</v>
      </c>
      <c r="D11" s="45">
        <f>_xlfn.XLOOKUP($B11,'Annualized Operations'!$B$14:$B$33,'Annualized Operations'!F$14:F$33,0,0,1)</f>
        <v>723244.82954307389</v>
      </c>
      <c r="E11" s="46">
        <f t="shared" si="1"/>
        <v>42755.357326574158</v>
      </c>
      <c r="F11" s="47">
        <f t="shared" si="0"/>
        <v>1400187.9479097452</v>
      </c>
      <c r="G11" s="14">
        <f>F11*(1+Assumptions!$D$13)^-($B11-Assumptions!$D$4)</f>
        <v>1000785.5291011061</v>
      </c>
      <c r="I11" s="257" t="s">
        <v>12</v>
      </c>
      <c r="J11" s="268">
        <f>1-J12</f>
        <v>0.97808535178777389</v>
      </c>
    </row>
    <row r="12" spans="2:11">
      <c r="B12" s="13">
        <f t="shared" si="2"/>
        <v>2034</v>
      </c>
      <c r="C12" s="44">
        <f>_xlfn.XLOOKUP($B12,'Annualized Operations'!$B$14:$B$33,'Annualized Operations'!E$14:E$33,0,0,1)</f>
        <v>797317.48715441872</v>
      </c>
      <c r="D12" s="45">
        <f>_xlfn.XLOOKUP($B12,'Annualized Operations'!$B$14:$B$33,'Annualized Operations'!F$14:F$33,0,0,1)</f>
        <v>739894.11199111713</v>
      </c>
      <c r="E12" s="46">
        <f t="shared" si="1"/>
        <v>57423.375163301593</v>
      </c>
      <c r="F12" s="47">
        <f t="shared" si="0"/>
        <v>1880548.3770797702</v>
      </c>
      <c r="G12" s="14">
        <f>F12*(1+Assumptions!$D$13)^-($B12-Assumptions!$D$4)</f>
        <v>1303708.588986668</v>
      </c>
      <c r="I12" s="257" t="s">
        <v>13</v>
      </c>
      <c r="J12" s="268">
        <f>Assumptions!D14</f>
        <v>2.1914648212226068E-2</v>
      </c>
    </row>
    <row r="13" spans="2:11">
      <c r="B13" s="13">
        <f t="shared" si="2"/>
        <v>2035</v>
      </c>
      <c r="C13" s="44">
        <f>_xlfn.XLOOKUP($B13,'Annualized Operations'!$B$14:$B$33,'Annualized Operations'!E$14:E$33,0,0,1)</f>
        <v>828634.78743918939</v>
      </c>
      <c r="D13" s="45">
        <f>_xlfn.XLOOKUP($B13,'Annualized Operations'!$B$14:$B$33,'Annualized Operations'!F$14:F$33,0,0,1)</f>
        <v>756543.39443916455</v>
      </c>
      <c r="E13" s="46">
        <f t="shared" si="1"/>
        <v>72091.393000024837</v>
      </c>
      <c r="F13" s="47">
        <f t="shared" si="0"/>
        <v>2360908.8062496576</v>
      </c>
      <c r="G13" s="14">
        <f>F13*(1+Assumptions!$D$13)^-($B13-Assumptions!$D$4)</f>
        <v>1587510.3427024181</v>
      </c>
      <c r="I13" s="256"/>
      <c r="J13" s="270"/>
    </row>
    <row r="14" spans="2:11" ht="13.5">
      <c r="B14" s="13">
        <f t="shared" si="2"/>
        <v>2036</v>
      </c>
      <c r="C14" s="44">
        <f>_xlfn.XLOOKUP($B14,'Annualized Operations'!$B$14:$B$33,'Annualized Operations'!E$14:E$33,0,0,1)</f>
        <v>859952.08772396005</v>
      </c>
      <c r="D14" s="45">
        <f>_xlfn.XLOOKUP($B14,'Annualized Operations'!$B$14:$B$33,'Annualized Operations'!F$14:F$33,0,0,1)</f>
        <v>773192.6768872079</v>
      </c>
      <c r="E14" s="46">
        <f t="shared" si="1"/>
        <v>86759.410836752155</v>
      </c>
      <c r="F14" s="47">
        <f t="shared" si="0"/>
        <v>2841269.2354196785</v>
      </c>
      <c r="G14" s="14">
        <f>F14*(1+Assumptions!$D$13)^-($B14-Assumptions!$D$4)</f>
        <v>1853066.798937883</v>
      </c>
      <c r="I14" s="695" t="s">
        <v>295</v>
      </c>
      <c r="J14" s="695"/>
      <c r="K14" s="271">
        <v>1</v>
      </c>
    </row>
    <row r="15" spans="2:11">
      <c r="B15" s="13">
        <f t="shared" si="2"/>
        <v>2037</v>
      </c>
      <c r="C15" s="44">
        <f>_xlfn.XLOOKUP($B15,'Annualized Operations'!$B$14:$B$33,'Annualized Operations'!E$14:E$33,0,0,1)</f>
        <v>891269.38800873887</v>
      </c>
      <c r="D15" s="45">
        <f>_xlfn.XLOOKUP($B15,'Annualized Operations'!$B$14:$B$33,'Annualized Operations'!F$14:F$33,0,0,1)</f>
        <v>789841.9593352552</v>
      </c>
      <c r="E15" s="46">
        <f t="shared" si="1"/>
        <v>101427.42867348366</v>
      </c>
      <c r="F15" s="47">
        <f t="shared" si="0"/>
        <v>3321629.6645898367</v>
      </c>
      <c r="G15" s="14">
        <f>F15*(1+Assumptions!$D$13)^-($B15-Assumptions!$D$4)</f>
        <v>2101218.5740658301</v>
      </c>
      <c r="I15" s="257" t="s">
        <v>14</v>
      </c>
      <c r="J15" s="272">
        <f>Assumptions!D15</f>
        <v>1.67</v>
      </c>
    </row>
    <row r="16" spans="2:11">
      <c r="B16" s="13">
        <f t="shared" si="2"/>
        <v>2038</v>
      </c>
      <c r="C16" s="44">
        <f>_xlfn.XLOOKUP($B16,'Annualized Operations'!$B$14:$B$33,'Annualized Operations'!E$14:E$33,0,0,1)</f>
        <v>922586.68829350953</v>
      </c>
      <c r="D16" s="45">
        <f>_xlfn.XLOOKUP($B16,'Annualized Operations'!$B$14:$B$33,'Annualized Operations'!F$14:F$33,0,0,1)</f>
        <v>806491.24178329855</v>
      </c>
      <c r="E16" s="46">
        <f t="shared" si="1"/>
        <v>116095.44651021098</v>
      </c>
      <c r="F16" s="47">
        <f t="shared" si="0"/>
        <v>3801990.093759858</v>
      </c>
      <c r="G16" s="14">
        <f>F16*(1+Assumptions!$D$13)^-($B16-Assumptions!$D$4)</f>
        <v>2332772.2285067551</v>
      </c>
      <c r="I16" s="257" t="s">
        <v>15</v>
      </c>
      <c r="J16" s="272">
        <f>Assumptions!D16</f>
        <v>1</v>
      </c>
    </row>
    <row r="17" spans="2:11">
      <c r="B17" s="13">
        <f t="shared" si="2"/>
        <v>2039</v>
      </c>
      <c r="C17" s="44">
        <f>_xlfn.XLOOKUP($B17,'Annualized Operations'!$B$14:$B$33,'Annualized Operations'!E$14:E$33,0,0,1)</f>
        <v>953903.9885782802</v>
      </c>
      <c r="D17" s="45">
        <f>_xlfn.XLOOKUP($B17,'Annualized Operations'!$B$14:$B$33,'Annualized Operations'!F$14:F$33,0,0,1)</f>
        <v>823140.5242313419</v>
      </c>
      <c r="E17" s="46">
        <f t="shared" si="1"/>
        <v>130763.4643469383</v>
      </c>
      <c r="F17" s="47">
        <f t="shared" si="0"/>
        <v>4282350.5229298789</v>
      </c>
      <c r="G17" s="14">
        <f>F17*(1+Assumptions!$D$13)^-($B17-Assumptions!$D$4)</f>
        <v>2548501.554727877</v>
      </c>
      <c r="I17" s="256"/>
      <c r="J17" s="270"/>
    </row>
    <row r="18" spans="2:11">
      <c r="B18" s="13">
        <f t="shared" si="2"/>
        <v>2040</v>
      </c>
      <c r="C18" s="44">
        <f>_xlfn.XLOOKUP($B18,'Annualized Operations'!$B$14:$B$33,'Annualized Operations'!E$14:E$33,0,0,1)</f>
        <v>985221.28886305087</v>
      </c>
      <c r="D18" s="45">
        <f>_xlfn.XLOOKUP($B18,'Annualized Operations'!$B$14:$B$33,'Annualized Operations'!F$14:F$33,0,0,1)</f>
        <v>839789.80667938921</v>
      </c>
      <c r="E18" s="46">
        <f t="shared" si="1"/>
        <v>145431.48218366166</v>
      </c>
      <c r="F18" s="47">
        <f t="shared" si="0"/>
        <v>4762710.9520997703</v>
      </c>
      <c r="G18" s="14">
        <f>F18*(1+Assumptions!$D$13)^-($B18-Assumptions!$D$4)</f>
        <v>2749148.8185757035</v>
      </c>
      <c r="I18" s="171" t="s">
        <v>50</v>
      </c>
      <c r="J18" s="20"/>
      <c r="K18" s="20"/>
    </row>
    <row r="19" spans="2:11">
      <c r="B19" s="13">
        <f t="shared" si="2"/>
        <v>2041</v>
      </c>
      <c r="C19" s="44">
        <f>_xlfn.XLOOKUP($B19,'Annualized Operations'!$B$14:$B$33,'Annualized Operations'!E$14:E$33,0,0,1)</f>
        <v>1016538.5891478215</v>
      </c>
      <c r="D19" s="45">
        <f>_xlfn.XLOOKUP($B19,'Annualized Operations'!$B$14:$B$33,'Annualized Operations'!F$14:F$33,0,0,1)</f>
        <v>856439.08912743255</v>
      </c>
      <c r="E19" s="46">
        <f t="shared" si="1"/>
        <v>160099.50002038898</v>
      </c>
      <c r="F19" s="47">
        <f t="shared" si="0"/>
        <v>5243071.3812697912</v>
      </c>
      <c r="G19" s="14">
        <f>F19*(1+Assumptions!$D$13)^-($B19-Assumptions!$D$4)</f>
        <v>2935425.9555856707</v>
      </c>
      <c r="I19" s="264" t="s">
        <v>16</v>
      </c>
      <c r="J19" s="262">
        <f>J11*J7*J15+J12*J8*J16</f>
        <v>32.74883044982699</v>
      </c>
      <c r="K19" s="267"/>
    </row>
    <row r="20" spans="2:11">
      <c r="B20" s="13">
        <f t="shared" si="2"/>
        <v>2042</v>
      </c>
      <c r="C20" s="44">
        <f>_xlfn.XLOOKUP($B20,'Annualized Operations'!$B$14:$B$33,'Annualized Operations'!E$14:E$33,0,0,1)</f>
        <v>1047855.8894326004</v>
      </c>
      <c r="D20" s="45">
        <f>_xlfn.XLOOKUP($B20,'Annualized Operations'!$B$14:$B$33,'Annualized Operations'!F$14:F$33,0,0,1)</f>
        <v>873088.37157547998</v>
      </c>
      <c r="E20" s="46">
        <f t="shared" si="1"/>
        <v>174767.51785712037</v>
      </c>
      <c r="F20" s="47">
        <f t="shared" si="0"/>
        <v>5723431.8104399461</v>
      </c>
      <c r="G20" s="14">
        <f>F20*(1+Assumptions!$D$13)^-($B20-Assumptions!$D$4)</f>
        <v>3108015.7238525474</v>
      </c>
      <c r="I20" s="256"/>
      <c r="J20" s="270"/>
      <c r="K20" s="270"/>
    </row>
    <row r="21" spans="2:11">
      <c r="B21" s="13">
        <f t="shared" si="2"/>
        <v>2043</v>
      </c>
      <c r="C21" s="44">
        <f>_xlfn.XLOOKUP($B21,'Annualized Operations'!$B$14:$B$33,'Annualized Operations'!E$14:E$33,0,0,1)</f>
        <v>1079173.189717371</v>
      </c>
      <c r="D21" s="45">
        <f>_xlfn.XLOOKUP($B21,'Annualized Operations'!$B$14:$B$33,'Annualized Operations'!F$14:F$33,0,0,1)</f>
        <v>889737.65402352321</v>
      </c>
      <c r="E21" s="46">
        <f t="shared" si="1"/>
        <v>189435.53569384781</v>
      </c>
      <c r="F21" s="47">
        <f t="shared" si="0"/>
        <v>6203792.2396099707</v>
      </c>
      <c r="G21" s="14">
        <f>F21*(1+Assumptions!$D$13)^-($B21-Assumptions!$D$4)</f>
        <v>3267572.814993408</v>
      </c>
      <c r="I21" s="256"/>
      <c r="J21" s="20"/>
      <c r="K21" s="20"/>
    </row>
    <row r="22" spans="2:11">
      <c r="B22" s="13">
        <f t="shared" si="2"/>
        <v>2044</v>
      </c>
      <c r="C22" s="44">
        <f>_xlfn.XLOOKUP($B22,'Annualized Operations'!$B$14:$B$33,'Annualized Operations'!E$14:E$33,0,0,1)</f>
        <v>1110490.4900021418</v>
      </c>
      <c r="D22" s="45">
        <f>_xlfn.XLOOKUP($B22,'Annualized Operations'!$B$14:$B$33,'Annualized Operations'!F$14:F$33,0,0,1)</f>
        <v>906386.93647156656</v>
      </c>
      <c r="E22" s="46">
        <f t="shared" si="1"/>
        <v>204103.55353057524</v>
      </c>
      <c r="F22" s="47">
        <f t="shared" si="0"/>
        <v>6684152.6687799953</v>
      </c>
      <c r="G22" s="14">
        <f>F22*(1+Assumptions!$D$13)^-($B22-Assumptions!$D$4)</f>
        <v>3414724.9246810195</v>
      </c>
    </row>
    <row r="23" spans="2:11">
      <c r="B23" s="13">
        <f t="shared" si="2"/>
        <v>2045</v>
      </c>
      <c r="C23" s="44">
        <f>_xlfn.XLOOKUP($B23,'Annualized Operations'!$B$14:$B$33,'Annualized Operations'!E$14:E$33,0,0,1)</f>
        <v>1141807.7902869123</v>
      </c>
      <c r="D23" s="45">
        <f>_xlfn.XLOOKUP($B23,'Annualized Operations'!$B$14:$B$33,'Annualized Operations'!F$14:F$33,0,0,1)</f>
        <v>923036.21891961398</v>
      </c>
      <c r="E23" s="46">
        <f t="shared" si="1"/>
        <v>218771.57136729837</v>
      </c>
      <c r="F23" s="47">
        <f t="shared" si="0"/>
        <v>7164513.0979498792</v>
      </c>
      <c r="G23" s="14">
        <f>F23*(1+Assumptions!$D$13)^-($B23-Assumptions!$D$4)</f>
        <v>3550073.7841734355</v>
      </c>
    </row>
    <row r="24" spans="2:11">
      <c r="B24" s="13">
        <f t="shared" si="2"/>
        <v>2046</v>
      </c>
      <c r="C24" s="44">
        <f>_xlfn.XLOOKUP($B24,'Annualized Operations'!$B$14:$B$33,'Annualized Operations'!E$14:E$33,0,0,1)</f>
        <v>1173125.0905716913</v>
      </c>
      <c r="D24" s="45">
        <f>_xlfn.XLOOKUP($B24,'Annualized Operations'!$B$14:$B$33,'Annualized Operations'!F$14:F$33,0,0,1)</f>
        <v>939685.50136765721</v>
      </c>
      <c r="E24" s="46">
        <f t="shared" si="1"/>
        <v>233439.58920403407</v>
      </c>
      <c r="F24" s="47">
        <f t="shared" si="0"/>
        <v>7644873.5271201748</v>
      </c>
      <c r="G24" s="14">
        <f>F24*(1+Assumptions!$D$13)^-($B24-Assumptions!$D$4)</f>
        <v>3674196.1542190313</v>
      </c>
    </row>
    <row r="25" spans="2:11">
      <c r="B25" s="13">
        <f t="shared" si="2"/>
        <v>2047</v>
      </c>
      <c r="C25" s="44">
        <f>_xlfn.XLOOKUP($B25,'Annualized Operations'!$B$14:$B$33,'Annualized Operations'!E$14:E$33,0,0,1)</f>
        <v>1204442.3908564618</v>
      </c>
      <c r="D25" s="45">
        <f>_xlfn.XLOOKUP($B25,'Annualized Operations'!$B$14:$B$33,'Annualized Operations'!F$14:F$33,0,0,1)</f>
        <v>956334.78381570464</v>
      </c>
      <c r="E25" s="46">
        <f t="shared" si="1"/>
        <v>248107.6070407572</v>
      </c>
      <c r="F25" s="47">
        <f t="shared" si="0"/>
        <v>8125233.9562900588</v>
      </c>
      <c r="G25" s="14">
        <f>F25*(1+Assumptions!$D$13)^-($B25-Assumptions!$D$4)</f>
        <v>3787644.7826646529</v>
      </c>
    </row>
    <row r="26" spans="2:11" ht="12.75" thickBot="1">
      <c r="B26" s="17">
        <f t="shared" si="2"/>
        <v>2048</v>
      </c>
      <c r="C26" s="49">
        <f>_xlfn.XLOOKUP($B26,'Annualized Operations'!$B$14:$B$33,'Annualized Operations'!E$14:E$33,0,0,1)</f>
        <v>1235759.6911412326</v>
      </c>
      <c r="D26" s="50">
        <f>_xlfn.XLOOKUP($B26,'Annualized Operations'!$B$14:$B$33,'Annualized Operations'!F$14:F$33,0,0,1)</f>
        <v>972984.06626374798</v>
      </c>
      <c r="E26" s="51">
        <f t="shared" si="1"/>
        <v>262775.62487748463</v>
      </c>
      <c r="F26" s="52">
        <f t="shared" si="0"/>
        <v>8605594.3854600824</v>
      </c>
      <c r="G26" s="18">
        <f>F26*(1+Assumptions!$D$13)^-($B26-Assumptions!$D$4)</f>
        <v>3890949.3270548508</v>
      </c>
    </row>
    <row r="27" spans="2:11" ht="12.75" thickBot="1">
      <c r="C27" s="53"/>
      <c r="D27" s="54"/>
      <c r="E27" s="54"/>
      <c r="F27" s="55" t="s">
        <v>51</v>
      </c>
      <c r="G27" s="56">
        <f>SUM(G7:G26)</f>
        <v>44052954.734350748</v>
      </c>
    </row>
    <row r="28" spans="2:11">
      <c r="G28" s="20"/>
    </row>
    <row r="29" spans="2:11">
      <c r="B29" s="35" t="s">
        <v>52</v>
      </c>
    </row>
    <row r="30" spans="2:11">
      <c r="B30" s="19" t="s">
        <v>18</v>
      </c>
      <c r="C30" s="625" t="s">
        <v>241</v>
      </c>
      <c r="D30" s="625"/>
      <c r="E30" s="625"/>
    </row>
    <row r="31" spans="2:11">
      <c r="C31" s="625"/>
      <c r="D31" s="625"/>
      <c r="E31" s="625"/>
    </row>
    <row r="32" spans="2:11" ht="12" customHeight="1">
      <c r="B32" s="19" t="s">
        <v>19</v>
      </c>
      <c r="C32" s="625" t="s">
        <v>316</v>
      </c>
      <c r="D32" s="625"/>
      <c r="E32" s="625"/>
      <c r="F32" s="625"/>
    </row>
    <row r="33" spans="3:6">
      <c r="C33" s="625"/>
      <c r="D33" s="625"/>
      <c r="E33" s="625"/>
      <c r="F33" s="625"/>
    </row>
    <row r="34" spans="3:6">
      <c r="C34" s="625"/>
      <c r="D34" s="625"/>
      <c r="E34" s="625"/>
      <c r="F34" s="625"/>
    </row>
    <row r="35" spans="3:6">
      <c r="C35" s="307"/>
      <c r="D35" s="307"/>
      <c r="E35" s="307"/>
      <c r="F35" s="307"/>
    </row>
  </sheetData>
  <mergeCells count="12">
    <mergeCell ref="C32:F34"/>
    <mergeCell ref="B5:B6"/>
    <mergeCell ref="C5:C6"/>
    <mergeCell ref="D5:D6"/>
    <mergeCell ref="E5:E6"/>
    <mergeCell ref="F5:F6"/>
    <mergeCell ref="I6:J6"/>
    <mergeCell ref="I10:J10"/>
    <mergeCell ref="I14:J14"/>
    <mergeCell ref="C30:E31"/>
    <mergeCell ref="C4:G4"/>
    <mergeCell ref="G5:G6"/>
  </mergeCells>
  <pageMargins left="0.25" right="0.25" top="0.75" bottom="0.75" header="0.3" footer="0.3"/>
  <pageSetup paperSize="119"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4452F3-AAAD-4C49-A583-07F992001103}">
  <sheetPr>
    <tabColor rgb="FF00B050"/>
    <pageSetUpPr fitToPage="1"/>
  </sheetPr>
  <dimension ref="B2:BS50"/>
  <sheetViews>
    <sheetView view="pageBreakPreview" zoomScale="85" zoomScaleNormal="85" zoomScaleSheetLayoutView="85" workbookViewId="0">
      <selection activeCell="N12" sqref="N12"/>
    </sheetView>
  </sheetViews>
  <sheetFormatPr defaultRowHeight="15"/>
  <cols>
    <col min="1" max="1" width="5" customWidth="1"/>
    <col min="2" max="2" width="4.7109375" customWidth="1"/>
    <col min="3" max="3" width="8.5703125" customWidth="1"/>
    <col min="4" max="7" width="12.7109375" customWidth="1"/>
    <col min="8" max="8" width="12" bestFit="1" customWidth="1"/>
    <col min="9" max="9" width="12.42578125" bestFit="1" customWidth="1"/>
    <col min="10" max="10" width="16.42578125" bestFit="1" customWidth="1"/>
    <col min="11" max="11" width="14.5703125" customWidth="1"/>
    <col min="12" max="12" width="5.5703125" customWidth="1"/>
    <col min="13" max="13" width="29" customWidth="1"/>
    <col min="14" max="14" width="13.42578125" bestFit="1" customWidth="1"/>
    <col min="15" max="15" width="10.5703125" bestFit="1" customWidth="1"/>
    <col min="16" max="16" width="13.7109375" bestFit="1" customWidth="1"/>
    <col min="17" max="17" width="13.140625" bestFit="1" customWidth="1"/>
    <col min="18" max="19" width="9.85546875" customWidth="1"/>
    <col min="20" max="20" width="24.28515625" customWidth="1"/>
    <col min="21" max="21" width="16.42578125" bestFit="1" customWidth="1"/>
    <col min="22" max="22" width="12.85546875" bestFit="1" customWidth="1"/>
    <col min="23" max="23" width="16.42578125" bestFit="1" customWidth="1"/>
    <col min="24" max="24" width="15.7109375" bestFit="1" customWidth="1"/>
    <col min="25" max="25" width="19.28515625" bestFit="1" customWidth="1"/>
    <col min="28" max="28" width="13.42578125" bestFit="1" customWidth="1"/>
    <col min="29" max="29" width="10.5703125" bestFit="1" customWidth="1"/>
    <col min="30" max="30" width="13.7109375" bestFit="1" customWidth="1"/>
    <col min="31" max="31" width="13.140625" bestFit="1" customWidth="1"/>
    <col min="32" max="32" width="16.28515625" bestFit="1" customWidth="1"/>
    <col min="40" max="40" width="10" bestFit="1" customWidth="1"/>
    <col min="52" max="52" width="9.42578125" bestFit="1" customWidth="1"/>
    <col min="53" max="53" width="10" bestFit="1" customWidth="1"/>
    <col min="54" max="54" width="8.85546875" customWidth="1"/>
    <col min="66" max="66" width="11.140625" bestFit="1" customWidth="1"/>
  </cols>
  <sheetData>
    <row r="2" spans="3:32" ht="17.25" thickBot="1">
      <c r="C2" s="7" t="s">
        <v>201</v>
      </c>
      <c r="M2" s="329" t="s">
        <v>308</v>
      </c>
      <c r="T2" t="s">
        <v>426</v>
      </c>
      <c r="AA2" t="s">
        <v>429</v>
      </c>
    </row>
    <row r="3" spans="3:32" ht="15.75" thickBot="1">
      <c r="D3" s="673" t="s">
        <v>1</v>
      </c>
      <c r="E3" s="675"/>
      <c r="F3" s="673" t="s">
        <v>2</v>
      </c>
      <c r="G3" s="675"/>
      <c r="M3" s="238" t="s">
        <v>262</v>
      </c>
      <c r="N3" s="728" t="s">
        <v>1</v>
      </c>
      <c r="O3" s="729"/>
      <c r="P3" s="729" t="s">
        <v>2</v>
      </c>
      <c r="Q3" s="730"/>
      <c r="T3" s="452" t="s">
        <v>4</v>
      </c>
      <c r="U3" s="453" t="s">
        <v>162</v>
      </c>
      <c r="V3" s="453" t="s">
        <v>163</v>
      </c>
      <c r="W3" s="453" t="s">
        <v>164</v>
      </c>
      <c r="X3" s="453" t="s">
        <v>165</v>
      </c>
      <c r="Y3" s="454" t="s">
        <v>166</v>
      </c>
      <c r="AA3" s="463" t="s">
        <v>4</v>
      </c>
      <c r="AB3" s="464" t="s">
        <v>162</v>
      </c>
      <c r="AC3" s="464" t="s">
        <v>163</v>
      </c>
      <c r="AD3" s="465" t="s">
        <v>164</v>
      </c>
      <c r="AE3" s="464" t="s">
        <v>165</v>
      </c>
      <c r="AF3" s="454" t="s">
        <v>166</v>
      </c>
    </row>
    <row r="4" spans="3:32" ht="15.75" thickBot="1">
      <c r="C4" s="380" t="s">
        <v>4</v>
      </c>
      <c r="D4" s="330" t="s">
        <v>169</v>
      </c>
      <c r="E4" s="372" t="s">
        <v>170</v>
      </c>
      <c r="F4" s="330" t="s">
        <v>169</v>
      </c>
      <c r="G4" s="372" t="s">
        <v>170</v>
      </c>
      <c r="H4" s="370" t="s">
        <v>1</v>
      </c>
      <c r="I4" s="371" t="s">
        <v>2</v>
      </c>
      <c r="J4" s="371" t="s">
        <v>3</v>
      </c>
      <c r="K4" s="372" t="s">
        <v>49</v>
      </c>
      <c r="M4" s="239" t="s">
        <v>41</v>
      </c>
      <c r="N4" s="234" t="s">
        <v>310</v>
      </c>
      <c r="O4" s="220" t="s">
        <v>170</v>
      </c>
      <c r="P4" s="220" t="s">
        <v>310</v>
      </c>
      <c r="Q4" s="221" t="s">
        <v>170</v>
      </c>
      <c r="T4" s="455">
        <v>2023</v>
      </c>
      <c r="U4" s="450">
        <v>5.2</v>
      </c>
      <c r="V4" s="450">
        <v>1.46</v>
      </c>
      <c r="W4" s="451">
        <v>27.97</v>
      </c>
      <c r="X4" s="450">
        <v>3.75</v>
      </c>
      <c r="Y4" s="456">
        <v>72.03</v>
      </c>
      <c r="AA4" s="455">
        <v>2023</v>
      </c>
      <c r="AB4" s="450">
        <v>1.28</v>
      </c>
      <c r="AC4" s="450">
        <v>0.32</v>
      </c>
      <c r="AD4" s="451">
        <v>24.948</v>
      </c>
      <c r="AE4" s="450">
        <v>0.96</v>
      </c>
      <c r="AF4" s="456">
        <v>75.052000000000007</v>
      </c>
    </row>
    <row r="5" spans="3:32" ht="15.75" thickBot="1">
      <c r="C5" s="373">
        <f>Assumptions!D8</f>
        <v>2029</v>
      </c>
      <c r="D5" s="375">
        <f>'Annualized Operations'!$C14*Safety!N$6</f>
        <v>2.0899337678658405</v>
      </c>
      <c r="E5" s="376">
        <f>'Annualized Operations'!$C14*Safety!O$6</f>
        <v>4.8908965847685524</v>
      </c>
      <c r="F5" s="375">
        <f>'Annualized Operations'!$C14*Safety!P$6</f>
        <v>1.0179273913090494</v>
      </c>
      <c r="G5" s="376">
        <f>'Annualized Operations'!$C14*Safety!Q$6</f>
        <v>1.8306296037360164</v>
      </c>
      <c r="H5" s="378">
        <f t="shared" ref="H5:H24" si="0">D5*$N$33+E5*$N$27</f>
        <v>2902716.6562683168</v>
      </c>
      <c r="I5" s="223">
        <f t="shared" ref="I5:I24" si="1">F5*$N$33+G5*$N$27</f>
        <v>1408784.0599589562</v>
      </c>
      <c r="J5" s="223">
        <f>H5-I5</f>
        <v>1493932.5963093606</v>
      </c>
      <c r="K5" s="177">
        <f>J5*(1+Assumptions!$D$13)^-($C5-Assumptions!$D$4)</f>
        <v>1206480.609417343</v>
      </c>
      <c r="M5" s="240" t="s">
        <v>263</v>
      </c>
      <c r="N5" s="235">
        <f>SUM(U10*W10/100,U20*W20/100,U30*W30/100)</f>
        <v>1.7992847999999999</v>
      </c>
      <c r="O5" s="236">
        <f>SUM(U10*Y10/100,U20*Y20/100,U30*Y30/100)</f>
        <v>4.210715200000001</v>
      </c>
      <c r="P5" s="236">
        <f>SUM(AB10*AD10/100,AB20*AD20/100,AB30*AD30/100)</f>
        <v>0.91481199999999996</v>
      </c>
      <c r="Q5" s="237">
        <f>SUM(AB10*AF10/100,AB20*AF20/100,AB30*AF30/100)</f>
        <v>1.6451880000000001</v>
      </c>
      <c r="T5" s="455">
        <v>2024</v>
      </c>
      <c r="U5" s="450">
        <f>U4</f>
        <v>5.2</v>
      </c>
      <c r="V5" s="450">
        <f t="shared" ref="V5:Y8" si="2">V4</f>
        <v>1.46</v>
      </c>
      <c r="W5" s="450">
        <f t="shared" si="2"/>
        <v>27.97</v>
      </c>
      <c r="X5" s="450">
        <f t="shared" si="2"/>
        <v>3.75</v>
      </c>
      <c r="Y5" s="457">
        <f t="shared" si="2"/>
        <v>72.03</v>
      </c>
      <c r="AA5" s="455">
        <v>2024</v>
      </c>
      <c r="AB5" s="450">
        <v>1.28</v>
      </c>
      <c r="AC5" s="450">
        <v>0.32</v>
      </c>
      <c r="AD5" s="451">
        <v>24.948</v>
      </c>
      <c r="AE5" s="450">
        <v>0.96</v>
      </c>
      <c r="AF5" s="456">
        <v>75.052000000000007</v>
      </c>
    </row>
    <row r="6" spans="3:32">
      <c r="C6" s="373">
        <f>C5+1</f>
        <v>2030</v>
      </c>
      <c r="D6" s="375">
        <f>'Annualized Operations'!$C15*Safety!N$6</f>
        <v>2.1383752625101478</v>
      </c>
      <c r="E6" s="376">
        <f>'Annualized Operations'!$C15*Safety!O$6</f>
        <v>5.0042601488966456</v>
      </c>
      <c r="F6" s="375">
        <f>'Annualized Operations'!$C15*Safety!P$6</f>
        <v>1.0415214042067615</v>
      </c>
      <c r="G6" s="376">
        <f>'Annualized Operations'!$C15*Safety!Q$6</f>
        <v>1.8730608211786837</v>
      </c>
      <c r="H6" s="378">
        <f t="shared" si="0"/>
        <v>2969997.2254043189</v>
      </c>
      <c r="I6" s="223">
        <f t="shared" si="1"/>
        <v>1441437.5375690025</v>
      </c>
      <c r="J6" s="223">
        <f>H6-I6</f>
        <v>1528559.6878353164</v>
      </c>
      <c r="K6" s="177">
        <f>J6*(1+Assumptions!$D$13)^-($C6-Assumptions!$D$4)</f>
        <v>1197327.8369600102</v>
      </c>
      <c r="M6" s="246" t="s">
        <v>264</v>
      </c>
      <c r="N6" s="241">
        <f>N5/$N$11</f>
        <v>1.9913750964000435E-6</v>
      </c>
      <c r="O6" s="242">
        <f>O5/$N$11</f>
        <v>4.66024799815634E-6</v>
      </c>
      <c r="P6" s="242">
        <f>P5/$N$12</f>
        <v>9.6992320434454433E-7</v>
      </c>
      <c r="Q6" s="243">
        <f>Q5/$N$12</f>
        <v>1.7442993934373318E-6</v>
      </c>
      <c r="T6" s="455">
        <v>2025</v>
      </c>
      <c r="U6" s="450">
        <f t="shared" ref="U6:U8" si="3">U5</f>
        <v>5.2</v>
      </c>
      <c r="V6" s="450">
        <f t="shared" si="2"/>
        <v>1.46</v>
      </c>
      <c r="W6" s="450">
        <f t="shared" si="2"/>
        <v>27.97</v>
      </c>
      <c r="X6" s="450">
        <f t="shared" si="2"/>
        <v>3.75</v>
      </c>
      <c r="Y6" s="457">
        <f t="shared" si="2"/>
        <v>72.03</v>
      </c>
      <c r="AA6" s="455">
        <v>2025</v>
      </c>
      <c r="AB6" s="450">
        <v>1.28</v>
      </c>
      <c r="AC6" s="450">
        <v>0.32</v>
      </c>
      <c r="AD6" s="451">
        <v>24.948</v>
      </c>
      <c r="AE6" s="450">
        <v>0.96</v>
      </c>
      <c r="AF6" s="456">
        <v>75.052000000000007</v>
      </c>
    </row>
    <row r="7" spans="3:32" ht="15.75" thickBot="1">
      <c r="C7" s="373">
        <f t="shared" ref="C7:C24" si="4">C6+1</f>
        <v>2031</v>
      </c>
      <c r="D7" s="375">
        <f>'Annualized Operations'!$C16*Safety!N$6</f>
        <v>2.186816757154455</v>
      </c>
      <c r="E7" s="376">
        <f>'Annualized Operations'!$C16*Safety!O$6</f>
        <v>5.1176237130247388</v>
      </c>
      <c r="F7" s="375">
        <f>'Annualized Operations'!$C16*Safety!P$6</f>
        <v>1.0651154171044739</v>
      </c>
      <c r="G7" s="376">
        <f>'Annualized Operations'!$C16*Safety!Q$6</f>
        <v>1.915492038621351</v>
      </c>
      <c r="H7" s="378">
        <f t="shared" si="0"/>
        <v>3037277.794540321</v>
      </c>
      <c r="I7" s="223">
        <f t="shared" si="1"/>
        <v>1474091.015179049</v>
      </c>
      <c r="J7" s="223">
        <f t="shared" ref="J7:J24" si="5">H7-I7</f>
        <v>1563186.779361272</v>
      </c>
      <c r="K7" s="177">
        <f>J7*(1+Assumptions!$D$13)^-($C7-Assumptions!$D$4)</f>
        <v>1187634.720741587</v>
      </c>
      <c r="M7" s="247" t="s">
        <v>265</v>
      </c>
      <c r="N7" s="244">
        <f>N5/($N$11/100000000)</f>
        <v>199.13750964000431</v>
      </c>
      <c r="O7" s="225">
        <f>O5/($N$11/100000000)</f>
        <v>466.02479981563397</v>
      </c>
      <c r="P7" s="225">
        <f>P5/($N$12/100000000)</f>
        <v>96.992320434454442</v>
      </c>
      <c r="Q7" s="245">
        <f>Q5/($N$12/100000000)</f>
        <v>174.4299393437332</v>
      </c>
      <c r="T7" s="455">
        <v>2026</v>
      </c>
      <c r="U7" s="450">
        <f t="shared" si="3"/>
        <v>5.2</v>
      </c>
      <c r="V7" s="450">
        <f t="shared" si="2"/>
        <v>1.46</v>
      </c>
      <c r="W7" s="450">
        <f t="shared" si="2"/>
        <v>27.97</v>
      </c>
      <c r="X7" s="450">
        <f t="shared" si="2"/>
        <v>3.75</v>
      </c>
      <c r="Y7" s="457">
        <f t="shared" si="2"/>
        <v>72.03</v>
      </c>
      <c r="AA7" s="455">
        <v>2026</v>
      </c>
      <c r="AB7" s="450">
        <v>1.28</v>
      </c>
      <c r="AC7" s="450">
        <v>0.32</v>
      </c>
      <c r="AD7" s="451">
        <v>24.948</v>
      </c>
      <c r="AE7" s="450">
        <v>0.96</v>
      </c>
      <c r="AF7" s="456">
        <v>75.052000000000007</v>
      </c>
    </row>
    <row r="8" spans="3:32" ht="15.75" thickBot="1">
      <c r="C8" s="373">
        <f t="shared" si="4"/>
        <v>2032</v>
      </c>
      <c r="D8" s="375">
        <f>'Annualized Operations'!$C17*Safety!N$6</f>
        <v>2.2352582517987623</v>
      </c>
      <c r="E8" s="376">
        <f>'Annualized Operations'!$C17*Safety!O$6</f>
        <v>5.2309872771528321</v>
      </c>
      <c r="F8" s="375">
        <f>'Annualized Operations'!$C17*Safety!P$6</f>
        <v>1.088709430002186</v>
      </c>
      <c r="G8" s="376">
        <f>'Annualized Operations'!$C17*Safety!Q$6</f>
        <v>1.9579232560640183</v>
      </c>
      <c r="H8" s="378">
        <f t="shared" si="0"/>
        <v>3104558.3636763231</v>
      </c>
      <c r="I8" s="223">
        <f t="shared" si="1"/>
        <v>1506744.4927890953</v>
      </c>
      <c r="J8" s="223">
        <f t="shared" si="5"/>
        <v>1597813.8708872278</v>
      </c>
      <c r="K8" s="177">
        <f>J8*(1+Assumptions!$D$13)^-($C8-Assumptions!$D$4)</f>
        <v>1177442.0295844742</v>
      </c>
      <c r="M8" s="8"/>
      <c r="T8" s="455">
        <v>2027</v>
      </c>
      <c r="U8" s="450">
        <f t="shared" si="3"/>
        <v>5.2</v>
      </c>
      <c r="V8" s="450">
        <f t="shared" si="2"/>
        <v>1.46</v>
      </c>
      <c r="W8" s="450">
        <f t="shared" si="2"/>
        <v>27.97</v>
      </c>
      <c r="X8" s="450">
        <f t="shared" si="2"/>
        <v>3.75</v>
      </c>
      <c r="Y8" s="457">
        <f t="shared" si="2"/>
        <v>72.03</v>
      </c>
      <c r="AA8" s="455">
        <v>2027</v>
      </c>
      <c r="AB8" s="450">
        <v>1.28</v>
      </c>
      <c r="AC8" s="450">
        <v>0.32</v>
      </c>
      <c r="AD8" s="451">
        <v>24.948</v>
      </c>
      <c r="AE8" s="450">
        <v>0.96</v>
      </c>
      <c r="AF8" s="456">
        <v>75.052000000000007</v>
      </c>
    </row>
    <row r="9" spans="3:32" ht="15.75" thickBot="1">
      <c r="C9" s="373">
        <f t="shared" si="4"/>
        <v>2033</v>
      </c>
      <c r="D9" s="375">
        <f>'Annualized Operations'!$C18*Safety!N$6</f>
        <v>2.2836997464430695</v>
      </c>
      <c r="E9" s="376">
        <f>'Annualized Operations'!$C18*Safety!O$6</f>
        <v>5.3443508412809244</v>
      </c>
      <c r="F9" s="375">
        <f>'Annualized Operations'!$C18*Safety!P$6</f>
        <v>1.1123034428998984</v>
      </c>
      <c r="G9" s="376">
        <f>'Annualized Operations'!$C18*Safety!Q$6</f>
        <v>2.0003544735066856</v>
      </c>
      <c r="H9" s="378">
        <f t="shared" si="0"/>
        <v>3171838.9328123252</v>
      </c>
      <c r="I9" s="223">
        <f t="shared" si="1"/>
        <v>1539397.970399142</v>
      </c>
      <c r="J9" s="223">
        <f>H9-I9</f>
        <v>1632440.9624131832</v>
      </c>
      <c r="K9" s="177">
        <f>J9*(1+Assumptions!$D$13)^-($C9-Assumptions!$D$4)</f>
        <v>1166788.5691587918</v>
      </c>
      <c r="M9" s="710" t="s">
        <v>309</v>
      </c>
      <c r="N9" s="711"/>
      <c r="O9" s="711"/>
      <c r="P9" s="711"/>
      <c r="Q9" s="711"/>
      <c r="R9" s="712"/>
      <c r="T9" s="458" t="s">
        <v>167</v>
      </c>
      <c r="U9" s="450">
        <f>SUM(U4:U8)</f>
        <v>26</v>
      </c>
      <c r="V9" s="450">
        <f>SUM(V4:V8)</f>
        <v>7.3</v>
      </c>
      <c r="W9" s="451">
        <f>W8</f>
        <v>27.97</v>
      </c>
      <c r="X9" s="450">
        <f>SUM(X4:X8)</f>
        <v>18.75</v>
      </c>
      <c r="Y9" s="456">
        <f>Y8</f>
        <v>72.03</v>
      </c>
      <c r="AA9" s="458" t="s">
        <v>167</v>
      </c>
      <c r="AB9" s="450">
        <v>6.43</v>
      </c>
      <c r="AC9" s="450">
        <v>1.6</v>
      </c>
      <c r="AD9" s="451">
        <v>24.948</v>
      </c>
      <c r="AE9" s="450">
        <v>4.82</v>
      </c>
      <c r="AF9" s="456">
        <v>75.052000000000007</v>
      </c>
    </row>
    <row r="10" spans="3:32" ht="15.75" customHeight="1" thickBot="1">
      <c r="C10" s="373">
        <f t="shared" si="4"/>
        <v>2034</v>
      </c>
      <c r="D10" s="375">
        <f>'Annualized Operations'!$C19*Safety!N$6</f>
        <v>2.3321412410873767</v>
      </c>
      <c r="E10" s="376">
        <f>'Annualized Operations'!$C19*Safety!O$6</f>
        <v>5.4577144054090176</v>
      </c>
      <c r="F10" s="375">
        <f>'Annualized Operations'!$C19*Safety!P$6</f>
        <v>1.1358974557976105</v>
      </c>
      <c r="G10" s="376">
        <f>'Annualized Operations'!$C19*Safety!Q$6</f>
        <v>2.0427856909493531</v>
      </c>
      <c r="H10" s="378">
        <f t="shared" si="0"/>
        <v>3239119.5019483273</v>
      </c>
      <c r="I10" s="223">
        <f t="shared" si="1"/>
        <v>1572051.4480091885</v>
      </c>
      <c r="J10" s="223">
        <f t="shared" si="5"/>
        <v>1667068.0539391388</v>
      </c>
      <c r="K10" s="177">
        <f>J10*(1+Assumptions!$D$13)^-($C10-Assumptions!$D$4)</f>
        <v>1155711.2631798857</v>
      </c>
      <c r="M10" s="104" t="s">
        <v>262</v>
      </c>
      <c r="N10" s="251" t="s">
        <v>288</v>
      </c>
      <c r="O10" s="721" t="s">
        <v>569</v>
      </c>
      <c r="P10" s="721"/>
      <c r="Q10" s="721"/>
      <c r="R10" s="722"/>
      <c r="T10" s="459" t="s">
        <v>168</v>
      </c>
      <c r="U10" s="460">
        <f>U6</f>
        <v>5.2</v>
      </c>
      <c r="V10" s="460">
        <f>V6</f>
        <v>1.46</v>
      </c>
      <c r="W10" s="461">
        <f>W7</f>
        <v>27.97</v>
      </c>
      <c r="X10" s="460">
        <f>X7</f>
        <v>3.75</v>
      </c>
      <c r="Y10" s="462">
        <f>Y6</f>
        <v>72.03</v>
      </c>
      <c r="AA10" s="459" t="s">
        <v>168</v>
      </c>
      <c r="AB10" s="460">
        <v>1.28</v>
      </c>
      <c r="AC10" s="460">
        <v>0.32</v>
      </c>
      <c r="AD10" s="461">
        <v>24.948</v>
      </c>
      <c r="AE10" s="460">
        <v>0.96</v>
      </c>
      <c r="AF10" s="462">
        <v>75.052000000000007</v>
      </c>
    </row>
    <row r="11" spans="3:32" ht="15" customHeight="1">
      <c r="C11" s="373">
        <f t="shared" si="4"/>
        <v>2035</v>
      </c>
      <c r="D11" s="375">
        <f>'Annualized Operations'!$C20*Safety!N$6</f>
        <v>2.380582735731684</v>
      </c>
      <c r="E11" s="376">
        <f>'Annualized Operations'!$C20*Safety!O$6</f>
        <v>5.5710779695371109</v>
      </c>
      <c r="F11" s="375">
        <f>'Annualized Operations'!$C20*Safety!P$6</f>
        <v>1.1594914686953228</v>
      </c>
      <c r="G11" s="376">
        <f>'Annualized Operations'!$C20*Safety!Q$6</f>
        <v>2.0852169083920202</v>
      </c>
      <c r="H11" s="378">
        <f t="shared" si="0"/>
        <v>3306400.0710843294</v>
      </c>
      <c r="I11" s="223">
        <f t="shared" si="1"/>
        <v>1604704.925619235</v>
      </c>
      <c r="J11" s="223">
        <f t="shared" si="5"/>
        <v>1701695.1454650944</v>
      </c>
      <c r="K11" s="177">
        <f>J11*(1+Assumptions!$D$13)^-($C11-Assumptions!$D$4)</f>
        <v>1144245.2314977995</v>
      </c>
      <c r="M11" s="249" t="s">
        <v>1</v>
      </c>
      <c r="N11" s="250">
        <f>'Annualized Operations'!C5*'Annualized Operations'!M3</f>
        <v>903538.86781686719</v>
      </c>
      <c r="O11" s="721"/>
      <c r="P11" s="721"/>
      <c r="Q11" s="721"/>
      <c r="R11" s="722"/>
      <c r="S11" s="381"/>
    </row>
    <row r="12" spans="3:32" ht="15.75" customHeight="1" thickBot="1">
      <c r="C12" s="373">
        <f t="shared" si="4"/>
        <v>2036</v>
      </c>
      <c r="D12" s="375">
        <f>'Annualized Operations'!$C21*Safety!N$6</f>
        <v>2.4290242303759912</v>
      </c>
      <c r="E12" s="376">
        <f>'Annualized Operations'!$C21*Safety!O$6</f>
        <v>5.6844415336652041</v>
      </c>
      <c r="F12" s="375">
        <f>'Annualized Operations'!$C21*Safety!P$6</f>
        <v>1.1830854815930349</v>
      </c>
      <c r="G12" s="376">
        <f>'Annualized Operations'!$C21*Safety!Q$6</f>
        <v>2.1276481258346878</v>
      </c>
      <c r="H12" s="378">
        <f t="shared" si="0"/>
        <v>3373680.6402203315</v>
      </c>
      <c r="I12" s="223">
        <f t="shared" si="1"/>
        <v>1637358.4032292813</v>
      </c>
      <c r="J12" s="223">
        <f t="shared" si="5"/>
        <v>1736322.2369910502</v>
      </c>
      <c r="K12" s="177">
        <f>J12*(1+Assumptions!$D$13)^-($C12-Assumptions!$D$4)</f>
        <v>1132423.8651922108</v>
      </c>
      <c r="M12" s="178" t="s">
        <v>2</v>
      </c>
      <c r="N12" s="248">
        <f>'Annualized Operations'!D5*'Annualized Operations'!M3</f>
        <v>943179.82692064007</v>
      </c>
      <c r="O12" s="721"/>
      <c r="P12" s="721"/>
      <c r="Q12" s="721"/>
      <c r="R12" s="722"/>
      <c r="S12" s="606"/>
      <c r="T12" t="s">
        <v>425</v>
      </c>
      <c r="AA12" t="s">
        <v>428</v>
      </c>
    </row>
    <row r="13" spans="3:32" ht="15.75" customHeight="1">
      <c r="C13" s="373">
        <f t="shared" si="4"/>
        <v>2037</v>
      </c>
      <c r="D13" s="375">
        <f>'Annualized Operations'!$C22*Safety!N$6</f>
        <v>2.4774657250202985</v>
      </c>
      <c r="E13" s="376">
        <f>'Annualized Operations'!$C22*Safety!O$6</f>
        <v>5.7978050977932973</v>
      </c>
      <c r="F13" s="375">
        <f>'Annualized Operations'!$C22*Safety!P$6</f>
        <v>1.2066794944907473</v>
      </c>
      <c r="G13" s="376">
        <f>'Annualized Operations'!$C22*Safety!Q$6</f>
        <v>2.1700793432773549</v>
      </c>
      <c r="H13" s="378">
        <f t="shared" si="0"/>
        <v>3440961.2093563341</v>
      </c>
      <c r="I13" s="223">
        <f t="shared" si="1"/>
        <v>1670011.8808393278</v>
      </c>
      <c r="J13" s="223">
        <f t="shared" si="5"/>
        <v>1770949.3285170062</v>
      </c>
      <c r="K13" s="177">
        <f>J13*(1+Assumptions!$D$13)^-($C13-Assumptions!$D$4)</f>
        <v>1120278.8987823061</v>
      </c>
      <c r="M13" s="607"/>
      <c r="O13" s="721"/>
      <c r="P13" s="721"/>
      <c r="Q13" s="721"/>
      <c r="R13" s="722"/>
      <c r="S13" s="606"/>
      <c r="T13" s="463" t="s">
        <v>4</v>
      </c>
      <c r="U13" s="453" t="s">
        <v>162</v>
      </c>
      <c r="V13" s="453" t="s">
        <v>163</v>
      </c>
      <c r="W13" s="453" t="s">
        <v>164</v>
      </c>
      <c r="X13" s="453" t="s">
        <v>165</v>
      </c>
      <c r="Y13" s="454" t="s">
        <v>166</v>
      </c>
      <c r="AA13" s="452" t="s">
        <v>4</v>
      </c>
      <c r="AB13" s="453" t="s">
        <v>162</v>
      </c>
      <c r="AC13" s="453" t="s">
        <v>163</v>
      </c>
      <c r="AD13" s="453" t="s">
        <v>164</v>
      </c>
      <c r="AE13" s="453" t="s">
        <v>165</v>
      </c>
      <c r="AF13" s="454" t="s">
        <v>166</v>
      </c>
    </row>
    <row r="14" spans="3:32">
      <c r="C14" s="373">
        <f t="shared" si="4"/>
        <v>2038</v>
      </c>
      <c r="D14" s="375">
        <f>'Annualized Operations'!$C23*Safety!N$6</f>
        <v>2.5259072196646062</v>
      </c>
      <c r="E14" s="376">
        <f>'Annualized Operations'!$C23*Safety!O$6</f>
        <v>5.9111686619213915</v>
      </c>
      <c r="F14" s="375">
        <f>'Annualized Operations'!$C23*Safety!P$6</f>
        <v>1.2302735073884596</v>
      </c>
      <c r="G14" s="376">
        <f>'Annualized Operations'!$C23*Safety!Q$6</f>
        <v>2.2125105607200228</v>
      </c>
      <c r="H14" s="378">
        <f t="shared" si="0"/>
        <v>3508241.7784923366</v>
      </c>
      <c r="I14" s="223">
        <f t="shared" si="1"/>
        <v>1702665.3584493743</v>
      </c>
      <c r="J14" s="223">
        <f t="shared" si="5"/>
        <v>1805576.4200429623</v>
      </c>
      <c r="K14" s="177">
        <f>J14*(1+Assumptions!$D$13)^-($C14-Assumptions!$D$4)</f>
        <v>1107840.4796572069</v>
      </c>
      <c r="M14" s="607"/>
      <c r="O14" s="721"/>
      <c r="P14" s="721"/>
      <c r="Q14" s="721"/>
      <c r="R14" s="722"/>
      <c r="S14" s="606"/>
      <c r="T14" s="455">
        <v>2023</v>
      </c>
      <c r="U14" s="450">
        <v>0.46</v>
      </c>
      <c r="V14" s="450">
        <v>0.18</v>
      </c>
      <c r="W14" s="451">
        <v>39.703000000000003</v>
      </c>
      <c r="X14" s="450">
        <v>0.28000000000000003</v>
      </c>
      <c r="Y14" s="456">
        <v>60.296999999999997</v>
      </c>
      <c r="AA14" s="455">
        <v>2023</v>
      </c>
      <c r="AB14" s="450">
        <v>0.72</v>
      </c>
      <c r="AC14" s="450">
        <v>0.32</v>
      </c>
      <c r="AD14" s="451">
        <v>44.975999999999999</v>
      </c>
      <c r="AE14" s="450">
        <v>0.4</v>
      </c>
      <c r="AF14" s="456">
        <v>55.024000000000001</v>
      </c>
    </row>
    <row r="15" spans="3:32" ht="15" customHeight="1">
      <c r="C15" s="373">
        <f t="shared" si="4"/>
        <v>2039</v>
      </c>
      <c r="D15" s="375">
        <f>'Annualized Operations'!$C24*Safety!N$6</f>
        <v>2.574348714308897</v>
      </c>
      <c r="E15" s="376">
        <f>'Annualized Operations'!$C24*Safety!O$6</f>
        <v>6.0245322260494465</v>
      </c>
      <c r="F15" s="375">
        <f>'Annualized Operations'!$C24*Safety!P$6</f>
        <v>1.253867520286164</v>
      </c>
      <c r="G15" s="376">
        <f>'Annualized Operations'!$C24*Safety!Q$6</f>
        <v>2.2549417781626757</v>
      </c>
      <c r="H15" s="378">
        <f t="shared" si="0"/>
        <v>3575522.3476283159</v>
      </c>
      <c r="I15" s="223">
        <f t="shared" si="1"/>
        <v>1735318.8360594099</v>
      </c>
      <c r="J15" s="223">
        <f t="shared" si="5"/>
        <v>1840203.511568906</v>
      </c>
      <c r="K15" s="177">
        <f>J15*(1+Assumptions!$D$13)^-($C15-Assumptions!$D$4)</f>
        <v>1095137.2348287911</v>
      </c>
      <c r="M15" s="607"/>
      <c r="O15" s="721"/>
      <c r="P15" s="721"/>
      <c r="Q15" s="721"/>
      <c r="R15" s="722"/>
      <c r="S15" s="606"/>
      <c r="T15" s="455">
        <v>2024</v>
      </c>
      <c r="U15" s="450">
        <v>0.46</v>
      </c>
      <c r="V15" s="450">
        <v>0.18</v>
      </c>
      <c r="W15" s="451">
        <v>39.703000000000003</v>
      </c>
      <c r="X15" s="450">
        <v>0.28000000000000003</v>
      </c>
      <c r="Y15" s="456">
        <v>60.296999999999997</v>
      </c>
      <c r="AA15" s="455">
        <v>2024</v>
      </c>
      <c r="AB15" s="450">
        <v>0.72</v>
      </c>
      <c r="AC15" s="450">
        <v>0.32</v>
      </c>
      <c r="AD15" s="451">
        <v>44.975999999999999</v>
      </c>
      <c r="AE15" s="450">
        <v>0.4</v>
      </c>
      <c r="AF15" s="456">
        <v>55.024000000000001</v>
      </c>
    </row>
    <row r="16" spans="3:32" ht="15.75" thickBot="1">
      <c r="C16" s="373">
        <f t="shared" si="4"/>
        <v>2040</v>
      </c>
      <c r="D16" s="375">
        <f>'Annualized Operations'!$C25*Safety!N$6</f>
        <v>2.6227902089532042</v>
      </c>
      <c r="E16" s="376">
        <f>'Annualized Operations'!$C25*Safety!O$6</f>
        <v>6.1378957901775397</v>
      </c>
      <c r="F16" s="375">
        <f>'Annualized Operations'!$C25*Safety!P$6</f>
        <v>1.2774615331838761</v>
      </c>
      <c r="G16" s="376">
        <f>'Annualized Operations'!$C25*Safety!Q$6</f>
        <v>2.2973729956053432</v>
      </c>
      <c r="H16" s="378">
        <f t="shared" si="0"/>
        <v>3642802.9167643175</v>
      </c>
      <c r="I16" s="223">
        <f t="shared" si="1"/>
        <v>1767972.3136694562</v>
      </c>
      <c r="J16" s="223">
        <f t="shared" si="5"/>
        <v>1874830.6030948614</v>
      </c>
      <c r="K16" s="177">
        <f>J16*(1+Assumptions!$D$13)^-($C16-Assumptions!$D$4)</f>
        <v>1082196.3351052089</v>
      </c>
      <c r="M16" s="608"/>
      <c r="N16" s="609"/>
      <c r="O16" s="723"/>
      <c r="P16" s="723"/>
      <c r="Q16" s="723"/>
      <c r="R16" s="724"/>
      <c r="T16" s="455">
        <v>2025</v>
      </c>
      <c r="U16" s="450">
        <v>0.46</v>
      </c>
      <c r="V16" s="450">
        <v>0.18</v>
      </c>
      <c r="W16" s="451">
        <v>39.703000000000003</v>
      </c>
      <c r="X16" s="450">
        <v>0.28000000000000003</v>
      </c>
      <c r="Y16" s="456">
        <v>60.296999999999997</v>
      </c>
      <c r="AA16" s="455">
        <v>2025</v>
      </c>
      <c r="AB16" s="450">
        <v>0.72</v>
      </c>
      <c r="AC16" s="450">
        <v>0.32</v>
      </c>
      <c r="AD16" s="451">
        <v>44.975999999999999</v>
      </c>
      <c r="AE16" s="450">
        <v>0.4</v>
      </c>
      <c r="AF16" s="456">
        <v>55.024000000000001</v>
      </c>
    </row>
    <row r="17" spans="2:71" ht="15.75" customHeight="1" thickBot="1">
      <c r="C17" s="373">
        <f t="shared" si="4"/>
        <v>2041</v>
      </c>
      <c r="D17" s="375">
        <f>'Annualized Operations'!$C26*Safety!N$6</f>
        <v>2.6712317035975115</v>
      </c>
      <c r="E17" s="376">
        <f>'Annualized Operations'!$C26*Safety!O$6</f>
        <v>6.2512593543056321</v>
      </c>
      <c r="F17" s="375">
        <f>'Annualized Operations'!$C26*Safety!P$6</f>
        <v>1.3010555460815885</v>
      </c>
      <c r="G17" s="376">
        <f>'Annualized Operations'!$C26*Safety!Q$6</f>
        <v>2.3398042130480103</v>
      </c>
      <c r="H17" s="378">
        <f t="shared" si="0"/>
        <v>3710083.4859003196</v>
      </c>
      <c r="I17" s="223">
        <f t="shared" si="1"/>
        <v>1800625.7912795027</v>
      </c>
      <c r="J17" s="223">
        <f t="shared" si="5"/>
        <v>1909457.694620817</v>
      </c>
      <c r="K17" s="177">
        <f>J17*(1+Assumptions!$D$13)^-($C17-Assumptions!$D$4)</f>
        <v>1069043.5567797404</v>
      </c>
      <c r="M17" s="710" t="s">
        <v>566</v>
      </c>
      <c r="N17" s="711"/>
      <c r="O17" s="711"/>
      <c r="P17" s="711"/>
      <c r="Q17" s="711"/>
      <c r="R17" s="712"/>
      <c r="S17" s="605"/>
      <c r="T17" s="455">
        <v>2026</v>
      </c>
      <c r="U17" s="450">
        <v>0.46</v>
      </c>
      <c r="V17" s="450">
        <v>0.18</v>
      </c>
      <c r="W17" s="451">
        <v>39.703000000000003</v>
      </c>
      <c r="X17" s="450">
        <v>0.28000000000000003</v>
      </c>
      <c r="Y17" s="456">
        <v>60.296999999999997</v>
      </c>
      <c r="AA17" s="455">
        <v>2026</v>
      </c>
      <c r="AB17" s="450">
        <v>0.72</v>
      </c>
      <c r="AC17" s="450">
        <v>0.32</v>
      </c>
      <c r="AD17" s="451">
        <v>44.975999999999999</v>
      </c>
      <c r="AE17" s="450">
        <v>0.4</v>
      </c>
      <c r="AF17" s="456">
        <v>55.024000000000001</v>
      </c>
    </row>
    <row r="18" spans="2:71" ht="16.5">
      <c r="C18" s="373">
        <f t="shared" si="4"/>
        <v>2042</v>
      </c>
      <c r="D18" s="375">
        <f>'Annualized Operations'!$C27*Safety!N$6</f>
        <v>2.7196731982418187</v>
      </c>
      <c r="E18" s="376">
        <f>'Annualized Operations'!$C27*Safety!O$6</f>
        <v>6.3646229184337253</v>
      </c>
      <c r="F18" s="375">
        <f>'Annualized Operations'!$C27*Safety!P$6</f>
        <v>1.3246495589793006</v>
      </c>
      <c r="G18" s="376">
        <f>'Annualized Operations'!$C27*Safety!Q$6</f>
        <v>2.3822354304906779</v>
      </c>
      <c r="H18" s="378">
        <f t="shared" si="0"/>
        <v>3777364.0550363217</v>
      </c>
      <c r="I18" s="223">
        <f t="shared" si="1"/>
        <v>1833279.268889549</v>
      </c>
      <c r="J18" s="223">
        <f t="shared" si="5"/>
        <v>1944084.7861467728</v>
      </c>
      <c r="K18" s="177">
        <f>J18*(1+Assumptions!$D$13)^-($C18-Assumptions!$D$4)</f>
        <v>1055703.3409265401</v>
      </c>
      <c r="M18" s="176" t="s">
        <v>554</v>
      </c>
      <c r="N18" s="600">
        <f>SUM(AP33:AR33,BC33:BE33,BP33:BR33)</f>
        <v>13</v>
      </c>
      <c r="O18" s="717" t="s">
        <v>565</v>
      </c>
      <c r="P18" s="717"/>
      <c r="Q18" s="717"/>
      <c r="R18" s="718"/>
      <c r="S18" s="605"/>
      <c r="T18" s="455">
        <v>2027</v>
      </c>
      <c r="U18" s="450">
        <v>0.46</v>
      </c>
      <c r="V18" s="450">
        <v>0.18</v>
      </c>
      <c r="W18" s="451">
        <v>39.703000000000003</v>
      </c>
      <c r="X18" s="450">
        <v>0.28000000000000003</v>
      </c>
      <c r="Y18" s="456">
        <v>60.296999999999997</v>
      </c>
      <c r="AA18" s="455">
        <v>2027</v>
      </c>
      <c r="AB18" s="450">
        <v>0.72</v>
      </c>
      <c r="AC18" s="450">
        <v>0.32</v>
      </c>
      <c r="AD18" s="451">
        <v>44.975999999999999</v>
      </c>
      <c r="AE18" s="450">
        <v>0.4</v>
      </c>
      <c r="AF18" s="456">
        <v>55.024000000000001</v>
      </c>
    </row>
    <row r="19" spans="2:71" ht="17.25" thickBot="1">
      <c r="C19" s="373">
        <f t="shared" si="4"/>
        <v>2043</v>
      </c>
      <c r="D19" s="375">
        <f>'Annualized Operations'!$C28*Safety!N$6</f>
        <v>2.768114692886126</v>
      </c>
      <c r="E19" s="376">
        <f>'Annualized Operations'!$C28*Safety!O$6</f>
        <v>6.4779864825618185</v>
      </c>
      <c r="F19" s="375">
        <f>'Annualized Operations'!$C28*Safety!P$6</f>
        <v>1.3482435718770129</v>
      </c>
      <c r="G19" s="376">
        <f>'Annualized Operations'!$C28*Safety!Q$6</f>
        <v>2.424666647933345</v>
      </c>
      <c r="H19" s="378">
        <f t="shared" si="0"/>
        <v>3844644.6241723243</v>
      </c>
      <c r="I19" s="223">
        <f t="shared" si="1"/>
        <v>1865932.7464995957</v>
      </c>
      <c r="J19" s="223">
        <f t="shared" si="5"/>
        <v>1978711.8776727286</v>
      </c>
      <c r="K19" s="177">
        <f>J19*(1+Assumptions!$D$13)^-($C19-Assumptions!$D$4)</f>
        <v>1042198.8503912984</v>
      </c>
      <c r="M19" s="178" t="s">
        <v>555</v>
      </c>
      <c r="N19" s="601">
        <f>SUM(AO33)</f>
        <v>1</v>
      </c>
      <c r="O19" s="717"/>
      <c r="P19" s="717"/>
      <c r="Q19" s="717"/>
      <c r="R19" s="718"/>
      <c r="S19" s="605"/>
      <c r="T19" s="458" t="s">
        <v>167</v>
      </c>
      <c r="U19" s="450">
        <f>SUM(U14:U18)</f>
        <v>2.3000000000000003</v>
      </c>
      <c r="V19" s="450">
        <f>SUM(V14:V18)</f>
        <v>0.89999999999999991</v>
      </c>
      <c r="W19" s="451">
        <f>W14</f>
        <v>39.703000000000003</v>
      </c>
      <c r="X19" s="450">
        <f>SUM(X14:X18)</f>
        <v>1.4000000000000001</v>
      </c>
      <c r="Y19" s="456">
        <f>Y18</f>
        <v>60.296999999999997</v>
      </c>
      <c r="AA19" s="458" t="s">
        <v>167</v>
      </c>
      <c r="AB19" s="450">
        <v>3.6</v>
      </c>
      <c r="AC19" s="450">
        <v>1.62</v>
      </c>
      <c r="AD19" s="451">
        <v>44.975999999999999</v>
      </c>
      <c r="AE19" s="450">
        <v>1.98</v>
      </c>
      <c r="AF19" s="456">
        <v>55.024000000000001</v>
      </c>
    </row>
    <row r="20" spans="2:71" ht="17.25" customHeight="1" thickBot="1">
      <c r="C20" s="373">
        <f t="shared" si="4"/>
        <v>2044</v>
      </c>
      <c r="D20" s="375">
        <f>'Annualized Operations'!$C29*Safety!N$6</f>
        <v>2.8165561875304332</v>
      </c>
      <c r="E20" s="376">
        <f>'Annualized Operations'!$C29*Safety!O$6</f>
        <v>6.5913500466899118</v>
      </c>
      <c r="F20" s="375">
        <f>'Annualized Operations'!$C29*Safety!P$6</f>
        <v>1.3718375847747251</v>
      </c>
      <c r="G20" s="376">
        <f>'Annualized Operations'!$C29*Safety!Q$6</f>
        <v>2.4670978653760125</v>
      </c>
      <c r="H20" s="378">
        <f t="shared" si="0"/>
        <v>3911925.1933083264</v>
      </c>
      <c r="I20" s="223">
        <f t="shared" si="1"/>
        <v>1898586.224109642</v>
      </c>
      <c r="J20" s="223">
        <f t="shared" si="5"/>
        <v>2013338.9691986844</v>
      </c>
      <c r="K20" s="177">
        <f>J20*(1+Assumptions!$D$13)^-($C20-Assumptions!$D$4)</f>
        <v>1028552.0245618772</v>
      </c>
      <c r="M20" s="208" t="s">
        <v>421</v>
      </c>
      <c r="N20" s="252">
        <f>N19/N18</f>
        <v>7.6923076923076927E-2</v>
      </c>
      <c r="O20" s="717"/>
      <c r="P20" s="717"/>
      <c r="Q20" s="717"/>
      <c r="R20" s="718"/>
      <c r="S20" s="605"/>
      <c r="T20" s="459" t="s">
        <v>168</v>
      </c>
      <c r="U20" s="460">
        <f>U16</f>
        <v>0.46</v>
      </c>
      <c r="V20" s="460">
        <f>V16</f>
        <v>0.18</v>
      </c>
      <c r="W20" s="461">
        <f>W17</f>
        <v>39.703000000000003</v>
      </c>
      <c r="X20" s="460">
        <f>X17</f>
        <v>0.28000000000000003</v>
      </c>
      <c r="Y20" s="462">
        <f>Y16</f>
        <v>60.296999999999997</v>
      </c>
      <c r="AA20" s="459" t="s">
        <v>168</v>
      </c>
      <c r="AB20" s="460">
        <v>0.72</v>
      </c>
      <c r="AC20" s="460">
        <v>0.32</v>
      </c>
      <c r="AD20" s="461">
        <v>44.975999999999999</v>
      </c>
      <c r="AE20" s="460">
        <v>0.4</v>
      </c>
      <c r="AF20" s="462">
        <v>55.024000000000001</v>
      </c>
    </row>
    <row r="21" spans="2:71">
      <c r="C21" s="373">
        <f t="shared" si="4"/>
        <v>2045</v>
      </c>
      <c r="D21" s="375">
        <f>'Annualized Operations'!$C30*Safety!N$6</f>
        <v>2.8649976821747405</v>
      </c>
      <c r="E21" s="376">
        <f>'Annualized Operations'!$C30*Safety!O$6</f>
        <v>6.704713610818005</v>
      </c>
      <c r="F21" s="375">
        <f>'Annualized Operations'!$C30*Safety!P$6</f>
        <v>1.3954315976724374</v>
      </c>
      <c r="G21" s="376">
        <f>'Annualized Operations'!$C30*Safety!Q$6</f>
        <v>2.5095290828186796</v>
      </c>
      <c r="H21" s="378">
        <f t="shared" si="0"/>
        <v>3979205.7624443285</v>
      </c>
      <c r="I21" s="223">
        <f t="shared" si="1"/>
        <v>1931239.7017196885</v>
      </c>
      <c r="J21" s="223">
        <f t="shared" si="5"/>
        <v>2047966.06072464</v>
      </c>
      <c r="K21" s="177">
        <f>J21*(1+Assumptions!$D$13)^-($C21-Assumptions!$D$4)</f>
        <v>1014783.6320008844</v>
      </c>
      <c r="M21" s="607"/>
      <c r="O21" s="717"/>
      <c r="P21" s="717"/>
      <c r="Q21" s="717"/>
      <c r="R21" s="718"/>
      <c r="S21" s="605"/>
    </row>
    <row r="22" spans="2:71" ht="15.75" customHeight="1" thickBot="1">
      <c r="C22" s="373">
        <f t="shared" si="4"/>
        <v>2046</v>
      </c>
      <c r="D22" s="375">
        <f>'Annualized Operations'!$C31*Safety!N$6</f>
        <v>2.9134391768190477</v>
      </c>
      <c r="E22" s="376">
        <f>'Annualized Operations'!$C31*Safety!O$6</f>
        <v>6.8180771749460982</v>
      </c>
      <c r="F22" s="375">
        <f>'Annualized Operations'!$C31*Safety!P$6</f>
        <v>1.4190256105701495</v>
      </c>
      <c r="G22" s="376">
        <f>'Annualized Operations'!$C31*Safety!Q$6</f>
        <v>2.5519603002613471</v>
      </c>
      <c r="H22" s="378">
        <f t="shared" si="0"/>
        <v>4046486.3315803306</v>
      </c>
      <c r="I22" s="223">
        <f t="shared" si="1"/>
        <v>1963893.1793297348</v>
      </c>
      <c r="J22" s="223">
        <f t="shared" si="5"/>
        <v>2082593.1522505959</v>
      </c>
      <c r="K22" s="177">
        <f>J22*(1+Assumptions!$D$13)^-($C22-Assumptions!$D$4)</f>
        <v>1000913.3210192536</v>
      </c>
      <c r="M22" s="607"/>
      <c r="O22" s="717"/>
      <c r="P22" s="717"/>
      <c r="Q22" s="717"/>
      <c r="R22" s="718"/>
      <c r="S22" s="605"/>
      <c r="T22" t="s">
        <v>424</v>
      </c>
      <c r="AA22" t="s">
        <v>427</v>
      </c>
    </row>
    <row r="23" spans="2:71">
      <c r="C23" s="373">
        <f t="shared" si="4"/>
        <v>2047</v>
      </c>
      <c r="D23" s="375">
        <f>'Annualized Operations'!$C32*Safety!N$6</f>
        <v>2.961880671463355</v>
      </c>
      <c r="E23" s="376">
        <f>'Annualized Operations'!$C32*Safety!O$6</f>
        <v>6.9314407390741906</v>
      </c>
      <c r="F23" s="375">
        <f>'Annualized Operations'!$C32*Safety!P$6</f>
        <v>1.4426196234678619</v>
      </c>
      <c r="G23" s="376">
        <f>'Annualized Operations'!$C32*Safety!Q$6</f>
        <v>2.5943915177040147</v>
      </c>
      <c r="H23" s="378">
        <f t="shared" si="0"/>
        <v>4113766.9007163327</v>
      </c>
      <c r="I23" s="223">
        <f t="shared" si="1"/>
        <v>1996546.6569397815</v>
      </c>
      <c r="J23" s="223">
        <f t="shared" si="5"/>
        <v>2117220.2437765514</v>
      </c>
      <c r="K23" s="177">
        <f>J23*(1+Assumptions!$D$13)^-($C23-Assumptions!$D$4)</f>
        <v>986959.66826705413</v>
      </c>
      <c r="M23" s="607"/>
      <c r="O23" s="717"/>
      <c r="P23" s="717"/>
      <c r="Q23" s="717"/>
      <c r="R23" s="718"/>
      <c r="S23" s="605"/>
      <c r="T23" s="463" t="s">
        <v>4</v>
      </c>
      <c r="U23" s="464" t="s">
        <v>162</v>
      </c>
      <c r="V23" s="464" t="s">
        <v>163</v>
      </c>
      <c r="W23" s="465" t="s">
        <v>164</v>
      </c>
      <c r="X23" s="464" t="s">
        <v>165</v>
      </c>
      <c r="Y23" s="454" t="s">
        <v>166</v>
      </c>
      <c r="AA23" s="452" t="s">
        <v>4</v>
      </c>
      <c r="AB23" s="453" t="s">
        <v>162</v>
      </c>
      <c r="AC23" s="453" t="s">
        <v>163</v>
      </c>
      <c r="AD23" s="453" t="s">
        <v>164</v>
      </c>
      <c r="AE23" s="453" t="s">
        <v>165</v>
      </c>
      <c r="AF23" s="454" t="s">
        <v>166</v>
      </c>
    </row>
    <row r="24" spans="2:71" ht="15.75" thickBot="1">
      <c r="C24" s="374">
        <f t="shared" si="4"/>
        <v>2048</v>
      </c>
      <c r="D24" s="377">
        <f>'Annualized Operations'!$C33*Safety!N$6</f>
        <v>3.0103221661076622</v>
      </c>
      <c r="E24" s="245">
        <f>'Annualized Operations'!$C33*Safety!O$6</f>
        <v>7.0448043032022838</v>
      </c>
      <c r="F24" s="377">
        <f>'Annualized Operations'!$C33*Safety!P$6</f>
        <v>1.466213636365574</v>
      </c>
      <c r="G24" s="245">
        <f>'Annualized Operations'!$C33*Safety!Q$6</f>
        <v>2.6368227351466818</v>
      </c>
      <c r="H24" s="379">
        <f t="shared" si="0"/>
        <v>4181047.4698523348</v>
      </c>
      <c r="I24" s="226">
        <f t="shared" si="1"/>
        <v>2029200.1345498278</v>
      </c>
      <c r="J24" s="226">
        <f t="shared" si="5"/>
        <v>2151847.335302507</v>
      </c>
      <c r="K24" s="102">
        <f>J24*(1+Assumptions!$D$13)^-($C24-Assumptions!$D$4)</f>
        <v>972940.22541505494</v>
      </c>
      <c r="M24" s="607"/>
      <c r="O24" s="717"/>
      <c r="P24" s="717"/>
      <c r="Q24" s="717"/>
      <c r="R24" s="718"/>
      <c r="T24" s="455">
        <v>2023</v>
      </c>
      <c r="U24" s="450">
        <v>0.35</v>
      </c>
      <c r="V24" s="450">
        <v>0.16</v>
      </c>
      <c r="W24" s="451">
        <v>46.345999999999997</v>
      </c>
      <c r="X24" s="450">
        <v>0.19</v>
      </c>
      <c r="Y24" s="456">
        <v>53.654000000000003</v>
      </c>
      <c r="AA24" s="455">
        <v>2023</v>
      </c>
      <c r="AB24" s="450">
        <v>0.56000000000000005</v>
      </c>
      <c r="AC24" s="450">
        <v>0.27</v>
      </c>
      <c r="AD24" s="451">
        <v>48.509</v>
      </c>
      <c r="AE24" s="450">
        <v>0.28999999999999998</v>
      </c>
      <c r="AF24" s="456">
        <v>51.491</v>
      </c>
    </row>
    <row r="25" spans="2:71" ht="15.75" customHeight="1" thickBot="1">
      <c r="J25" s="7" t="s">
        <v>51</v>
      </c>
      <c r="K25" s="108">
        <f>SUM(K5:K24)</f>
        <v>21944601.693467319</v>
      </c>
      <c r="M25" s="608"/>
      <c r="N25" s="609"/>
      <c r="O25" s="719"/>
      <c r="P25" s="719"/>
      <c r="Q25" s="719"/>
      <c r="R25" s="720"/>
      <c r="T25" s="455">
        <v>2024</v>
      </c>
      <c r="U25" s="450">
        <v>0.35</v>
      </c>
      <c r="V25" s="450">
        <v>0.16</v>
      </c>
      <c r="W25" s="451">
        <v>46.345999999999997</v>
      </c>
      <c r="X25" s="450">
        <v>0.19</v>
      </c>
      <c r="Y25" s="456">
        <v>53.654000000000003</v>
      </c>
      <c r="AA25" s="455">
        <v>2024</v>
      </c>
      <c r="AB25" s="450">
        <v>0.56000000000000005</v>
      </c>
      <c r="AC25" s="450">
        <v>0.27</v>
      </c>
      <c r="AD25" s="451">
        <v>48.509</v>
      </c>
      <c r="AE25" s="450">
        <v>0.28999999999999998</v>
      </c>
      <c r="AF25" s="456">
        <v>51.491</v>
      </c>
    </row>
    <row r="26" spans="2:71" ht="15.75" thickBot="1">
      <c r="M26" s="710" t="s">
        <v>567</v>
      </c>
      <c r="N26" s="711"/>
      <c r="O26" s="711"/>
      <c r="P26" s="711"/>
      <c r="Q26" s="711"/>
      <c r="R26" s="712"/>
      <c r="T26" s="455">
        <v>2025</v>
      </c>
      <c r="U26" s="450">
        <v>0.35</v>
      </c>
      <c r="V26" s="450">
        <v>0.16</v>
      </c>
      <c r="W26" s="451">
        <v>46.345999999999997</v>
      </c>
      <c r="X26" s="450">
        <v>0.19</v>
      </c>
      <c r="Y26" s="456">
        <v>53.654000000000003</v>
      </c>
      <c r="AA26" s="455">
        <v>2025</v>
      </c>
      <c r="AB26" s="450">
        <v>0.56000000000000005</v>
      </c>
      <c r="AC26" s="450">
        <v>0.27</v>
      </c>
      <c r="AD26" s="451">
        <v>48.509</v>
      </c>
      <c r="AE26" s="450">
        <v>0.28999999999999998</v>
      </c>
      <c r="AF26" s="456">
        <v>51.491</v>
      </c>
    </row>
    <row r="27" spans="2:71" ht="15" customHeight="1">
      <c r="D27" s="174"/>
      <c r="E27" s="174"/>
      <c r="F27" s="174"/>
      <c r="M27" s="330" t="s">
        <v>170</v>
      </c>
      <c r="N27" s="107">
        <v>9100</v>
      </c>
      <c r="O27" s="625" t="s">
        <v>573</v>
      </c>
      <c r="P27" s="625"/>
      <c r="Q27" s="625"/>
      <c r="R27" s="725"/>
      <c r="T27" s="455">
        <v>2026</v>
      </c>
      <c r="U27" s="450">
        <v>0.35</v>
      </c>
      <c r="V27" s="450">
        <v>0.16</v>
      </c>
      <c r="W27" s="451">
        <v>46.345999999999997</v>
      </c>
      <c r="X27" s="450">
        <v>0.19</v>
      </c>
      <c r="Y27" s="456">
        <v>53.654000000000003</v>
      </c>
      <c r="AA27" s="455">
        <v>2026</v>
      </c>
      <c r="AB27" s="450">
        <v>0.56000000000000005</v>
      </c>
      <c r="AC27" s="450">
        <v>0.27</v>
      </c>
      <c r="AD27" s="451">
        <v>48.509</v>
      </c>
      <c r="AE27" s="450">
        <v>0.28999999999999998</v>
      </c>
      <c r="AF27" s="456">
        <v>51.491</v>
      </c>
    </row>
    <row r="28" spans="2:71">
      <c r="C28" t="s">
        <v>243</v>
      </c>
      <c r="M28" s="222" t="s">
        <v>171</v>
      </c>
      <c r="N28" s="177">
        <v>313000</v>
      </c>
      <c r="O28" s="625"/>
      <c r="P28" s="625"/>
      <c r="Q28" s="625"/>
      <c r="R28" s="725"/>
      <c r="T28" s="455">
        <v>2027</v>
      </c>
      <c r="U28" s="450">
        <v>0.35</v>
      </c>
      <c r="V28" s="450">
        <v>0.16</v>
      </c>
      <c r="W28" s="451">
        <v>46.345999999999997</v>
      </c>
      <c r="X28" s="450">
        <v>0.19</v>
      </c>
      <c r="Y28" s="456">
        <v>53.654000000000003</v>
      </c>
      <c r="AA28" s="455">
        <v>2027</v>
      </c>
      <c r="AB28" s="450">
        <v>0.56000000000000005</v>
      </c>
      <c r="AC28" s="450">
        <v>0.27</v>
      </c>
      <c r="AD28" s="451">
        <v>48.509</v>
      </c>
      <c r="AE28" s="450">
        <v>0.28999999999999998</v>
      </c>
      <c r="AF28" s="456">
        <v>51.491</v>
      </c>
    </row>
    <row r="29" spans="2:71" ht="15" customHeight="1" thickBot="1">
      <c r="B29" s="23" t="s">
        <v>18</v>
      </c>
      <c r="C29" s="709" t="s">
        <v>317</v>
      </c>
      <c r="D29" s="709"/>
      <c r="E29" s="709"/>
      <c r="F29" s="709"/>
      <c r="G29" s="709"/>
      <c r="H29" s="709"/>
      <c r="I29" s="24"/>
      <c r="M29" s="224" t="s">
        <v>153</v>
      </c>
      <c r="N29" s="102">
        <v>14022900</v>
      </c>
      <c r="O29" s="625"/>
      <c r="P29" s="625"/>
      <c r="Q29" s="625"/>
      <c r="R29" s="725"/>
      <c r="T29" s="458" t="s">
        <v>167</v>
      </c>
      <c r="U29" s="450">
        <v>2.11</v>
      </c>
      <c r="V29" s="450">
        <v>0.98</v>
      </c>
      <c r="W29" s="451">
        <v>46.345999999999997</v>
      </c>
      <c r="X29" s="450">
        <v>1.1299999999999999</v>
      </c>
      <c r="Y29" s="456">
        <v>53.654000000000003</v>
      </c>
      <c r="AA29" s="458" t="s">
        <v>167</v>
      </c>
      <c r="AB29" s="450">
        <v>2.82</v>
      </c>
      <c r="AC29" s="450">
        <v>1.37</v>
      </c>
      <c r="AD29" s="451">
        <v>48.509</v>
      </c>
      <c r="AE29" s="450">
        <v>1.45</v>
      </c>
      <c r="AF29" s="456">
        <v>51.491</v>
      </c>
    </row>
    <row r="30" spans="2:71" ht="15.75" thickBot="1">
      <c r="B30" s="23" t="s">
        <v>19</v>
      </c>
      <c r="C30" s="679" t="s">
        <v>420</v>
      </c>
      <c r="D30" s="679"/>
      <c r="E30" s="679"/>
      <c r="F30" s="679"/>
      <c r="G30" s="679"/>
      <c r="H30" s="679"/>
      <c r="I30" s="24"/>
      <c r="M30" s="607"/>
      <c r="O30" s="625"/>
      <c r="P30" s="625"/>
      <c r="Q30" s="625"/>
      <c r="R30" s="725"/>
      <c r="T30" s="459" t="s">
        <v>168</v>
      </c>
      <c r="U30" s="460">
        <v>0.35</v>
      </c>
      <c r="V30" s="460">
        <v>0.16</v>
      </c>
      <c r="W30" s="461">
        <v>46.345999999999997</v>
      </c>
      <c r="X30" s="460">
        <v>0.19</v>
      </c>
      <c r="Y30" s="462">
        <v>53.654000000000003</v>
      </c>
      <c r="AA30" s="459" t="s">
        <v>168</v>
      </c>
      <c r="AB30" s="460">
        <v>0.56000000000000005</v>
      </c>
      <c r="AC30" s="460">
        <v>0.27</v>
      </c>
      <c r="AD30" s="461">
        <v>48.509</v>
      </c>
      <c r="AE30" s="460">
        <v>0.28999999999999998</v>
      </c>
      <c r="AF30" s="462">
        <v>51.491</v>
      </c>
    </row>
    <row r="31" spans="2:71" ht="15" customHeight="1" thickBot="1">
      <c r="B31" s="23" t="s">
        <v>228</v>
      </c>
      <c r="C31" s="709" t="s">
        <v>419</v>
      </c>
      <c r="D31" s="709"/>
      <c r="E31" s="709"/>
      <c r="F31" s="709"/>
      <c r="G31" s="709"/>
      <c r="H31" s="709"/>
      <c r="M31" s="608"/>
      <c r="N31" s="609"/>
      <c r="O31" s="726"/>
      <c r="P31" s="726"/>
      <c r="Q31" s="726"/>
      <c r="R31" s="727"/>
    </row>
    <row r="32" spans="2:71" ht="15.75" customHeight="1" thickBot="1">
      <c r="B32" s="23"/>
      <c r="C32" s="709"/>
      <c r="D32" s="709"/>
      <c r="E32" s="709"/>
      <c r="F32" s="709"/>
      <c r="G32" s="709"/>
      <c r="H32" s="709"/>
      <c r="M32" s="710" t="s">
        <v>568</v>
      </c>
      <c r="N32" s="711"/>
      <c r="O32" s="711"/>
      <c r="P32" s="711"/>
      <c r="Q32" s="711"/>
      <c r="R32" s="712"/>
      <c r="AM32" t="s">
        <v>550</v>
      </c>
      <c r="AN32" t="s">
        <v>551</v>
      </c>
      <c r="AO32" t="s">
        <v>552</v>
      </c>
      <c r="AP32" t="s">
        <v>209</v>
      </c>
      <c r="AQ32" t="s">
        <v>210</v>
      </c>
      <c r="AR32" t="s">
        <v>212</v>
      </c>
      <c r="AS32" t="s">
        <v>553</v>
      </c>
      <c r="AZ32" t="s">
        <v>550</v>
      </c>
      <c r="BA32" t="s">
        <v>551</v>
      </c>
      <c r="BB32" t="s">
        <v>552</v>
      </c>
      <c r="BC32" t="s">
        <v>209</v>
      </c>
      <c r="BD32" t="s">
        <v>210</v>
      </c>
      <c r="BE32" t="s">
        <v>212</v>
      </c>
      <c r="BF32" t="s">
        <v>553</v>
      </c>
      <c r="BM32" t="s">
        <v>550</v>
      </c>
      <c r="BN32" t="s">
        <v>551</v>
      </c>
      <c r="BO32" t="s">
        <v>552</v>
      </c>
      <c r="BP32" t="s">
        <v>209</v>
      </c>
      <c r="BQ32" t="s">
        <v>210</v>
      </c>
      <c r="BR32" t="s">
        <v>212</v>
      </c>
      <c r="BS32" t="s">
        <v>553</v>
      </c>
    </row>
    <row r="33" spans="2:71" ht="15.75" thickBot="1">
      <c r="B33" s="23" t="s">
        <v>20</v>
      </c>
      <c r="C33" s="678" t="s">
        <v>318</v>
      </c>
      <c r="D33" s="678"/>
      <c r="E33" s="678"/>
      <c r="F33" s="678"/>
      <c r="G33" s="678"/>
      <c r="H33" s="678"/>
      <c r="M33" s="331" t="s">
        <v>310</v>
      </c>
      <c r="N33" s="332">
        <f>N28*(1-N20)+N29*N20</f>
        <v>1367607.6923076925</v>
      </c>
      <c r="O33" s="713" t="s">
        <v>542</v>
      </c>
      <c r="P33" s="713"/>
      <c r="Q33" s="713"/>
      <c r="R33" s="714"/>
      <c r="T33" s="438"/>
      <c r="U33" s="439"/>
      <c r="V33" s="439"/>
      <c r="W33" s="439"/>
      <c r="X33" s="439"/>
      <c r="Y33" s="439"/>
      <c r="AA33" s="438"/>
      <c r="AB33" s="439"/>
      <c r="AC33" s="439"/>
      <c r="AD33" s="439"/>
      <c r="AE33" s="439"/>
      <c r="AF33" s="439"/>
      <c r="AM33" s="599">
        <v>41821</v>
      </c>
      <c r="AN33" s="599">
        <v>45473</v>
      </c>
      <c r="AO33">
        <v>1</v>
      </c>
      <c r="AP33">
        <v>0</v>
      </c>
      <c r="AQ33">
        <v>1</v>
      </c>
      <c r="AR33">
        <v>0</v>
      </c>
      <c r="AS33">
        <v>22</v>
      </c>
      <c r="AZ33" s="599">
        <v>41821</v>
      </c>
      <c r="BA33" s="599">
        <v>45473</v>
      </c>
      <c r="BB33">
        <v>0</v>
      </c>
      <c r="BC33">
        <v>0</v>
      </c>
      <c r="BD33">
        <v>5</v>
      </c>
      <c r="BE33">
        <v>5</v>
      </c>
      <c r="BF33">
        <v>24</v>
      </c>
      <c r="BM33" s="599">
        <v>41640</v>
      </c>
      <c r="BN33" s="599">
        <v>45291</v>
      </c>
      <c r="BO33">
        <v>0</v>
      </c>
      <c r="BP33">
        <v>0</v>
      </c>
      <c r="BQ33">
        <v>2</v>
      </c>
      <c r="BR33">
        <v>0</v>
      </c>
      <c r="BS33">
        <v>10</v>
      </c>
    </row>
    <row r="34" spans="2:71">
      <c r="B34" s="23"/>
      <c r="C34" s="678"/>
      <c r="D34" s="678"/>
      <c r="E34" s="678"/>
      <c r="F34" s="678"/>
      <c r="G34" s="678"/>
      <c r="H34" s="678"/>
      <c r="M34" s="607"/>
      <c r="O34" s="713"/>
      <c r="P34" s="713"/>
      <c r="Q34" s="713"/>
      <c r="R34" s="714"/>
      <c r="T34" s="440"/>
      <c r="U34" s="441"/>
      <c r="V34" s="441"/>
      <c r="W34" s="442"/>
      <c r="X34" s="441"/>
      <c r="Y34" s="442"/>
      <c r="AA34" s="440"/>
      <c r="AB34" s="441"/>
      <c r="AC34" s="441"/>
      <c r="AD34" s="442"/>
      <c r="AE34" s="441"/>
      <c r="AF34" s="442"/>
    </row>
    <row r="35" spans="2:71" ht="15.75" thickBot="1">
      <c r="B35" s="23"/>
      <c r="C35" s="678"/>
      <c r="D35" s="678"/>
      <c r="E35" s="678"/>
      <c r="F35" s="678"/>
      <c r="G35" s="678"/>
      <c r="H35" s="678"/>
      <c r="M35" s="608"/>
      <c r="N35" s="609"/>
      <c r="O35" s="715"/>
      <c r="P35" s="715"/>
      <c r="Q35" s="715"/>
      <c r="R35" s="716"/>
      <c r="T35" s="440"/>
      <c r="U35" s="441"/>
      <c r="V35" s="441"/>
      <c r="W35" s="442"/>
      <c r="X35" s="441"/>
      <c r="Y35" s="442"/>
      <c r="AA35" s="440"/>
      <c r="AB35" s="441"/>
      <c r="AC35" s="441"/>
      <c r="AD35" s="442"/>
      <c r="AE35" s="441"/>
      <c r="AF35" s="442"/>
    </row>
    <row r="36" spans="2:71">
      <c r="B36" s="23" t="s">
        <v>302</v>
      </c>
      <c r="C36" t="s">
        <v>574</v>
      </c>
      <c r="T36" s="440"/>
      <c r="U36" s="441"/>
      <c r="V36" s="441"/>
      <c r="W36" s="442"/>
      <c r="X36" s="441"/>
      <c r="Y36" s="442"/>
      <c r="AA36" s="440"/>
      <c r="AB36" s="441"/>
      <c r="AC36" s="441"/>
      <c r="AD36" s="442"/>
      <c r="AE36" s="441"/>
      <c r="AF36" s="442"/>
    </row>
    <row r="37" spans="2:71">
      <c r="T37" s="440"/>
      <c r="U37" s="441"/>
      <c r="V37" s="441"/>
      <c r="W37" s="442"/>
      <c r="X37" s="441"/>
      <c r="Y37" s="442"/>
      <c r="AA37" s="440"/>
      <c r="AB37" s="441"/>
      <c r="AC37" s="441"/>
      <c r="AD37" s="442"/>
      <c r="AE37" s="441"/>
      <c r="AF37" s="442"/>
    </row>
    <row r="38" spans="2:71">
      <c r="T38" s="440"/>
      <c r="U38" s="441"/>
      <c r="V38" s="441"/>
      <c r="W38" s="442"/>
      <c r="X38" s="441"/>
      <c r="Y38" s="442"/>
      <c r="AA38" s="440"/>
      <c r="AB38" s="441"/>
      <c r="AC38" s="441"/>
      <c r="AD38" s="442"/>
      <c r="AE38" s="441"/>
      <c r="AF38" s="442"/>
    </row>
    <row r="39" spans="2:71">
      <c r="T39" s="443"/>
      <c r="U39" s="441"/>
      <c r="V39" s="441"/>
      <c r="W39" s="442"/>
      <c r="X39" s="441"/>
      <c r="Y39" s="442"/>
      <c r="AA39" s="443"/>
      <c r="AB39" s="441"/>
      <c r="AC39" s="441"/>
      <c r="AD39" s="442"/>
      <c r="AE39" s="441"/>
      <c r="AF39" s="442"/>
    </row>
    <row r="40" spans="2:71">
      <c r="T40" s="443"/>
      <c r="U40" s="441"/>
      <c r="V40" s="441"/>
      <c r="W40" s="442"/>
      <c r="X40" s="441"/>
      <c r="Y40" s="442"/>
      <c r="AA40" s="443"/>
      <c r="AB40" s="441"/>
      <c r="AC40" s="441"/>
      <c r="AD40" s="442"/>
      <c r="AE40" s="441"/>
      <c r="AF40" s="442"/>
    </row>
    <row r="41" spans="2:71">
      <c r="T41" s="443"/>
      <c r="U41" s="441"/>
      <c r="V41" s="441"/>
      <c r="W41" s="442"/>
      <c r="X41" s="441"/>
      <c r="Y41" s="442"/>
    </row>
    <row r="43" spans="2:71">
      <c r="T43" s="444"/>
      <c r="U43" s="445"/>
      <c r="V43" s="445"/>
      <c r="W43" s="445"/>
      <c r="X43" s="445"/>
      <c r="Y43" s="445"/>
      <c r="AA43" s="438"/>
      <c r="AB43" s="439"/>
      <c r="AC43" s="439"/>
      <c r="AD43" s="439"/>
      <c r="AE43" s="439"/>
      <c r="AF43" s="439"/>
    </row>
    <row r="44" spans="2:71">
      <c r="T44" s="446"/>
      <c r="U44" s="447"/>
      <c r="V44" s="447"/>
      <c r="W44" s="448"/>
      <c r="X44" s="447"/>
      <c r="Y44" s="448"/>
      <c r="AA44" s="440"/>
      <c r="AB44" s="441"/>
      <c r="AC44" s="441"/>
      <c r="AD44" s="442"/>
      <c r="AE44" s="441"/>
      <c r="AF44" s="442"/>
    </row>
    <row r="45" spans="2:71">
      <c r="T45" s="446"/>
      <c r="U45" s="447"/>
      <c r="V45" s="447"/>
      <c r="W45" s="448"/>
      <c r="X45" s="447"/>
      <c r="Y45" s="448"/>
      <c r="AA45" s="440"/>
      <c r="AB45" s="441"/>
      <c r="AC45" s="441"/>
      <c r="AD45" s="442"/>
      <c r="AE45" s="441"/>
      <c r="AF45" s="442"/>
    </row>
    <row r="46" spans="2:71">
      <c r="T46" s="446"/>
      <c r="U46" s="447"/>
      <c r="V46" s="447"/>
      <c r="W46" s="448"/>
      <c r="X46" s="447"/>
      <c r="Y46" s="448"/>
      <c r="AA46" s="440"/>
      <c r="AB46" s="441"/>
      <c r="AC46" s="441"/>
      <c r="AD46" s="442"/>
      <c r="AE46" s="441"/>
      <c r="AF46" s="442"/>
    </row>
    <row r="47" spans="2:71">
      <c r="T47" s="446"/>
      <c r="U47" s="447"/>
      <c r="V47" s="447"/>
      <c r="W47" s="448"/>
      <c r="X47" s="447"/>
      <c r="Y47" s="448"/>
      <c r="AA47" s="440"/>
      <c r="AB47" s="441"/>
      <c r="AC47" s="441"/>
      <c r="AD47" s="442"/>
      <c r="AE47" s="441"/>
      <c r="AF47" s="442"/>
    </row>
    <row r="48" spans="2:71">
      <c r="T48" s="446"/>
      <c r="U48" s="447"/>
      <c r="V48" s="447"/>
      <c r="W48" s="448"/>
      <c r="X48" s="447"/>
      <c r="Y48" s="448"/>
      <c r="AA48" s="440"/>
      <c r="AB48" s="441"/>
      <c r="AC48" s="441"/>
      <c r="AD48" s="442"/>
      <c r="AE48" s="441"/>
      <c r="AF48" s="442"/>
    </row>
    <row r="49" spans="20:32">
      <c r="T49" s="449"/>
      <c r="U49" s="447"/>
      <c r="V49" s="447"/>
      <c r="W49" s="448"/>
      <c r="X49" s="447"/>
      <c r="Y49" s="448"/>
      <c r="AA49" s="443"/>
      <c r="AB49" s="441"/>
      <c r="AC49" s="441"/>
      <c r="AD49" s="442"/>
      <c r="AE49" s="441"/>
      <c r="AF49" s="442"/>
    </row>
    <row r="50" spans="20:32">
      <c r="T50" s="449"/>
      <c r="U50" s="447"/>
      <c r="V50" s="447"/>
      <c r="W50" s="448"/>
      <c r="X50" s="447"/>
      <c r="Y50" s="448"/>
      <c r="AA50" s="443"/>
      <c r="AB50" s="441"/>
      <c r="AC50" s="441"/>
      <c r="AD50" s="442"/>
      <c r="AE50" s="441"/>
      <c r="AF50" s="442"/>
    </row>
  </sheetData>
  <mergeCells count="16">
    <mergeCell ref="C33:H35"/>
    <mergeCell ref="C31:H32"/>
    <mergeCell ref="D3:E3"/>
    <mergeCell ref="F3:G3"/>
    <mergeCell ref="M9:R9"/>
    <mergeCell ref="O33:R35"/>
    <mergeCell ref="O18:R25"/>
    <mergeCell ref="O10:R16"/>
    <mergeCell ref="M17:R17"/>
    <mergeCell ref="M26:R26"/>
    <mergeCell ref="O27:R31"/>
    <mergeCell ref="M32:R32"/>
    <mergeCell ref="N3:O3"/>
    <mergeCell ref="P3:Q3"/>
    <mergeCell ref="C29:H29"/>
    <mergeCell ref="C30:H30"/>
  </mergeCells>
  <pageMargins left="0.7" right="0.7" top="0.75" bottom="0.75" header="0.3" footer="0.3"/>
  <pageSetup scale="76"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B6038F-863B-4497-8C7E-95026BBFA411}">
  <sheetPr>
    <tabColor rgb="FFC00000"/>
    <pageSetUpPr fitToPage="1"/>
  </sheetPr>
  <dimension ref="B2:O42"/>
  <sheetViews>
    <sheetView view="pageBreakPreview" topLeftCell="A10" zoomScale="85" zoomScaleNormal="85" zoomScaleSheetLayoutView="85" workbookViewId="0">
      <selection activeCell="C39" sqref="C39"/>
    </sheetView>
  </sheetViews>
  <sheetFormatPr defaultColWidth="9.140625" defaultRowHeight="12"/>
  <cols>
    <col min="1" max="1" width="4.7109375" style="115" customWidth="1"/>
    <col min="2" max="2" width="5.140625" style="115" customWidth="1"/>
    <col min="3" max="7" width="15.7109375" style="115" customWidth="1"/>
    <col min="8" max="8" width="4.28515625" style="115" customWidth="1"/>
    <col min="9" max="9" width="15.5703125" style="115" customWidth="1"/>
    <col min="10" max="10" width="20.28515625" style="115" customWidth="1"/>
    <col min="11" max="11" width="20.42578125" style="115" customWidth="1"/>
    <col min="12" max="12" width="15.7109375" style="115" customWidth="1"/>
    <col min="13" max="13" width="9.140625" style="115"/>
    <col min="14" max="14" width="24.5703125" style="115" customWidth="1"/>
    <col min="15" max="15" width="13.85546875" style="115" customWidth="1"/>
    <col min="16" max="16" width="9.140625" style="115"/>
    <col min="17" max="17" width="5.140625" style="115" bestFit="1" customWidth="1"/>
    <col min="18" max="18" width="7.42578125" style="115" bestFit="1" customWidth="1"/>
    <col min="19" max="16384" width="9.140625" style="115"/>
  </cols>
  <sheetData>
    <row r="2" spans="3:15">
      <c r="C2" s="116" t="s">
        <v>68</v>
      </c>
    </row>
    <row r="3" spans="3:15" ht="18.75" customHeight="1" thickBot="1">
      <c r="J3" s="116" t="s">
        <v>69</v>
      </c>
    </row>
    <row r="4" spans="3:15" ht="15.75" customHeight="1" thickBot="1">
      <c r="D4" s="745" t="s">
        <v>57</v>
      </c>
      <c r="E4" s="746"/>
      <c r="F4" s="745" t="s">
        <v>70</v>
      </c>
      <c r="G4" s="746"/>
      <c r="H4" s="181"/>
      <c r="K4" s="117" t="s">
        <v>71</v>
      </c>
      <c r="L4" s="118"/>
    </row>
    <row r="5" spans="3:15" ht="12.75" thickBot="1">
      <c r="D5" s="747" t="s">
        <v>5</v>
      </c>
      <c r="E5" s="747"/>
      <c r="F5" s="747" t="s">
        <v>5</v>
      </c>
      <c r="G5" s="747"/>
      <c r="H5" s="181"/>
      <c r="J5" s="119" t="s">
        <v>72</v>
      </c>
      <c r="K5" s="120">
        <f>Assumptions!D5</f>
        <v>2026</v>
      </c>
    </row>
    <row r="6" spans="3:15" ht="15.75" customHeight="1">
      <c r="C6" s="748" t="s">
        <v>8</v>
      </c>
      <c r="D6" s="748" t="s">
        <v>73</v>
      </c>
      <c r="E6" s="750" t="s">
        <v>49</v>
      </c>
      <c r="F6" s="748" t="s">
        <v>91</v>
      </c>
      <c r="G6" s="752" t="s">
        <v>74</v>
      </c>
      <c r="H6" s="182"/>
      <c r="J6" s="119" t="s">
        <v>75</v>
      </c>
      <c r="K6" s="120">
        <f>Assumptions!D6</f>
        <v>3</v>
      </c>
    </row>
    <row r="7" spans="3:15" ht="15.75" customHeight="1" thickBot="1">
      <c r="C7" s="749"/>
      <c r="D7" s="749"/>
      <c r="E7" s="751"/>
      <c r="F7" s="749"/>
      <c r="G7" s="753"/>
      <c r="H7" s="182"/>
    </row>
    <row r="8" spans="3:15" ht="15.75" customHeight="1">
      <c r="C8" s="346">
        <f>Assumptions!D4</f>
        <v>2022</v>
      </c>
      <c r="D8" s="347">
        <f t="shared" ref="D8:D34" si="0">IF(AND($C8&gt;=$K$5,$C8&lt;$K$5+$K$6),($L$18)/$K$6,0)</f>
        <v>0</v>
      </c>
      <c r="E8" s="347">
        <f>D8*(1+Assumptions!$D$13)^-($C8-Assumptions!$D$4)</f>
        <v>0</v>
      </c>
      <c r="F8" s="348">
        <f>IF($C8=Assumptions!$D$9,'Capital Costs'!$L$30,0)</f>
        <v>0</v>
      </c>
      <c r="G8" s="121">
        <f>F8*(1+Assumptions!$D$13)^-(C8-Assumptions!$D$4)</f>
        <v>0</v>
      </c>
      <c r="H8" s="183"/>
      <c r="I8" s="122"/>
      <c r="J8" s="116" t="s">
        <v>76</v>
      </c>
    </row>
    <row r="9" spans="3:15" ht="15.75" customHeight="1">
      <c r="C9" s="349">
        <f>C8+1</f>
        <v>2023</v>
      </c>
      <c r="D9" s="350">
        <f t="shared" si="0"/>
        <v>0</v>
      </c>
      <c r="E9" s="350">
        <f>D9*(1+Assumptions!$D$13)^-($C9-Assumptions!$D$4)</f>
        <v>0</v>
      </c>
      <c r="F9" s="131">
        <f>IF($C9=Assumptions!$D$9,'Capital Costs'!$L$30,0)</f>
        <v>0</v>
      </c>
      <c r="G9" s="351">
        <f>F9*(1+Assumptions!$D$13)^-(C9-Assumptions!$D$4)</f>
        <v>0</v>
      </c>
      <c r="H9" s="183"/>
      <c r="I9" s="123"/>
      <c r="J9" s="734" t="s">
        <v>77</v>
      </c>
      <c r="K9" s="737" t="s">
        <v>78</v>
      </c>
      <c r="L9" s="740" t="s">
        <v>79</v>
      </c>
    </row>
    <row r="10" spans="3:15" ht="15.75" customHeight="1">
      <c r="C10" s="349">
        <f t="shared" ref="C10:C34" si="1">C9+1</f>
        <v>2024</v>
      </c>
      <c r="D10" s="350">
        <f t="shared" si="0"/>
        <v>0</v>
      </c>
      <c r="E10" s="350">
        <f>D10*(1+Assumptions!$D$13)^-($C10-Assumptions!$D$4)</f>
        <v>0</v>
      </c>
      <c r="F10" s="126">
        <f>IF($C10=Assumptions!$D$9,'Capital Costs'!$L$30,0)</f>
        <v>0</v>
      </c>
      <c r="G10" s="124">
        <f>F10*(1+Assumptions!$D$13)^-(C10-Assumptions!$D$4)</f>
        <v>0</v>
      </c>
      <c r="H10" s="184"/>
      <c r="I10" s="123"/>
      <c r="J10" s="735"/>
      <c r="K10" s="738"/>
      <c r="L10" s="741"/>
    </row>
    <row r="11" spans="3:15" ht="15.75" customHeight="1">
      <c r="C11" s="349">
        <f t="shared" si="1"/>
        <v>2025</v>
      </c>
      <c r="D11" s="350">
        <f t="shared" si="0"/>
        <v>0</v>
      </c>
      <c r="E11" s="350">
        <f>D11*(1+Assumptions!$D$13)^-($C11-Assumptions!$D$4)</f>
        <v>0</v>
      </c>
      <c r="F11" s="126">
        <f>IF($C11=Assumptions!$D$9,'Capital Costs'!$L$30,0)</f>
        <v>0</v>
      </c>
      <c r="G11" s="124">
        <f>F11*(1+Assumptions!$D$13)^-(C11-Assumptions!$D$4)</f>
        <v>0</v>
      </c>
      <c r="H11" s="184"/>
      <c r="I11" s="123"/>
      <c r="J11" s="736"/>
      <c r="K11" s="739"/>
      <c r="L11" s="742"/>
      <c r="N11" s="731" t="s">
        <v>556</v>
      </c>
      <c r="O11" s="732"/>
    </row>
    <row r="12" spans="3:15" ht="15.75" customHeight="1">
      <c r="C12" s="349">
        <f t="shared" si="1"/>
        <v>2026</v>
      </c>
      <c r="D12" s="350">
        <f t="shared" si="0"/>
        <v>18585108.16106699</v>
      </c>
      <c r="E12" s="350">
        <f>D12*(1+Assumptions!$D$13)^-($C12-Assumptions!$D$4)</f>
        <v>16448656.520626087</v>
      </c>
      <c r="F12" s="126">
        <f>IF($C12=Assumptions!$D$9,'Capital Costs'!$L$30,0)</f>
        <v>0</v>
      </c>
      <c r="G12" s="124">
        <f>F12*(1+Assumptions!$D$13)^-(C12-Assumptions!$D$4)</f>
        <v>0</v>
      </c>
      <c r="H12" s="184"/>
      <c r="I12" s="123"/>
      <c r="J12" s="119" t="s">
        <v>81</v>
      </c>
      <c r="K12" s="125">
        <v>100</v>
      </c>
      <c r="L12" s="126">
        <f>SUMIFS('Cost Data'!$G$8:$G$53,'Cost Data'!$H$8:$H$53,'Capital Costs'!J12)*($O$13/$O$14)</f>
        <v>54030.622009569386</v>
      </c>
      <c r="N12" s="434" t="s">
        <v>4</v>
      </c>
      <c r="O12" s="434" t="s">
        <v>323</v>
      </c>
    </row>
    <row r="13" spans="3:15" ht="15.75" customHeight="1">
      <c r="C13" s="349">
        <f t="shared" si="1"/>
        <v>2027</v>
      </c>
      <c r="D13" s="350">
        <f t="shared" si="0"/>
        <v>18585108.16106699</v>
      </c>
      <c r="E13" s="350">
        <f>D13*(1+Assumptions!$D$13)^-($C13-Assumptions!$D$4)</f>
        <v>15954080.039404547</v>
      </c>
      <c r="F13" s="126">
        <f>IF($C13=Assumptions!$D$9,'Capital Costs'!$L$30,0)</f>
        <v>0</v>
      </c>
      <c r="G13" s="124">
        <f>F13*(1+Assumptions!$D$13)^-(C13-Assumptions!$D$4)</f>
        <v>0</v>
      </c>
      <c r="H13" s="184"/>
      <c r="I13" s="123"/>
      <c r="J13" s="119" t="s">
        <v>82</v>
      </c>
      <c r="K13" s="125">
        <v>85</v>
      </c>
      <c r="L13" s="126">
        <f>SUMIFS('Cost Data'!$G$8:$G$53,'Cost Data'!$H$8:$H$53,'Capital Costs'!J13)*($O$13/$O$14)</f>
        <v>13459413.875598088</v>
      </c>
      <c r="M13" s="179"/>
      <c r="N13" s="434">
        <v>2022</v>
      </c>
      <c r="O13" s="602">
        <f>AVERAGE(115.135,117.671,118.962,120.093)</f>
        <v>117.96525000000001</v>
      </c>
    </row>
    <row r="14" spans="3:15" ht="15.75" customHeight="1">
      <c r="C14" s="349">
        <f t="shared" si="1"/>
        <v>2028</v>
      </c>
      <c r="D14" s="350">
        <f>IF(AND($C14&gt;=$K$5,$C14&lt;$K$5+$K$6),($L$18)/$K$6,0)</f>
        <v>18585108.16106699</v>
      </c>
      <c r="E14" s="350">
        <f>D14*(1+Assumptions!$D$13)^-($C14-Assumptions!$D$4)</f>
        <v>15474374.432012171</v>
      </c>
      <c r="F14" s="126">
        <f>IF($C14=Assumptions!$D$9,'Capital Costs'!$L$30,0)</f>
        <v>0</v>
      </c>
      <c r="G14" s="124">
        <f>F14*(1+Assumptions!$D$13)^-(C14-Assumptions!$D$4)</f>
        <v>0</v>
      </c>
      <c r="H14" s="184"/>
      <c r="I14" s="123"/>
      <c r="J14" s="119" t="s">
        <v>83</v>
      </c>
      <c r="K14" s="125">
        <v>60</v>
      </c>
      <c r="L14" s="126">
        <f>SUMIFS('Cost Data'!$G$8:$G$53,'Cost Data'!$H$8:$H$53,'Capital Costs'!J14)*($O$13/$O$14)</f>
        <v>868059.83253588527</v>
      </c>
      <c r="M14" s="179"/>
      <c r="N14" s="434">
        <v>2023</v>
      </c>
      <c r="O14" s="434">
        <f>AVERAGE(121.261,121.766,122.762,123.271)</f>
        <v>122.265</v>
      </c>
    </row>
    <row r="15" spans="3:15" ht="15.75" customHeight="1">
      <c r="C15" s="349">
        <f t="shared" si="1"/>
        <v>2029</v>
      </c>
      <c r="D15" s="350">
        <f t="shared" si="0"/>
        <v>0</v>
      </c>
      <c r="E15" s="350">
        <f>D15*(1+Assumptions!$D$13)^-($C15-Assumptions!$D$4)</f>
        <v>0</v>
      </c>
      <c r="F15" s="126">
        <f>IF($C15=Assumptions!$D$9,'Capital Costs'!$L$30,0)</f>
        <v>0</v>
      </c>
      <c r="G15" s="124">
        <f>F15*(1+Assumptions!$D$13)^-(C15-Assumptions!$D$4)</f>
        <v>0</v>
      </c>
      <c r="H15" s="184"/>
      <c r="I15" s="123"/>
      <c r="J15" s="119" t="s">
        <v>84</v>
      </c>
      <c r="K15" s="125">
        <v>40</v>
      </c>
      <c r="L15" s="126">
        <f>SUMIFS('Cost Data'!$G$8:$G$53,'Cost Data'!$H$8:$H$53,'Capital Costs'!J15)*($O$13/$O$14)</f>
        <v>2382460.9808612443</v>
      </c>
      <c r="M15" s="179"/>
    </row>
    <row r="16" spans="3:15" ht="15.75" customHeight="1">
      <c r="C16" s="349">
        <f t="shared" si="1"/>
        <v>2030</v>
      </c>
      <c r="D16" s="350">
        <f t="shared" si="0"/>
        <v>0</v>
      </c>
      <c r="E16" s="350">
        <f>D16*(1+Assumptions!$D$13)^-($C16-Assumptions!$D$4)</f>
        <v>0</v>
      </c>
      <c r="F16" s="126">
        <f>IF($C16=Assumptions!$D$9,'Capital Costs'!$L$30,0)</f>
        <v>0</v>
      </c>
      <c r="G16" s="124">
        <f>F16*(1+Assumptions!$D$13)^-(C16-Assumptions!$D$4)</f>
        <v>0</v>
      </c>
      <c r="H16" s="184"/>
      <c r="I16" s="123"/>
      <c r="J16" s="119" t="s">
        <v>85</v>
      </c>
      <c r="K16" s="125">
        <v>25</v>
      </c>
      <c r="L16" s="126">
        <f>SUMIFS('Cost Data'!$G$8:$G$53,'Cost Data'!$H$8:$H$53,'Capital Costs'!J16)*($O$13/$O$14)</f>
        <v>13101881.720011964</v>
      </c>
      <c r="M16" s="179"/>
      <c r="N16" s="116" t="s">
        <v>414</v>
      </c>
    </row>
    <row r="17" spans="3:15" ht="15.75" customHeight="1">
      <c r="C17" s="349">
        <f t="shared" si="1"/>
        <v>2031</v>
      </c>
      <c r="D17" s="350">
        <f t="shared" si="0"/>
        <v>0</v>
      </c>
      <c r="E17" s="350">
        <f>D17*(1+Assumptions!$D$13)^-($C17-Assumptions!$D$4)</f>
        <v>0</v>
      </c>
      <c r="F17" s="126">
        <f>IF($C17=Assumptions!$D$9,'Capital Costs'!$L$30,0)</f>
        <v>0</v>
      </c>
      <c r="G17" s="124">
        <f>F17*(1+Assumptions!$D$13)^-(C17-Assumptions!$D$4)</f>
        <v>0</v>
      </c>
      <c r="H17" s="184"/>
      <c r="I17" s="123"/>
      <c r="J17" s="119" t="s">
        <v>80</v>
      </c>
      <c r="K17" s="125" t="s">
        <v>86</v>
      </c>
      <c r="L17" s="126">
        <f>SUMIFS('Cost Data'!$G$8:$G$53,'Cost Data'!$H$8:$H$53,'Capital Costs'!J17)*($O$13/$O$14)</f>
        <v>25889477.452184215</v>
      </c>
      <c r="M17" s="179"/>
      <c r="N17" s="435" t="s">
        <v>415</v>
      </c>
      <c r="O17" s="436">
        <f>1-O13/O14</f>
        <v>3.5167464114832403E-2</v>
      </c>
    </row>
    <row r="18" spans="3:15" ht="15.75" customHeight="1">
      <c r="C18" s="349">
        <f t="shared" si="1"/>
        <v>2032</v>
      </c>
      <c r="D18" s="350">
        <f t="shared" si="0"/>
        <v>0</v>
      </c>
      <c r="E18" s="350">
        <f>D18*(1+Assumptions!$D$13)^-($C18-Assumptions!$D$4)</f>
        <v>0</v>
      </c>
      <c r="F18" s="126">
        <f>IF($C18=Assumptions!$D$9,'Capital Costs'!$L$30,0)</f>
        <v>0</v>
      </c>
      <c r="G18" s="124">
        <f>F18*(1+Assumptions!$D$13)^-(C18-Assumptions!$D$4)</f>
        <v>0</v>
      </c>
      <c r="H18" s="184"/>
      <c r="I18" s="123"/>
      <c r="J18" s="733" t="s">
        <v>5</v>
      </c>
      <c r="K18" s="733"/>
      <c r="L18" s="127">
        <f>SUM(L12:L17)</f>
        <v>55755324.483200967</v>
      </c>
      <c r="M18" s="179"/>
      <c r="N18"/>
      <c r="O18"/>
    </row>
    <row r="19" spans="3:15" ht="15.75" customHeight="1">
      <c r="C19" s="349">
        <f t="shared" si="1"/>
        <v>2033</v>
      </c>
      <c r="D19" s="350">
        <f t="shared" si="0"/>
        <v>0</v>
      </c>
      <c r="E19" s="350">
        <f>D19*(1+Assumptions!$D$13)^-($C19-Assumptions!$D$4)</f>
        <v>0</v>
      </c>
      <c r="F19" s="126">
        <f>IF($C19=Assumptions!$D$9,'Capital Costs'!$L$30,0)</f>
        <v>0</v>
      </c>
      <c r="G19" s="124">
        <f>F19*(1+Assumptions!$D$13)^-(C19-Assumptions!$D$4)</f>
        <v>0</v>
      </c>
      <c r="H19" s="184"/>
      <c r="I19" s="123"/>
    </row>
    <row r="20" spans="3:15" ht="15.75" customHeight="1">
      <c r="C20" s="349">
        <f t="shared" si="1"/>
        <v>2034</v>
      </c>
      <c r="D20" s="350">
        <f t="shared" si="0"/>
        <v>0</v>
      </c>
      <c r="E20" s="350">
        <f>D20*(1+Assumptions!$D$13)^-($C20-Assumptions!$D$4)</f>
        <v>0</v>
      </c>
      <c r="F20" s="126">
        <f>IF($C20=Assumptions!$D$9,'Capital Costs'!$L$30,0)</f>
        <v>0</v>
      </c>
      <c r="G20" s="124">
        <f>F20*(1+Assumptions!$D$13)^-(C20-Assumptions!$D$4)</f>
        <v>0</v>
      </c>
      <c r="H20" s="184"/>
      <c r="I20" s="123"/>
      <c r="J20" s="116" t="s">
        <v>334</v>
      </c>
    </row>
    <row r="21" spans="3:15" ht="15.75" customHeight="1">
      <c r="C21" s="349">
        <f t="shared" si="1"/>
        <v>2035</v>
      </c>
      <c r="D21" s="350">
        <f t="shared" si="0"/>
        <v>0</v>
      </c>
      <c r="E21" s="350">
        <f>D21*(1+Assumptions!$D$13)^-($C21-Assumptions!$D$4)</f>
        <v>0</v>
      </c>
      <c r="F21" s="126">
        <f>IF($C21=Assumptions!$D$9,'Capital Costs'!$L$30,0)</f>
        <v>0</v>
      </c>
      <c r="G21" s="124">
        <f>F21*(1+Assumptions!$D$13)^-(C21-Assumptions!$D$4)</f>
        <v>0</v>
      </c>
      <c r="H21" s="184"/>
      <c r="I21" s="123"/>
      <c r="J21" s="743" t="s">
        <v>77</v>
      </c>
      <c r="K21" s="744" t="s">
        <v>173</v>
      </c>
      <c r="L21" s="744" t="s">
        <v>87</v>
      </c>
    </row>
    <row r="22" spans="3:15" ht="15.75" customHeight="1">
      <c r="C22" s="349">
        <f t="shared" si="1"/>
        <v>2036</v>
      </c>
      <c r="D22" s="350">
        <f t="shared" si="0"/>
        <v>0</v>
      </c>
      <c r="E22" s="350">
        <f>D22*(1+Assumptions!$D$13)^-($C22-Assumptions!$D$4)</f>
        <v>0</v>
      </c>
      <c r="F22" s="126">
        <f>IF($C22=Assumptions!$D$9,'Capital Costs'!$L$30,0)</f>
        <v>0</v>
      </c>
      <c r="G22" s="124">
        <f>F22*(1+Assumptions!$D$13)^-(C22-Assumptions!$D$4)</f>
        <v>0</v>
      </c>
      <c r="H22" s="184"/>
      <c r="I22" s="123"/>
      <c r="J22" s="743"/>
      <c r="K22" s="744"/>
      <c r="L22" s="744"/>
    </row>
    <row r="23" spans="3:15" ht="15.75" customHeight="1">
      <c r="C23" s="349">
        <f t="shared" si="1"/>
        <v>2037</v>
      </c>
      <c r="D23" s="350">
        <f t="shared" si="0"/>
        <v>0</v>
      </c>
      <c r="E23" s="350">
        <f>D23*(1+Assumptions!$D$13)^-($C23-Assumptions!$D$4)</f>
        <v>0</v>
      </c>
      <c r="F23" s="126">
        <f>IF($C23=Assumptions!$D$9,'Capital Costs'!$L$30,0)</f>
        <v>0</v>
      </c>
      <c r="G23" s="124">
        <f>F23*(1+Assumptions!$D$13)^-(C23-Assumptions!$D$4)</f>
        <v>0</v>
      </c>
      <c r="H23" s="184"/>
      <c r="I23" s="123"/>
      <c r="J23" s="743"/>
      <c r="K23" s="744"/>
      <c r="L23" s="744"/>
    </row>
    <row r="24" spans="3:15" ht="15.75" customHeight="1">
      <c r="C24" s="349">
        <f t="shared" si="1"/>
        <v>2038</v>
      </c>
      <c r="D24" s="350">
        <f t="shared" si="0"/>
        <v>0</v>
      </c>
      <c r="E24" s="350">
        <f>D24*(1+Assumptions!$D$13)^-($C24-Assumptions!$D$4)</f>
        <v>0</v>
      </c>
      <c r="F24" s="126">
        <f>IF($C24=Assumptions!$D$9,'Capital Costs'!$L$30,0)</f>
        <v>0</v>
      </c>
      <c r="G24" s="124">
        <f>F24*(1+Assumptions!$D$13)^-(C24-Assumptions!$D$4)</f>
        <v>0</v>
      </c>
      <c r="H24" s="184"/>
      <c r="I24" s="123"/>
      <c r="J24" s="119" t="s">
        <v>81</v>
      </c>
      <c r="K24" s="129">
        <v>1</v>
      </c>
      <c r="L24" s="130">
        <f t="shared" ref="L24:L29" si="2">K24*L12</f>
        <v>54030.622009569386</v>
      </c>
    </row>
    <row r="25" spans="3:15" ht="15.75" customHeight="1">
      <c r="C25" s="349">
        <f t="shared" si="1"/>
        <v>2039</v>
      </c>
      <c r="D25" s="350">
        <f t="shared" si="0"/>
        <v>0</v>
      </c>
      <c r="E25" s="350">
        <f>D25*(1+Assumptions!$D$13)^-($C25-Assumptions!$D$4)</f>
        <v>0</v>
      </c>
      <c r="F25" s="126">
        <f>IF($C25=Assumptions!$D$9,'Capital Costs'!$L$30,0)</f>
        <v>0</v>
      </c>
      <c r="G25" s="124">
        <f>F25*(1+Assumptions!$D$13)^-(C25-Assumptions!$D$4)</f>
        <v>0</v>
      </c>
      <c r="H25" s="184"/>
      <c r="I25" s="123"/>
      <c r="J25" s="119" t="s">
        <v>82</v>
      </c>
      <c r="K25" s="129">
        <f>(K13-Assumptions!$D$7)/K13</f>
        <v>0.76470588235294112</v>
      </c>
      <c r="L25" s="130">
        <f t="shared" si="2"/>
        <v>10292492.963692654</v>
      </c>
    </row>
    <row r="26" spans="3:15" ht="15.75" customHeight="1">
      <c r="C26" s="349">
        <f t="shared" si="1"/>
        <v>2040</v>
      </c>
      <c r="D26" s="350">
        <f t="shared" si="0"/>
        <v>0</v>
      </c>
      <c r="E26" s="350">
        <f>D26*(1+Assumptions!$D$13)^-($C26-Assumptions!$D$4)</f>
        <v>0</v>
      </c>
      <c r="F26" s="126">
        <f>IF($C26=Assumptions!$D$9,'Capital Costs'!$L$30,0)</f>
        <v>0</v>
      </c>
      <c r="G26" s="124">
        <f>F26*(1+Assumptions!$D$13)^-(C26-Assumptions!$D$4)</f>
        <v>0</v>
      </c>
      <c r="H26" s="184"/>
      <c r="I26" s="123"/>
      <c r="J26" s="119" t="s">
        <v>83</v>
      </c>
      <c r="K26" s="129">
        <f>(K14-Assumptions!$D$7)/K14</f>
        <v>0.66666666666666663</v>
      </c>
      <c r="L26" s="130">
        <f t="shared" si="2"/>
        <v>578706.55502392352</v>
      </c>
    </row>
    <row r="27" spans="3:15" ht="15.75" customHeight="1">
      <c r="C27" s="349">
        <f t="shared" si="1"/>
        <v>2041</v>
      </c>
      <c r="D27" s="350">
        <f t="shared" si="0"/>
        <v>0</v>
      </c>
      <c r="E27" s="350">
        <f>D27*(1+Assumptions!$D$13)^-($C27-Assumptions!$D$4)</f>
        <v>0</v>
      </c>
      <c r="F27" s="126">
        <f>IF($C27=Assumptions!$D$9,'Capital Costs'!$L$30,0)</f>
        <v>0</v>
      </c>
      <c r="G27" s="124">
        <f>F27*(1+Assumptions!$D$13)^-(C27-Assumptions!$D$4)</f>
        <v>0</v>
      </c>
      <c r="H27" s="184"/>
      <c r="I27" s="123"/>
      <c r="J27" s="119" t="s">
        <v>84</v>
      </c>
      <c r="K27" s="129">
        <f>(K15-Assumptions!$D$7)/K15</f>
        <v>0.5</v>
      </c>
      <c r="L27" s="130">
        <f t="shared" si="2"/>
        <v>1191230.4904306221</v>
      </c>
    </row>
    <row r="28" spans="3:15" ht="15.75" customHeight="1">
      <c r="C28" s="349">
        <f t="shared" si="1"/>
        <v>2042</v>
      </c>
      <c r="D28" s="350">
        <f t="shared" si="0"/>
        <v>0</v>
      </c>
      <c r="E28" s="350">
        <f>D28*(1+Assumptions!$D$13)^-($C28-Assumptions!$D$4)</f>
        <v>0</v>
      </c>
      <c r="F28" s="126">
        <f>IF($C28=Assumptions!$D$9,'Capital Costs'!$L$30,0)</f>
        <v>0</v>
      </c>
      <c r="G28" s="124">
        <f>F28*(1+Assumptions!$D$13)^-(C28-Assumptions!$D$4)</f>
        <v>0</v>
      </c>
      <c r="H28" s="184"/>
      <c r="I28" s="123"/>
      <c r="J28" s="119" t="s">
        <v>85</v>
      </c>
      <c r="K28" s="129">
        <f>(K16-Assumptions!$D$7)/K16</f>
        <v>0.2</v>
      </c>
      <c r="L28" s="131">
        <f t="shared" si="2"/>
        <v>2620376.3440023931</v>
      </c>
    </row>
    <row r="29" spans="3:15" ht="15.75" customHeight="1">
      <c r="C29" s="349">
        <f t="shared" si="1"/>
        <v>2043</v>
      </c>
      <c r="D29" s="350">
        <f t="shared" si="0"/>
        <v>0</v>
      </c>
      <c r="E29" s="350">
        <f>D29*(1+Assumptions!$D$13)^-($C29-Assumptions!$D$4)</f>
        <v>0</v>
      </c>
      <c r="F29" s="126">
        <f>IF($C29=Assumptions!$D$9,'Capital Costs'!$L$30,0)</f>
        <v>0</v>
      </c>
      <c r="G29" s="124">
        <f>F29*(1+Assumptions!$D$13)^-(C29-Assumptions!$D$4)</f>
        <v>0</v>
      </c>
      <c r="H29" s="184"/>
      <c r="I29" s="123"/>
      <c r="J29" s="119" t="s">
        <v>80</v>
      </c>
      <c r="K29" s="129">
        <v>0</v>
      </c>
      <c r="L29" s="130">
        <f t="shared" si="2"/>
        <v>0</v>
      </c>
    </row>
    <row r="30" spans="3:15" ht="15.75" customHeight="1">
      <c r="C30" s="349">
        <f t="shared" si="1"/>
        <v>2044</v>
      </c>
      <c r="D30" s="350">
        <f t="shared" si="0"/>
        <v>0</v>
      </c>
      <c r="E30" s="350">
        <f>D30*(1+Assumptions!$D$13)^-($C30-Assumptions!$D$4)</f>
        <v>0</v>
      </c>
      <c r="F30" s="126">
        <f>IF($C30=Assumptions!$D$9,'Capital Costs'!$L$30,0)</f>
        <v>0</v>
      </c>
      <c r="G30" s="124">
        <f>F30*(1+Assumptions!$D$13)^-(C30-Assumptions!$D$4)</f>
        <v>0</v>
      </c>
      <c r="H30" s="184"/>
      <c r="I30" s="123"/>
      <c r="J30" s="733" t="s">
        <v>88</v>
      </c>
      <c r="K30" s="733"/>
      <c r="L30" s="128">
        <f>SUM(L24:L29)</f>
        <v>14736836.975159161</v>
      </c>
    </row>
    <row r="31" spans="3:15" ht="15.75" customHeight="1">
      <c r="C31" s="349">
        <f t="shared" si="1"/>
        <v>2045</v>
      </c>
      <c r="D31" s="350">
        <f t="shared" si="0"/>
        <v>0</v>
      </c>
      <c r="E31" s="350">
        <f>D31*(1+Assumptions!$D$13)^-($C31-Assumptions!$D$4)</f>
        <v>0</v>
      </c>
      <c r="F31" s="126">
        <f>IF($C31=Assumptions!$D$9,'Capital Costs'!$L$30,0)</f>
        <v>0</v>
      </c>
      <c r="G31" s="124">
        <f>F31*(1+Assumptions!$D$13)^-(C31-Assumptions!$D$4)</f>
        <v>0</v>
      </c>
      <c r="H31" s="184"/>
      <c r="I31" s="123"/>
    </row>
    <row r="32" spans="3:15" ht="15.75" customHeight="1">
      <c r="C32" s="349">
        <f t="shared" si="1"/>
        <v>2046</v>
      </c>
      <c r="D32" s="350">
        <f t="shared" si="0"/>
        <v>0</v>
      </c>
      <c r="E32" s="350">
        <f>D32*(1+Assumptions!$D$13)^-($C32-Assumptions!$D$4)</f>
        <v>0</v>
      </c>
      <c r="F32" s="126">
        <f>IF($C32=Assumptions!$D$9,'Capital Costs'!$L$30,0)</f>
        <v>0</v>
      </c>
      <c r="G32" s="124">
        <f>F32*(1+Assumptions!$D$13)^-(C32-Assumptions!$D$4)</f>
        <v>0</v>
      </c>
      <c r="H32" s="184"/>
      <c r="I32" s="123"/>
      <c r="J32" s="368" t="s">
        <v>337</v>
      </c>
    </row>
    <row r="33" spans="2:12" ht="15.75" customHeight="1">
      <c r="C33" s="349">
        <f t="shared" si="1"/>
        <v>2047</v>
      </c>
      <c r="D33" s="350">
        <f t="shared" si="0"/>
        <v>0</v>
      </c>
      <c r="E33" s="350">
        <f>D33*(1+Assumptions!$D$13)^-($C33-Assumptions!$D$4)</f>
        <v>0</v>
      </c>
      <c r="F33" s="126">
        <f>IF($C33=Assumptions!$D$9,'Capital Costs'!$L$30,0)</f>
        <v>0</v>
      </c>
      <c r="G33" s="124">
        <f>F33*(1+Assumptions!$D$13)^-(C33-Assumptions!$D$4)</f>
        <v>0</v>
      </c>
      <c r="H33" s="184"/>
      <c r="I33" s="123"/>
      <c r="J33" s="369" t="s">
        <v>4</v>
      </c>
      <c r="K33" s="369" t="s">
        <v>335</v>
      </c>
      <c r="L33" s="369" t="s">
        <v>336</v>
      </c>
    </row>
    <row r="34" spans="2:12" ht="15.75" customHeight="1">
      <c r="C34" s="349">
        <f t="shared" si="1"/>
        <v>2048</v>
      </c>
      <c r="D34" s="350">
        <f t="shared" si="0"/>
        <v>0</v>
      </c>
      <c r="E34" s="350">
        <f>D34*(1+Assumptions!$D$13)^-($C34-Assumptions!$D$4)</f>
        <v>0</v>
      </c>
      <c r="F34" s="126">
        <f>IF($C34=Assumptions!$D$9,'Capital Costs'!$L$30,0)</f>
        <v>14736836.975159161</v>
      </c>
      <c r="G34" s="124">
        <f>(F34*(1+Assumptions!$D$13)^-(C34-Assumptions!$D$4))-L38</f>
        <v>2924961.9542023251</v>
      </c>
      <c r="H34" s="184"/>
      <c r="I34" s="123"/>
      <c r="J34" s="167">
        <v>2051</v>
      </c>
      <c r="K34" s="139">
        <f>SUM('Ops and Main'!W6:W11)*'Ops and Main'!V6</f>
        <v>5956000</v>
      </c>
      <c r="L34" s="69">
        <f>K34*(1+Assumptions!$D$13)^-(J34-Assumptions!$D$4)</f>
        <v>2457272.9271028596</v>
      </c>
    </row>
    <row r="35" spans="2:12" ht="15.75" customHeight="1">
      <c r="D35" s="132"/>
      <c r="E35" s="132">
        <f>SUM(E8:E34)</f>
        <v>47877110.992042802</v>
      </c>
      <c r="G35" s="132">
        <f>SUM(G8:G34)</f>
        <v>2924961.9542023251</v>
      </c>
      <c r="H35" s="132"/>
      <c r="I35" s="123"/>
      <c r="J35" s="167">
        <v>2056</v>
      </c>
      <c r="K35" s="139">
        <f>SUM('Ops and Main'!U5)*'Ops and Main'!V5</f>
        <v>26000</v>
      </c>
      <c r="L35" s="69">
        <f>K35*(1+Assumptions!$D$13)^-(J35-Assumptions!$D$4)</f>
        <v>9208.2844894029367</v>
      </c>
    </row>
    <row r="36" spans="2:12" ht="15.75" customHeight="1">
      <c r="I36" s="132"/>
      <c r="J36" s="167">
        <v>2071</v>
      </c>
      <c r="K36" s="139">
        <f>SUM('Ops and Main'!U5)*'Ops and Main'!V5</f>
        <v>26000</v>
      </c>
      <c r="L36" s="69">
        <f>K36*(1+Assumptions!$D$13)^-(J36-Assumptions!$D$4)</f>
        <v>5825.0378152270487</v>
      </c>
    </row>
    <row r="37" spans="2:12" ht="15.75" customHeight="1">
      <c r="J37" s="167">
        <v>2076</v>
      </c>
      <c r="K37" s="139">
        <f>SUM('Ops and Main'!U8:U13)*'Ops and Main'!V8</f>
        <v>6582000</v>
      </c>
      <c r="L37" s="69">
        <f>K37*(1+Assumptions!$D$13)^-(J37-Assumptions!$D$4)</f>
        <v>1265872.4631515772</v>
      </c>
    </row>
    <row r="38" spans="2:12" ht="15.75" customHeight="1">
      <c r="C38" s="115" t="s">
        <v>52</v>
      </c>
      <c r="J38" s="120" t="s">
        <v>5</v>
      </c>
      <c r="K38" s="367">
        <f>SUM(K34:K37)</f>
        <v>12590000</v>
      </c>
      <c r="L38" s="367">
        <f>SUM(L34:L37)</f>
        <v>3738178.7125590667</v>
      </c>
    </row>
    <row r="39" spans="2:12" ht="15.75" customHeight="1">
      <c r="B39" s="115" t="s">
        <v>18</v>
      </c>
      <c r="C39" s="115" t="s">
        <v>557</v>
      </c>
      <c r="I39" s="133"/>
    </row>
    <row r="42" spans="2:12" ht="15" customHeight="1"/>
  </sheetData>
  <mergeCells count="18">
    <mergeCell ref="D4:E4"/>
    <mergeCell ref="F4:G4"/>
    <mergeCell ref="D5:E5"/>
    <mergeCell ref="F5:G5"/>
    <mergeCell ref="C6:C7"/>
    <mergeCell ref="D6:D7"/>
    <mergeCell ref="E6:E7"/>
    <mergeCell ref="F6:F7"/>
    <mergeCell ref="G6:G7"/>
    <mergeCell ref="N11:O11"/>
    <mergeCell ref="J30:K30"/>
    <mergeCell ref="J9:J11"/>
    <mergeCell ref="K9:K11"/>
    <mergeCell ref="L9:L11"/>
    <mergeCell ref="J18:K18"/>
    <mergeCell ref="J21:J23"/>
    <mergeCell ref="K21:K23"/>
    <mergeCell ref="L21:L23"/>
  </mergeCells>
  <pageMargins left="0.25" right="0.25" top="0.75" bottom="0.75" header="0.3" footer="0.3"/>
  <pageSetup paperSize="119" scale="93"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8EAD16-E6B5-432F-AED4-416DB854749E}">
  <sheetPr>
    <tabColor rgb="FFC00000"/>
    <pageSetUpPr fitToPage="1"/>
  </sheetPr>
  <dimension ref="B2:X39"/>
  <sheetViews>
    <sheetView view="pageBreakPreview" zoomScaleNormal="100" zoomScaleSheetLayoutView="100" workbookViewId="0">
      <selection activeCell="L45" sqref="L45"/>
    </sheetView>
  </sheetViews>
  <sheetFormatPr defaultColWidth="9.140625" defaultRowHeight="12"/>
  <cols>
    <col min="1" max="1" width="3.28515625" style="19" customWidth="1"/>
    <col min="2" max="2" width="5" style="19" bestFit="1" customWidth="1"/>
    <col min="3" max="12" width="10.5703125" style="19" customWidth="1"/>
    <col min="13" max="13" width="2.85546875" style="19" customWidth="1"/>
    <col min="14" max="14" width="7.7109375" style="19" customWidth="1"/>
    <col min="15" max="15" width="12.28515625" style="19" bestFit="1" customWidth="1"/>
    <col min="16" max="16" width="10.85546875" style="19" bestFit="1" customWidth="1"/>
    <col min="17" max="17" width="4" style="19" customWidth="1"/>
    <col min="18" max="18" width="32.140625" style="19" bestFit="1" customWidth="1"/>
    <col min="19" max="19" width="12.5703125" style="19" bestFit="1" customWidth="1"/>
    <col min="20" max="20" width="17" style="19" bestFit="1" customWidth="1"/>
    <col min="21" max="21" width="21" style="19" bestFit="1" customWidth="1"/>
    <col min="22" max="22" width="8.85546875" style="19" bestFit="1" customWidth="1"/>
    <col min="23" max="23" width="11.42578125" style="19" bestFit="1" customWidth="1"/>
    <col min="24" max="24" width="21" style="19" bestFit="1" customWidth="1"/>
    <col min="25" max="26" width="9.140625" style="19"/>
    <col min="27" max="28" width="11.140625" style="19" bestFit="1" customWidth="1"/>
    <col min="29" max="29" width="12.7109375" style="19" bestFit="1" customWidth="1"/>
    <col min="30" max="30" width="9.28515625" style="19" bestFit="1" customWidth="1"/>
    <col min="31" max="31" width="12.7109375" style="19" bestFit="1" customWidth="1"/>
    <col min="32" max="32" width="9.28515625" style="19" bestFit="1" customWidth="1"/>
    <col min="33" max="33" width="10.140625" style="19" bestFit="1" customWidth="1"/>
    <col min="34" max="34" width="8.5703125" style="19" bestFit="1" customWidth="1"/>
    <col min="35" max="35" width="10.140625" style="19" bestFit="1" customWidth="1"/>
    <col min="36" max="36" width="10.85546875" style="19" bestFit="1" customWidth="1"/>
    <col min="37" max="16384" width="9.140625" style="19"/>
  </cols>
  <sheetData>
    <row r="2" spans="2:24" ht="12.75" thickBot="1">
      <c r="B2" s="35" t="s">
        <v>242</v>
      </c>
    </row>
    <row r="3" spans="2:24" ht="13.5">
      <c r="B3" s="759" t="s">
        <v>4</v>
      </c>
      <c r="C3" s="757" t="s">
        <v>297</v>
      </c>
      <c r="D3" s="758"/>
      <c r="E3" s="757" t="s">
        <v>286</v>
      </c>
      <c r="F3" s="758"/>
      <c r="G3" s="757" t="s">
        <v>287</v>
      </c>
      <c r="H3" s="758"/>
      <c r="I3" s="757" t="s">
        <v>174</v>
      </c>
      <c r="J3" s="758"/>
      <c r="K3" s="764" t="s">
        <v>3</v>
      </c>
      <c r="L3" s="766" t="s">
        <v>55</v>
      </c>
      <c r="R3" s="35" t="s">
        <v>322</v>
      </c>
    </row>
    <row r="4" spans="2:24" ht="12.75" thickBot="1">
      <c r="B4" s="760"/>
      <c r="C4" s="208" t="s">
        <v>1</v>
      </c>
      <c r="D4" s="312" t="s">
        <v>2</v>
      </c>
      <c r="E4" s="208" t="s">
        <v>1</v>
      </c>
      <c r="F4" s="312" t="s">
        <v>2</v>
      </c>
      <c r="G4" s="208" t="s">
        <v>1</v>
      </c>
      <c r="H4" s="312" t="s">
        <v>2</v>
      </c>
      <c r="I4" s="208" t="s">
        <v>1</v>
      </c>
      <c r="J4" s="312" t="s">
        <v>2</v>
      </c>
      <c r="K4" s="765"/>
      <c r="L4" s="694"/>
      <c r="R4" s="264" t="s">
        <v>269</v>
      </c>
      <c r="S4" s="264" t="s">
        <v>266</v>
      </c>
      <c r="T4" s="264" t="s">
        <v>267</v>
      </c>
      <c r="U4" s="264" t="s">
        <v>333</v>
      </c>
      <c r="V4" s="264" t="s">
        <v>284</v>
      </c>
      <c r="W4" s="264" t="s">
        <v>268</v>
      </c>
      <c r="X4" s="264" t="s">
        <v>332</v>
      </c>
    </row>
    <row r="5" spans="2:24" ht="12.75" thickBot="1">
      <c r="B5" s="285">
        <f>Assumptions!D8</f>
        <v>2029</v>
      </c>
      <c r="C5" s="286">
        <f>_xlfn.XLOOKUP($B5,$N$21:$N$24,$P$21:$P$24,0,0,1)</f>
        <v>0</v>
      </c>
      <c r="D5" s="287">
        <f t="shared" ref="D5:D24" si="0">_xlfn.XLOOKUP($B5,$O$21:$O$22,$P$21:$P$22,0,0,1)</f>
        <v>0</v>
      </c>
      <c r="E5" s="286">
        <f t="shared" ref="E5:E24" si="1">_xlfn.XLOOKUP($B5,$N$14:$N$15,$P$14:$P$15,0,0,1)</f>
        <v>0</v>
      </c>
      <c r="F5" s="287">
        <f t="shared" ref="F5:F24" si="2">_xlfn.XLOOKUP($B5,$O$14:$O$15,$P$14:$P$15,0,0,1)</f>
        <v>0</v>
      </c>
      <c r="G5" s="286">
        <f t="shared" ref="G5:G24" si="3">_xlfn.XLOOKUP($B5,$N$8:$N$8,$P$8:$P$8,0,0,1)</f>
        <v>0</v>
      </c>
      <c r="H5" s="287">
        <f t="shared" ref="H5:H24" si="4">_xlfn.XLOOKUP($B5,$O$8:$O$8,$P$8:$P$8,0,0,1)</f>
        <v>0</v>
      </c>
      <c r="I5" s="288">
        <f t="shared" ref="I5:I24" si="5">SUM(E5,G5,C5)</f>
        <v>0</v>
      </c>
      <c r="J5" s="289">
        <f t="shared" ref="J5:J24" si="6">SUM(F5,H5,D5)</f>
        <v>0</v>
      </c>
      <c r="K5" s="290">
        <f>I5-J5</f>
        <v>0</v>
      </c>
      <c r="L5" s="64">
        <f>K5*(1+Assumptions!$D$13)^-($B5-Assumptions!$D$4)</f>
        <v>0</v>
      </c>
      <c r="N5" s="761" t="s">
        <v>298</v>
      </c>
      <c r="O5" s="762"/>
      <c r="P5" s="763"/>
      <c r="R5" s="264" t="s">
        <v>275</v>
      </c>
      <c r="S5" s="264" t="s">
        <v>282</v>
      </c>
      <c r="T5" s="264" t="s">
        <v>274</v>
      </c>
      <c r="U5" s="139">
        <f>MROUND($O$28/$O$29*X5,1000)</f>
        <v>13000</v>
      </c>
      <c r="V5" s="264">
        <v>2</v>
      </c>
      <c r="W5" s="304">
        <v>120000</v>
      </c>
      <c r="X5" s="304">
        <v>15000</v>
      </c>
    </row>
    <row r="6" spans="2:24">
      <c r="B6" s="292">
        <f>B5+1</f>
        <v>2030</v>
      </c>
      <c r="C6" s="293">
        <f>_xlfn.XLOOKUP($B6,$N$21:$N$24,$P$21:$P$24,0,0,1)</f>
        <v>26000</v>
      </c>
      <c r="D6" s="294">
        <f t="shared" si="0"/>
        <v>0</v>
      </c>
      <c r="E6" s="293">
        <f t="shared" si="1"/>
        <v>0</v>
      </c>
      <c r="F6" s="294">
        <f t="shared" si="2"/>
        <v>0</v>
      </c>
      <c r="G6" s="293">
        <f t="shared" si="3"/>
        <v>0</v>
      </c>
      <c r="H6" s="294">
        <f t="shared" si="4"/>
        <v>0</v>
      </c>
      <c r="I6" s="295">
        <f t="shared" si="5"/>
        <v>26000</v>
      </c>
      <c r="J6" s="296">
        <f t="shared" si="6"/>
        <v>0</v>
      </c>
      <c r="K6" s="297">
        <f t="shared" ref="K6:K24" si="7">I6-J6</f>
        <v>26000</v>
      </c>
      <c r="L6" s="70">
        <f>K6*(1+Assumptions!$D$13)^-($B6-Assumptions!$D$4)</f>
        <v>20365.919635788669</v>
      </c>
      <c r="N6" s="204" t="s">
        <v>1</v>
      </c>
      <c r="O6" s="352" t="s">
        <v>2</v>
      </c>
      <c r="P6" s="754" t="s">
        <v>285</v>
      </c>
      <c r="Q6" s="291"/>
      <c r="R6" s="264" t="s">
        <v>270</v>
      </c>
      <c r="S6" s="264" t="s">
        <v>280</v>
      </c>
      <c r="T6" s="264">
        <v>2051</v>
      </c>
      <c r="U6" s="139">
        <f t="shared" ref="U6:U12" si="8">MROUND($O$28/$O$29*X6,1000)</f>
        <v>742000</v>
      </c>
      <c r="V6" s="264">
        <v>2</v>
      </c>
      <c r="W6" s="304">
        <v>1672000</v>
      </c>
      <c r="X6" s="304">
        <v>836000</v>
      </c>
    </row>
    <row r="7" spans="2:24" ht="12.75" thickBot="1">
      <c r="B7" s="292">
        <f t="shared" ref="B7:B24" si="9">B6+1</f>
        <v>2031</v>
      </c>
      <c r="C7" s="293">
        <f t="shared" ref="C7:C24" si="10">_xlfn.XLOOKUP($B7,$N$21:$N$24,$P$21:$P$24,0,0,1)</f>
        <v>0</v>
      </c>
      <c r="D7" s="294">
        <f t="shared" si="0"/>
        <v>0</v>
      </c>
      <c r="E7" s="293">
        <f t="shared" si="1"/>
        <v>0</v>
      </c>
      <c r="F7" s="294">
        <f t="shared" si="2"/>
        <v>0</v>
      </c>
      <c r="G7" s="293">
        <f t="shared" si="3"/>
        <v>0</v>
      </c>
      <c r="H7" s="294">
        <f t="shared" si="4"/>
        <v>0</v>
      </c>
      <c r="I7" s="295">
        <f t="shared" si="5"/>
        <v>0</v>
      </c>
      <c r="J7" s="296">
        <f t="shared" si="6"/>
        <v>0</v>
      </c>
      <c r="K7" s="297">
        <f>I7-J7</f>
        <v>0</v>
      </c>
      <c r="L7" s="70">
        <f>K7*(1+Assumptions!$D$13)^-($B7-Assumptions!$D$4)</f>
        <v>0</v>
      </c>
      <c r="N7" s="208">
        <f>1985</f>
        <v>1985</v>
      </c>
      <c r="O7" s="311">
        <v>2026</v>
      </c>
      <c r="P7" s="755"/>
      <c r="R7" s="264" t="s">
        <v>272</v>
      </c>
      <c r="S7" s="264" t="s">
        <v>280</v>
      </c>
      <c r="T7" s="264">
        <v>2051</v>
      </c>
      <c r="U7" s="139">
        <f t="shared" si="8"/>
        <v>56000</v>
      </c>
      <c r="V7" s="264">
        <v>2</v>
      </c>
      <c r="W7" s="304">
        <v>126000</v>
      </c>
      <c r="X7" s="304">
        <v>63000</v>
      </c>
    </row>
    <row r="8" spans="2:24" ht="12.75" thickBot="1">
      <c r="B8" s="292">
        <f t="shared" si="9"/>
        <v>2032</v>
      </c>
      <c r="C8" s="293">
        <f t="shared" si="10"/>
        <v>0</v>
      </c>
      <c r="D8" s="294">
        <f t="shared" si="0"/>
        <v>0</v>
      </c>
      <c r="E8" s="293">
        <f t="shared" si="1"/>
        <v>0</v>
      </c>
      <c r="F8" s="294">
        <f t="shared" si="2"/>
        <v>0</v>
      </c>
      <c r="G8" s="293">
        <f t="shared" si="3"/>
        <v>0</v>
      </c>
      <c r="H8" s="294">
        <f t="shared" si="4"/>
        <v>0</v>
      </c>
      <c r="I8" s="295">
        <f t="shared" si="5"/>
        <v>0</v>
      </c>
      <c r="J8" s="296">
        <f t="shared" si="6"/>
        <v>0</v>
      </c>
      <c r="K8" s="297">
        <f t="shared" si="7"/>
        <v>0</v>
      </c>
      <c r="L8" s="70">
        <f>K8*(1+Assumptions!$D$13)^-($B8-Assumptions!$D$4)</f>
        <v>0</v>
      </c>
      <c r="N8" s="353">
        <f>N7+50</f>
        <v>2035</v>
      </c>
      <c r="O8" s="354">
        <f>O7+50</f>
        <v>2076</v>
      </c>
      <c r="P8" s="355">
        <f>SUM($U$12:$U$13)*V12</f>
        <v>6060000</v>
      </c>
      <c r="R8" s="264" t="s">
        <v>321</v>
      </c>
      <c r="S8" s="264" t="s">
        <v>283</v>
      </c>
      <c r="T8" s="264" t="s">
        <v>277</v>
      </c>
      <c r="U8" s="139">
        <f t="shared" si="8"/>
        <v>22000</v>
      </c>
      <c r="V8" s="264">
        <v>2</v>
      </c>
      <c r="W8" s="304">
        <v>100000</v>
      </c>
      <c r="X8" s="304">
        <v>25000</v>
      </c>
    </row>
    <row r="9" spans="2:24">
      <c r="B9" s="292">
        <f t="shared" si="9"/>
        <v>2033</v>
      </c>
      <c r="C9" s="293">
        <f t="shared" si="10"/>
        <v>0</v>
      </c>
      <c r="D9" s="294">
        <f t="shared" si="0"/>
        <v>0</v>
      </c>
      <c r="E9" s="293">
        <f t="shared" si="1"/>
        <v>0</v>
      </c>
      <c r="F9" s="294">
        <f t="shared" si="2"/>
        <v>0</v>
      </c>
      <c r="G9" s="293">
        <f t="shared" si="3"/>
        <v>0</v>
      </c>
      <c r="H9" s="294">
        <f t="shared" si="4"/>
        <v>0</v>
      </c>
      <c r="I9" s="295">
        <f t="shared" si="5"/>
        <v>0</v>
      </c>
      <c r="J9" s="296">
        <f t="shared" si="6"/>
        <v>0</v>
      </c>
      <c r="K9" s="297">
        <f t="shared" si="7"/>
        <v>0</v>
      </c>
      <c r="L9" s="70">
        <f>K9*(1+Assumptions!$D$13)^-($B9-Assumptions!$D$4)</f>
        <v>0</v>
      </c>
      <c r="N9" s="20"/>
      <c r="O9" s="20"/>
      <c r="P9" s="152"/>
      <c r="R9" s="264" t="s">
        <v>278</v>
      </c>
      <c r="S9" s="264" t="s">
        <v>279</v>
      </c>
      <c r="T9" s="264" t="s">
        <v>277</v>
      </c>
      <c r="U9" s="139">
        <f t="shared" si="8"/>
        <v>18000</v>
      </c>
      <c r="V9" s="264">
        <v>2</v>
      </c>
      <c r="W9" s="304">
        <v>80000</v>
      </c>
      <c r="X9" s="304">
        <v>20000</v>
      </c>
    </row>
    <row r="10" spans="2:24" ht="12.75" thickBot="1">
      <c r="B10" s="292">
        <f t="shared" si="9"/>
        <v>2034</v>
      </c>
      <c r="C10" s="293">
        <f t="shared" si="10"/>
        <v>0</v>
      </c>
      <c r="D10" s="294">
        <f t="shared" si="0"/>
        <v>0</v>
      </c>
      <c r="E10" s="293">
        <f t="shared" si="1"/>
        <v>0</v>
      </c>
      <c r="F10" s="294">
        <f t="shared" si="2"/>
        <v>0</v>
      </c>
      <c r="G10" s="293">
        <f t="shared" si="3"/>
        <v>0</v>
      </c>
      <c r="H10" s="294">
        <f t="shared" si="4"/>
        <v>0</v>
      </c>
      <c r="I10" s="295">
        <f t="shared" si="5"/>
        <v>0</v>
      </c>
      <c r="J10" s="296">
        <f t="shared" si="6"/>
        <v>0</v>
      </c>
      <c r="K10" s="297">
        <f t="shared" si="7"/>
        <v>0</v>
      </c>
      <c r="L10" s="70">
        <f>K10*(1+Assumptions!$D$13)^-($B10-Assumptions!$D$4)</f>
        <v>0</v>
      </c>
      <c r="R10" s="264" t="s">
        <v>276</v>
      </c>
      <c r="S10" s="264" t="s">
        <v>279</v>
      </c>
      <c r="T10" s="264" t="s">
        <v>277</v>
      </c>
      <c r="U10" s="139">
        <f t="shared" si="8"/>
        <v>13000</v>
      </c>
      <c r="V10" s="264">
        <v>2</v>
      </c>
      <c r="W10" s="304">
        <v>60000</v>
      </c>
      <c r="X10" s="304">
        <v>15000</v>
      </c>
    </row>
    <row r="11" spans="2:24" ht="12.75" thickBot="1">
      <c r="B11" s="292">
        <f t="shared" si="9"/>
        <v>2035</v>
      </c>
      <c r="C11" s="293">
        <f t="shared" si="10"/>
        <v>0</v>
      </c>
      <c r="D11" s="294">
        <f t="shared" si="0"/>
        <v>0</v>
      </c>
      <c r="E11" s="293">
        <f t="shared" si="1"/>
        <v>6582000</v>
      </c>
      <c r="F11" s="294">
        <f t="shared" si="2"/>
        <v>0</v>
      </c>
      <c r="G11" s="293">
        <f t="shared" si="3"/>
        <v>6060000</v>
      </c>
      <c r="H11" s="294">
        <f t="shared" si="4"/>
        <v>0</v>
      </c>
      <c r="I11" s="295">
        <f t="shared" si="5"/>
        <v>12642000</v>
      </c>
      <c r="J11" s="296">
        <f t="shared" si="6"/>
        <v>0</v>
      </c>
      <c r="K11" s="297">
        <f t="shared" si="7"/>
        <v>12642000</v>
      </c>
      <c r="L11" s="70">
        <f>K11*(1+Assumptions!$D$13)^-($B11-Assumptions!$D$4)</f>
        <v>8500669.6147338245</v>
      </c>
      <c r="N11" s="761" t="s">
        <v>319</v>
      </c>
      <c r="O11" s="762"/>
      <c r="P11" s="763"/>
      <c r="R11" s="264" t="s">
        <v>320</v>
      </c>
      <c r="S11" s="264" t="s">
        <v>279</v>
      </c>
      <c r="T11" s="264" t="s">
        <v>277</v>
      </c>
      <c r="U11" s="139">
        <f t="shared" si="8"/>
        <v>208000</v>
      </c>
      <c r="V11" s="264">
        <v>2</v>
      </c>
      <c r="W11" s="304">
        <v>940000</v>
      </c>
      <c r="X11" s="304">
        <v>235000</v>
      </c>
    </row>
    <row r="12" spans="2:24">
      <c r="B12" s="292">
        <f t="shared" si="9"/>
        <v>2036</v>
      </c>
      <c r="C12" s="293">
        <f t="shared" si="10"/>
        <v>0</v>
      </c>
      <c r="D12" s="294">
        <f t="shared" si="0"/>
        <v>0</v>
      </c>
      <c r="E12" s="293">
        <f t="shared" si="1"/>
        <v>0</v>
      </c>
      <c r="F12" s="294">
        <f t="shared" si="2"/>
        <v>0</v>
      </c>
      <c r="G12" s="293">
        <f t="shared" si="3"/>
        <v>0</v>
      </c>
      <c r="H12" s="294">
        <f t="shared" si="4"/>
        <v>0</v>
      </c>
      <c r="I12" s="295">
        <f t="shared" si="5"/>
        <v>0</v>
      </c>
      <c r="J12" s="296">
        <f t="shared" si="6"/>
        <v>0</v>
      </c>
      <c r="K12" s="297">
        <f t="shared" si="7"/>
        <v>0</v>
      </c>
      <c r="L12" s="70">
        <f>K12*(1+Assumptions!$D$13)^-($B12-Assumptions!$D$4)</f>
        <v>0</v>
      </c>
      <c r="N12" s="204" t="s">
        <v>1</v>
      </c>
      <c r="O12" s="352" t="s">
        <v>2</v>
      </c>
      <c r="P12" s="754" t="s">
        <v>285</v>
      </c>
      <c r="R12" s="264" t="s">
        <v>273</v>
      </c>
      <c r="S12" s="264" t="s">
        <v>281</v>
      </c>
      <c r="T12" s="264">
        <v>2076</v>
      </c>
      <c r="U12" s="139">
        <f t="shared" si="8"/>
        <v>273000</v>
      </c>
      <c r="V12" s="264">
        <v>2</v>
      </c>
      <c r="W12" s="304">
        <v>616000</v>
      </c>
      <c r="X12" s="304">
        <v>308000</v>
      </c>
    </row>
    <row r="13" spans="2:24" ht="12.75" thickBot="1">
      <c r="B13" s="292">
        <f t="shared" si="9"/>
        <v>2037</v>
      </c>
      <c r="C13" s="293">
        <f t="shared" si="10"/>
        <v>0</v>
      </c>
      <c r="D13" s="294">
        <f t="shared" si="0"/>
        <v>0</v>
      </c>
      <c r="E13" s="293">
        <f t="shared" si="1"/>
        <v>0</v>
      </c>
      <c r="F13" s="294">
        <f t="shared" si="2"/>
        <v>0</v>
      </c>
      <c r="G13" s="293">
        <f t="shared" si="3"/>
        <v>0</v>
      </c>
      <c r="H13" s="294">
        <f t="shared" si="4"/>
        <v>0</v>
      </c>
      <c r="I13" s="295">
        <f t="shared" si="5"/>
        <v>0</v>
      </c>
      <c r="J13" s="296">
        <f t="shared" si="6"/>
        <v>0</v>
      </c>
      <c r="K13" s="297">
        <f t="shared" si="7"/>
        <v>0</v>
      </c>
      <c r="L13" s="70">
        <f>K13*(1+Assumptions!$D$13)^-($B13-Assumptions!$D$4)</f>
        <v>0</v>
      </c>
      <c r="N13" s="208">
        <v>1985</v>
      </c>
      <c r="O13" s="311">
        <v>2026</v>
      </c>
      <c r="P13" s="755"/>
      <c r="R13" s="264" t="s">
        <v>271</v>
      </c>
      <c r="S13" s="264" t="s">
        <v>281</v>
      </c>
      <c r="T13" s="264">
        <v>2076</v>
      </c>
      <c r="U13" s="139">
        <f>MROUND($O$28/$O$29*X13,1000)</f>
        <v>2757000</v>
      </c>
      <c r="V13" s="264">
        <v>2</v>
      </c>
      <c r="W13" s="304">
        <v>6216000</v>
      </c>
      <c r="X13" s="304">
        <v>3108000</v>
      </c>
    </row>
    <row r="14" spans="2:24">
      <c r="B14" s="292">
        <f t="shared" si="9"/>
        <v>2038</v>
      </c>
      <c r="C14" s="293">
        <f t="shared" si="10"/>
        <v>0</v>
      </c>
      <c r="D14" s="294">
        <f t="shared" si="0"/>
        <v>0</v>
      </c>
      <c r="E14" s="293">
        <f t="shared" si="1"/>
        <v>0</v>
      </c>
      <c r="F14" s="294">
        <f t="shared" si="2"/>
        <v>0</v>
      </c>
      <c r="G14" s="293">
        <f t="shared" si="3"/>
        <v>0</v>
      </c>
      <c r="H14" s="294">
        <f t="shared" si="4"/>
        <v>0</v>
      </c>
      <c r="I14" s="295">
        <f t="shared" si="5"/>
        <v>0</v>
      </c>
      <c r="J14" s="296">
        <f t="shared" si="6"/>
        <v>0</v>
      </c>
      <c r="K14" s="297">
        <f>I14-J14</f>
        <v>0</v>
      </c>
      <c r="L14" s="70">
        <f>K14*(1+Assumptions!$D$13)^-($B14-Assumptions!$D$4)</f>
        <v>0</v>
      </c>
      <c r="N14" s="204">
        <f>N13+25</f>
        <v>2010</v>
      </c>
      <c r="O14" s="352">
        <f>O13+25</f>
        <v>2051</v>
      </c>
      <c r="P14" s="136">
        <f>SUM($U$6:$U$11)*V6</f>
        <v>2118000</v>
      </c>
    </row>
    <row r="15" spans="2:24" ht="12.75" thickBot="1">
      <c r="B15" s="292">
        <f t="shared" si="9"/>
        <v>2039</v>
      </c>
      <c r="C15" s="293">
        <f t="shared" si="10"/>
        <v>0</v>
      </c>
      <c r="D15" s="294">
        <f t="shared" si="0"/>
        <v>0</v>
      </c>
      <c r="E15" s="293">
        <f t="shared" si="1"/>
        <v>0</v>
      </c>
      <c r="F15" s="294">
        <f t="shared" si="2"/>
        <v>0</v>
      </c>
      <c r="G15" s="293">
        <f t="shared" si="3"/>
        <v>0</v>
      </c>
      <c r="H15" s="294">
        <f t="shared" si="4"/>
        <v>0</v>
      </c>
      <c r="I15" s="295">
        <f t="shared" si="5"/>
        <v>0</v>
      </c>
      <c r="J15" s="296">
        <f t="shared" si="6"/>
        <v>0</v>
      </c>
      <c r="K15" s="297">
        <f t="shared" si="7"/>
        <v>0</v>
      </c>
      <c r="L15" s="70">
        <f>K15*(1+Assumptions!$D$13)^-($B15-Assumptions!$D$4)</f>
        <v>0</v>
      </c>
      <c r="N15" s="208">
        <f>N14+25</f>
        <v>2035</v>
      </c>
      <c r="O15" s="311">
        <f t="shared" ref="O15" si="11">O14+25</f>
        <v>2076</v>
      </c>
      <c r="P15" s="231">
        <f>SUM($U$8:$U$13)*V8</f>
        <v>6582000</v>
      </c>
    </row>
    <row r="16" spans="2:24">
      <c r="B16" s="292">
        <f t="shared" si="9"/>
        <v>2040</v>
      </c>
      <c r="C16" s="293">
        <f t="shared" si="10"/>
        <v>0</v>
      </c>
      <c r="D16" s="294">
        <f t="shared" si="0"/>
        <v>0</v>
      </c>
      <c r="E16" s="293">
        <f t="shared" si="1"/>
        <v>0</v>
      </c>
      <c r="F16" s="294">
        <f t="shared" si="2"/>
        <v>0</v>
      </c>
      <c r="G16" s="293">
        <f t="shared" si="3"/>
        <v>0</v>
      </c>
      <c r="H16" s="294">
        <f t="shared" si="4"/>
        <v>0</v>
      </c>
      <c r="I16" s="295">
        <f t="shared" si="5"/>
        <v>0</v>
      </c>
      <c r="J16" s="296">
        <f t="shared" si="6"/>
        <v>0</v>
      </c>
      <c r="K16" s="297">
        <f>I16-J16</f>
        <v>0</v>
      </c>
      <c r="L16" s="70">
        <f>K16*(1+Assumptions!$D$13)^-($B16-Assumptions!$D$4)</f>
        <v>0</v>
      </c>
      <c r="N16" s="20"/>
      <c r="O16" s="20"/>
      <c r="P16" s="152"/>
    </row>
    <row r="17" spans="2:20" ht="12.75" thickBot="1">
      <c r="B17" s="292">
        <f t="shared" si="9"/>
        <v>2041</v>
      </c>
      <c r="C17" s="293">
        <f t="shared" si="10"/>
        <v>0</v>
      </c>
      <c r="D17" s="294">
        <f>_xlfn.XLOOKUP($B17,$O$21:$O$22,$P$21:$P$22,0,0,1)</f>
        <v>26000</v>
      </c>
      <c r="E17" s="293">
        <f t="shared" si="1"/>
        <v>0</v>
      </c>
      <c r="F17" s="294">
        <f t="shared" si="2"/>
        <v>0</v>
      </c>
      <c r="G17" s="293">
        <f t="shared" si="3"/>
        <v>0</v>
      </c>
      <c r="H17" s="294">
        <f t="shared" si="4"/>
        <v>0</v>
      </c>
      <c r="I17" s="295">
        <f t="shared" si="5"/>
        <v>0</v>
      </c>
      <c r="J17" s="296">
        <f>SUM(F17,H17,D17)</f>
        <v>26000</v>
      </c>
      <c r="K17" s="297">
        <f t="shared" si="7"/>
        <v>-26000</v>
      </c>
      <c r="L17" s="70">
        <f>K17*(1+Assumptions!$D$13)^-($B17-Assumptions!$D$4)</f>
        <v>-14556.558416861311</v>
      </c>
    </row>
    <row r="18" spans="2:20" ht="12.75" thickBot="1">
      <c r="B18" s="292">
        <f>B17+1</f>
        <v>2042</v>
      </c>
      <c r="C18" s="293">
        <f t="shared" si="10"/>
        <v>0</v>
      </c>
      <c r="D18" s="294">
        <f t="shared" si="0"/>
        <v>0</v>
      </c>
      <c r="E18" s="293">
        <f t="shared" si="1"/>
        <v>0</v>
      </c>
      <c r="F18" s="294">
        <f t="shared" si="2"/>
        <v>0</v>
      </c>
      <c r="G18" s="293">
        <f t="shared" si="3"/>
        <v>0</v>
      </c>
      <c r="H18" s="294">
        <f t="shared" si="4"/>
        <v>0</v>
      </c>
      <c r="I18" s="295">
        <f t="shared" si="5"/>
        <v>0</v>
      </c>
      <c r="J18" s="296">
        <f t="shared" si="6"/>
        <v>0</v>
      </c>
      <c r="K18" s="297">
        <f t="shared" si="7"/>
        <v>0</v>
      </c>
      <c r="L18" s="70">
        <f>K18*(1+Assumptions!$D$13)^-($B18-Assumptions!$D$4)</f>
        <v>0</v>
      </c>
      <c r="N18" s="761" t="s">
        <v>312</v>
      </c>
      <c r="O18" s="762"/>
      <c r="P18" s="763"/>
    </row>
    <row r="19" spans="2:20">
      <c r="B19" s="292">
        <f>B18+1</f>
        <v>2043</v>
      </c>
      <c r="C19" s="293">
        <f t="shared" si="10"/>
        <v>0</v>
      </c>
      <c r="D19" s="294">
        <f t="shared" si="0"/>
        <v>0</v>
      </c>
      <c r="E19" s="293">
        <f t="shared" si="1"/>
        <v>0</v>
      </c>
      <c r="F19" s="294">
        <f t="shared" si="2"/>
        <v>0</v>
      </c>
      <c r="G19" s="293">
        <f t="shared" si="3"/>
        <v>0</v>
      </c>
      <c r="H19" s="294">
        <f t="shared" si="4"/>
        <v>0</v>
      </c>
      <c r="I19" s="295">
        <f t="shared" si="5"/>
        <v>0</v>
      </c>
      <c r="J19" s="296">
        <f t="shared" si="6"/>
        <v>0</v>
      </c>
      <c r="K19" s="297">
        <f t="shared" si="7"/>
        <v>0</v>
      </c>
      <c r="L19" s="70">
        <f>K19*(1+Assumptions!$D$13)^-($B19-Assumptions!$D$4)</f>
        <v>0</v>
      </c>
      <c r="N19" s="204" t="s">
        <v>1</v>
      </c>
      <c r="O19" s="352" t="s">
        <v>2</v>
      </c>
      <c r="P19" s="754" t="s">
        <v>285</v>
      </c>
    </row>
    <row r="20" spans="2:20" ht="12.75" thickBot="1">
      <c r="B20" s="292">
        <f>B19+1</f>
        <v>2044</v>
      </c>
      <c r="C20" s="293">
        <f t="shared" si="10"/>
        <v>0</v>
      </c>
      <c r="D20" s="294">
        <f t="shared" si="0"/>
        <v>0</v>
      </c>
      <c r="E20" s="293">
        <f t="shared" si="1"/>
        <v>0</v>
      </c>
      <c r="F20" s="294">
        <f t="shared" si="2"/>
        <v>0</v>
      </c>
      <c r="G20" s="293">
        <f t="shared" si="3"/>
        <v>0</v>
      </c>
      <c r="H20" s="294">
        <f t="shared" si="4"/>
        <v>0</v>
      </c>
      <c r="I20" s="295">
        <f t="shared" si="5"/>
        <v>0</v>
      </c>
      <c r="J20" s="296">
        <f t="shared" si="6"/>
        <v>0</v>
      </c>
      <c r="K20" s="297">
        <f t="shared" si="7"/>
        <v>0</v>
      </c>
      <c r="L20" s="70">
        <f>K20*(1+Assumptions!$D$13)^-($B20-Assumptions!$D$4)</f>
        <v>0</v>
      </c>
      <c r="N20" s="208">
        <v>1985</v>
      </c>
      <c r="O20" s="311">
        <v>2026</v>
      </c>
      <c r="P20" s="755"/>
    </row>
    <row r="21" spans="2:20">
      <c r="B21" s="292">
        <f>B20+1</f>
        <v>2045</v>
      </c>
      <c r="C21" s="293">
        <f t="shared" si="10"/>
        <v>26000</v>
      </c>
      <c r="D21" s="294">
        <f t="shared" si="0"/>
        <v>0</v>
      </c>
      <c r="E21" s="293">
        <f t="shared" si="1"/>
        <v>0</v>
      </c>
      <c r="F21" s="294">
        <f t="shared" si="2"/>
        <v>0</v>
      </c>
      <c r="G21" s="293">
        <f t="shared" si="3"/>
        <v>0</v>
      </c>
      <c r="H21" s="294">
        <f t="shared" si="4"/>
        <v>0</v>
      </c>
      <c r="I21" s="295">
        <f t="shared" si="5"/>
        <v>26000</v>
      </c>
      <c r="J21" s="296">
        <f t="shared" si="6"/>
        <v>0</v>
      </c>
      <c r="K21" s="297">
        <f t="shared" si="7"/>
        <v>26000</v>
      </c>
      <c r="L21" s="70">
        <f>K21*(1+Assumptions!$D$13)^-($B21-Assumptions!$D$4)</f>
        <v>12883.208827536579</v>
      </c>
      <c r="N21" s="204">
        <f t="shared" ref="N21:O23" si="12">N20+15</f>
        <v>2000</v>
      </c>
      <c r="O21" s="352">
        <f>O20+15</f>
        <v>2041</v>
      </c>
      <c r="P21" s="136">
        <f>SUM($U$5)*V5</f>
        <v>26000</v>
      </c>
    </row>
    <row r="22" spans="2:20">
      <c r="B22" s="292">
        <f>B21+1</f>
        <v>2046</v>
      </c>
      <c r="C22" s="293">
        <f t="shared" si="10"/>
        <v>0</v>
      </c>
      <c r="D22" s="294">
        <f t="shared" si="0"/>
        <v>0</v>
      </c>
      <c r="E22" s="293">
        <f t="shared" si="1"/>
        <v>0</v>
      </c>
      <c r="F22" s="294">
        <f t="shared" si="2"/>
        <v>0</v>
      </c>
      <c r="G22" s="293">
        <f t="shared" si="3"/>
        <v>0</v>
      </c>
      <c r="H22" s="294">
        <f t="shared" si="4"/>
        <v>0</v>
      </c>
      <c r="I22" s="295">
        <f t="shared" si="5"/>
        <v>0</v>
      </c>
      <c r="J22" s="296">
        <f t="shared" si="6"/>
        <v>0</v>
      </c>
      <c r="K22" s="297">
        <f t="shared" si="7"/>
        <v>0</v>
      </c>
      <c r="L22" s="70">
        <f>K22*(1+Assumptions!$D$13)^-($B22-Assumptions!$D$4)</f>
        <v>0</v>
      </c>
      <c r="N22" s="207">
        <f t="shared" si="12"/>
        <v>2015</v>
      </c>
      <c r="O22" s="167">
        <f>O21+15</f>
        <v>2056</v>
      </c>
      <c r="P22" s="140">
        <f>SUM($U$5)*V5</f>
        <v>26000</v>
      </c>
      <c r="T22" s="305"/>
    </row>
    <row r="23" spans="2:20">
      <c r="B23" s="292">
        <f t="shared" si="9"/>
        <v>2047</v>
      </c>
      <c r="C23" s="293">
        <f t="shared" si="10"/>
        <v>0</v>
      </c>
      <c r="D23" s="294">
        <f t="shared" si="0"/>
        <v>0</v>
      </c>
      <c r="E23" s="293">
        <f t="shared" si="1"/>
        <v>0</v>
      </c>
      <c r="F23" s="294">
        <f t="shared" si="2"/>
        <v>0</v>
      </c>
      <c r="G23" s="293">
        <f t="shared" si="3"/>
        <v>0</v>
      </c>
      <c r="H23" s="294">
        <f t="shared" si="4"/>
        <v>0</v>
      </c>
      <c r="I23" s="295">
        <f t="shared" si="5"/>
        <v>0</v>
      </c>
      <c r="J23" s="296">
        <f t="shared" si="6"/>
        <v>0</v>
      </c>
      <c r="K23" s="297">
        <f t="shared" si="7"/>
        <v>0</v>
      </c>
      <c r="L23" s="70">
        <f>K23*(1+Assumptions!$D$13)^-($B23-Assumptions!$D$4)</f>
        <v>0</v>
      </c>
      <c r="N23" s="207">
        <f>N22+15</f>
        <v>2030</v>
      </c>
      <c r="O23" s="167">
        <f t="shared" si="12"/>
        <v>2071</v>
      </c>
      <c r="P23" s="140">
        <f>SUM($U$5)*V5</f>
        <v>26000</v>
      </c>
    </row>
    <row r="24" spans="2:20" ht="12.75" thickBot="1">
      <c r="B24" s="298">
        <f t="shared" si="9"/>
        <v>2048</v>
      </c>
      <c r="C24" s="299">
        <f t="shared" si="10"/>
        <v>0</v>
      </c>
      <c r="D24" s="300">
        <f t="shared" si="0"/>
        <v>0</v>
      </c>
      <c r="E24" s="299">
        <f t="shared" si="1"/>
        <v>0</v>
      </c>
      <c r="F24" s="300">
        <f t="shared" si="2"/>
        <v>0</v>
      </c>
      <c r="G24" s="299">
        <f t="shared" si="3"/>
        <v>0</v>
      </c>
      <c r="H24" s="300">
        <f t="shared" si="4"/>
        <v>0</v>
      </c>
      <c r="I24" s="301">
        <f t="shared" si="5"/>
        <v>0</v>
      </c>
      <c r="J24" s="302">
        <f t="shared" si="6"/>
        <v>0</v>
      </c>
      <c r="K24" s="303">
        <f t="shared" si="7"/>
        <v>0</v>
      </c>
      <c r="L24" s="79">
        <f>K24*(1+Assumptions!$D$13)^-($B24-Assumptions!$D$4)</f>
        <v>0</v>
      </c>
      <c r="N24" s="208">
        <f>N23+15</f>
        <v>2045</v>
      </c>
      <c r="O24" s="311">
        <v>2086</v>
      </c>
      <c r="P24" s="231">
        <f>SUM($U$5)*V5</f>
        <v>26000</v>
      </c>
    </row>
    <row r="25" spans="2:20">
      <c r="K25" s="35" t="s">
        <v>51</v>
      </c>
      <c r="L25" s="254">
        <f>SUM(L5:L24)</f>
        <v>8519362.1847802885</v>
      </c>
    </row>
    <row r="26" spans="2:20" ht="12.75" thickBot="1">
      <c r="N26" s="19" t="s">
        <v>324</v>
      </c>
    </row>
    <row r="27" spans="2:20">
      <c r="C27" s="19" t="s">
        <v>243</v>
      </c>
      <c r="N27" s="204" t="s">
        <v>4</v>
      </c>
      <c r="O27" s="437" t="s">
        <v>323</v>
      </c>
    </row>
    <row r="28" spans="2:20">
      <c r="B28" s="172" t="s">
        <v>18</v>
      </c>
      <c r="C28" s="756" t="s">
        <v>313</v>
      </c>
      <c r="D28" s="756"/>
      <c r="E28" s="756"/>
      <c r="F28" s="756"/>
      <c r="G28" s="756"/>
      <c r="N28" s="207">
        <v>2022</v>
      </c>
      <c r="O28" s="310">
        <v>335.5</v>
      </c>
    </row>
    <row r="29" spans="2:20" ht="12.75" customHeight="1" thickBot="1">
      <c r="B29" s="172" t="s">
        <v>19</v>
      </c>
      <c r="C29" s="625" t="s">
        <v>423</v>
      </c>
      <c r="D29" s="625"/>
      <c r="E29" s="625"/>
      <c r="F29" s="625"/>
      <c r="N29" s="208">
        <v>2023</v>
      </c>
      <c r="O29" s="312">
        <v>378.23</v>
      </c>
    </row>
    <row r="30" spans="2:20">
      <c r="C30" s="625"/>
      <c r="D30" s="625"/>
      <c r="E30" s="625"/>
      <c r="F30" s="625"/>
    </row>
    <row r="31" spans="2:20">
      <c r="C31" s="625"/>
      <c r="D31" s="625"/>
      <c r="E31" s="625"/>
      <c r="F31" s="625"/>
    </row>
    <row r="32" spans="2:20">
      <c r="C32" s="625"/>
      <c r="D32" s="625"/>
      <c r="E32" s="625"/>
      <c r="F32" s="625"/>
    </row>
    <row r="33" spans="3:6">
      <c r="C33" s="625"/>
      <c r="D33" s="625"/>
      <c r="E33" s="625"/>
      <c r="F33" s="625"/>
    </row>
    <row r="34" spans="3:6">
      <c r="C34" s="625"/>
      <c r="D34" s="625"/>
      <c r="E34" s="625"/>
      <c r="F34" s="625"/>
    </row>
    <row r="35" spans="3:6">
      <c r="C35" s="625"/>
      <c r="D35" s="625"/>
      <c r="E35" s="625"/>
      <c r="F35" s="625"/>
    </row>
    <row r="39" spans="3:6">
      <c r="C39" s="382"/>
    </row>
  </sheetData>
  <mergeCells count="15">
    <mergeCell ref="N5:P5"/>
    <mergeCell ref="N18:P18"/>
    <mergeCell ref="K3:K4"/>
    <mergeCell ref="L3:L4"/>
    <mergeCell ref="N11:P11"/>
    <mergeCell ref="I3:J3"/>
    <mergeCell ref="G3:H3"/>
    <mergeCell ref="E3:F3"/>
    <mergeCell ref="C3:D3"/>
    <mergeCell ref="B3:B4"/>
    <mergeCell ref="C29:F35"/>
    <mergeCell ref="P19:P20"/>
    <mergeCell ref="P12:P13"/>
    <mergeCell ref="P6:P7"/>
    <mergeCell ref="C28:G28"/>
  </mergeCells>
  <pageMargins left="0.7" right="0.7" top="0.75" bottom="0.75" header="0.3" footer="0.3"/>
  <pageSetup scale="82"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F496E1-FB05-47B5-80FD-B357B008E4D6}">
  <sheetPr>
    <tabColor rgb="FFC00000"/>
    <pageSetUpPr fitToPage="1"/>
  </sheetPr>
  <dimension ref="B2:V39"/>
  <sheetViews>
    <sheetView view="pageBreakPreview" zoomScaleNormal="100" zoomScaleSheetLayoutView="100" workbookViewId="0">
      <selection activeCell="C32" sqref="C32:G35"/>
    </sheetView>
  </sheetViews>
  <sheetFormatPr defaultColWidth="9.140625" defaultRowHeight="12"/>
  <cols>
    <col min="1" max="1" width="9.140625" style="19"/>
    <col min="2" max="2" width="5" style="19" customWidth="1"/>
    <col min="3" max="3" width="17.7109375" style="19" bestFit="1" customWidth="1"/>
    <col min="4" max="4" width="14.85546875" style="19" bestFit="1" customWidth="1"/>
    <col min="5" max="5" width="15.85546875" style="19" bestFit="1" customWidth="1"/>
    <col min="6" max="6" width="13.140625" style="19" bestFit="1" customWidth="1"/>
    <col min="7" max="7" width="14" style="19" bestFit="1" customWidth="1"/>
    <col min="8" max="8" width="11.42578125" style="19" bestFit="1" customWidth="1"/>
    <col min="9" max="9" width="8.28515625" style="19" customWidth="1"/>
    <col min="10" max="10" width="28.5703125" style="19" bestFit="1" customWidth="1"/>
    <col min="11" max="12" width="10.140625" style="19" bestFit="1" customWidth="1"/>
    <col min="13" max="13" width="16.28515625" style="19" customWidth="1"/>
    <col min="14" max="14" width="16.28515625" style="19" bestFit="1" customWidth="1"/>
    <col min="15" max="15" width="16.42578125" style="19" bestFit="1" customWidth="1"/>
    <col min="16" max="16" width="15.5703125" style="19" bestFit="1" customWidth="1"/>
    <col min="17" max="17" width="16.5703125" style="19" bestFit="1" customWidth="1"/>
    <col min="18" max="18" width="17.140625" style="19" customWidth="1"/>
    <col min="19" max="19" width="16.28515625" style="19" bestFit="1" customWidth="1"/>
    <col min="20" max="21" width="14" style="19" customWidth="1"/>
    <col min="22" max="22" width="10.7109375" style="19" bestFit="1" customWidth="1"/>
    <col min="23" max="16384" width="9.140625" style="19"/>
  </cols>
  <sheetData>
    <row r="2" spans="2:22" ht="12.75" thickBot="1">
      <c r="B2" s="35" t="s">
        <v>500</v>
      </c>
      <c r="C2" s="35"/>
      <c r="J2" s="35" t="s">
        <v>507</v>
      </c>
      <c r="M2" s="35" t="s">
        <v>518</v>
      </c>
    </row>
    <row r="3" spans="2:22">
      <c r="B3" s="167" t="s">
        <v>4</v>
      </c>
      <c r="C3" s="167" t="s">
        <v>503</v>
      </c>
      <c r="D3" s="167" t="s">
        <v>504</v>
      </c>
      <c r="E3" s="167" t="s">
        <v>501</v>
      </c>
      <c r="F3" s="167" t="s">
        <v>502</v>
      </c>
      <c r="G3" s="167" t="s">
        <v>285</v>
      </c>
      <c r="H3" s="167" t="s">
        <v>49</v>
      </c>
      <c r="J3" s="259" t="s">
        <v>461</v>
      </c>
      <c r="K3" s="539">
        <f>Assumptions!D23</f>
        <v>1.6421265399292541E-2</v>
      </c>
      <c r="M3" s="259" t="s">
        <v>506</v>
      </c>
      <c r="N3" s="352" t="s">
        <v>526</v>
      </c>
      <c r="O3" s="352" t="s">
        <v>527</v>
      </c>
      <c r="P3" s="352" t="s">
        <v>535</v>
      </c>
      <c r="Q3" s="352" t="s">
        <v>532</v>
      </c>
      <c r="R3" s="260" t="s">
        <v>457</v>
      </c>
      <c r="S3" s="260" t="s">
        <v>458</v>
      </c>
      <c r="T3" s="260" t="s">
        <v>529</v>
      </c>
      <c r="U3" s="260" t="s">
        <v>530</v>
      </c>
      <c r="V3" s="261" t="s">
        <v>528</v>
      </c>
    </row>
    <row r="4" spans="2:22">
      <c r="B4" s="167">
        <f t="shared" ref="B4:B5" si="0">B5-1</f>
        <v>2026</v>
      </c>
      <c r="C4" s="69">
        <f>N37</f>
        <v>3082273.3870132053</v>
      </c>
      <c r="D4" s="69">
        <f t="shared" ref="C4:D6" si="1">O37</f>
        <v>4129655.7501573209</v>
      </c>
      <c r="E4" s="69">
        <f t="shared" ref="E4:E5" si="2">$R$33+R31*(B4-2028)*$K$3</f>
        <v>812975.55287755467</v>
      </c>
      <c r="F4" s="69">
        <f t="shared" ref="F4:F5" si="3">$S$33+S31*(B4-2028)*$K$3</f>
        <v>1194088.5616679622</v>
      </c>
      <c r="G4" s="69">
        <f>(C4-D4)+(E4-F4)</f>
        <v>-1428495.3719345231</v>
      </c>
      <c r="H4" s="69">
        <f>G4*(1+Assumptions!$D$13)^(-('Construction Disbenefits'!B4-Assumptions!$D$4))</f>
        <v>-1264282.6455795027</v>
      </c>
      <c r="J4" s="263" t="s">
        <v>459</v>
      </c>
      <c r="K4" s="517">
        <f>Assumptions!D17</f>
        <v>19.600000000000001</v>
      </c>
      <c r="M4" s="263" t="s">
        <v>475</v>
      </c>
      <c r="N4" s="521">
        <v>20</v>
      </c>
      <c r="O4" s="167">
        <f>N4*7</f>
        <v>140</v>
      </c>
      <c r="P4" s="577">
        <v>1</v>
      </c>
      <c r="Q4" s="521">
        <f>P4*O4</f>
        <v>140</v>
      </c>
      <c r="R4" s="572">
        <f>$K$21/$K$22</f>
        <v>2.1428571428571429E-2</v>
      </c>
      <c r="S4" s="572">
        <f>$K$21/$K$23</f>
        <v>2.7272727272727271E-2</v>
      </c>
      <c r="T4" s="69">
        <f>R4*Q4*$K$16*K20</f>
        <v>1585410.2699999998</v>
      </c>
      <c r="U4" s="69">
        <f>S4*Q4*$K$16*K20</f>
        <v>2017794.8890909089</v>
      </c>
      <c r="V4" s="586">
        <f>U4-T4</f>
        <v>432384.61909090914</v>
      </c>
    </row>
    <row r="5" spans="2:22" ht="12.75" thickBot="1">
      <c r="B5" s="167">
        <f t="shared" si="0"/>
        <v>2027</v>
      </c>
      <c r="C5" s="69">
        <f>N38</f>
        <v>3082273.3870132053</v>
      </c>
      <c r="D5" s="69">
        <f t="shared" si="1"/>
        <v>4129655.7501573209</v>
      </c>
      <c r="E5" s="69">
        <f t="shared" si="2"/>
        <v>826778.97966384853</v>
      </c>
      <c r="F5" s="69">
        <f t="shared" si="3"/>
        <v>1214362.8663244727</v>
      </c>
      <c r="G5" s="69">
        <f t="shared" ref="G5:G6" si="4">(C5-D5)+(E5-F5)</f>
        <v>-1434966.2498047398</v>
      </c>
      <c r="H5" s="69">
        <f>G5*(1+Assumptions!$D$13)^(-('Construction Disbenefits'!B5-Assumptions!$D$4))</f>
        <v>-1231823.1459738063</v>
      </c>
      <c r="J5" s="263" t="s">
        <v>460</v>
      </c>
      <c r="K5" s="517">
        <f>Assumptions!D18</f>
        <v>33.5</v>
      </c>
      <c r="M5" s="263" t="s">
        <v>477</v>
      </c>
      <c r="N5" s="521">
        <v>2</v>
      </c>
      <c r="O5" s="167">
        <f t="shared" ref="O5:O9" si="5">N5*7</f>
        <v>14</v>
      </c>
      <c r="P5" s="580">
        <f>K9</f>
        <v>0.17085479970560405</v>
      </c>
      <c r="Q5" s="583">
        <f t="shared" ref="Q5:Q9" si="6">P5*O5</f>
        <v>2.3919671958784567</v>
      </c>
      <c r="R5" s="572">
        <f t="shared" ref="R5:R7" si="7">$K$21/$K$22</f>
        <v>2.1428571428571429E-2</v>
      </c>
      <c r="S5" s="572">
        <f>$K$21/$K$24</f>
        <v>4.2857142857142858E-2</v>
      </c>
      <c r="T5" s="69">
        <f>R5*Q5*$K$16*K20</f>
        <v>27087.495413205765</v>
      </c>
      <c r="U5" s="69">
        <f>S5*Q5*$K$16*K20</f>
        <v>54174.990826411529</v>
      </c>
      <c r="V5" s="586">
        <f t="shared" ref="V5:V8" si="8">U5-T5</f>
        <v>27087.495413205765</v>
      </c>
    </row>
    <row r="6" spans="2:22" ht="12.75" thickBot="1">
      <c r="B6" s="167">
        <f>Assumptions!D8-1</f>
        <v>2028</v>
      </c>
      <c r="C6" s="69">
        <f t="shared" si="1"/>
        <v>3213726.9185999995</v>
      </c>
      <c r="D6" s="69">
        <f t="shared" si="1"/>
        <v>4277260.2482399996</v>
      </c>
      <c r="E6" s="69">
        <f>$R$33+R33*(B6-2028)*$K$3</f>
        <v>840582.40645014227</v>
      </c>
      <c r="F6" s="69">
        <f>$S$33+S33*(B6-2028)*$K$3</f>
        <v>1234637.1709809832</v>
      </c>
      <c r="G6" s="69">
        <f t="shared" si="4"/>
        <v>-1457588.0941708409</v>
      </c>
      <c r="H6" s="72">
        <f>G6*(1+Assumptions!$D$13)^(-('Construction Disbenefits'!B6-Assumptions!$D$4))</f>
        <v>-1213620.2674403852</v>
      </c>
      <c r="I6" s="585"/>
      <c r="J6" s="584" t="s">
        <v>466</v>
      </c>
      <c r="K6" s="310">
        <f>Assumptions!D15</f>
        <v>1.67</v>
      </c>
      <c r="M6" s="263" t="s">
        <v>476</v>
      </c>
      <c r="N6" s="521">
        <v>20</v>
      </c>
      <c r="O6" s="167">
        <f t="shared" si="5"/>
        <v>140</v>
      </c>
      <c r="P6" s="579">
        <v>1</v>
      </c>
      <c r="Q6" s="521">
        <f t="shared" si="6"/>
        <v>140</v>
      </c>
      <c r="R6" s="572">
        <f>$K$21/$K$22</f>
        <v>2.1428571428571429E-2</v>
      </c>
      <c r="S6" s="572">
        <f t="shared" ref="S6" si="9">$K$21/$K$23</f>
        <v>2.7272727272727271E-2</v>
      </c>
      <c r="T6" s="69">
        <f>R6*Q6*$K$16*K20</f>
        <v>1585410.2699999998</v>
      </c>
      <c r="U6" s="69">
        <f>S6*Q6*$K$16*K20</f>
        <v>2017794.8890909089</v>
      </c>
      <c r="V6" s="586">
        <f t="shared" si="8"/>
        <v>432384.61909090914</v>
      </c>
    </row>
    <row r="7" spans="2:22">
      <c r="G7" s="21" t="s">
        <v>51</v>
      </c>
      <c r="H7" s="22">
        <f>SUM(H4:H6)</f>
        <v>-3709726.0589936944</v>
      </c>
      <c r="J7" s="263" t="s">
        <v>499</v>
      </c>
      <c r="K7" s="518">
        <f>'Annualized Operations'!M4</f>
        <v>2.977439905447969</v>
      </c>
      <c r="M7" s="263" t="s">
        <v>477</v>
      </c>
      <c r="N7" s="521">
        <v>2</v>
      </c>
      <c r="O7" s="167">
        <f t="shared" si="5"/>
        <v>14</v>
      </c>
      <c r="P7" s="580">
        <f>K9</f>
        <v>0.17085479970560405</v>
      </c>
      <c r="Q7" s="583">
        <f t="shared" si="6"/>
        <v>2.3919671958784567</v>
      </c>
      <c r="R7" s="572">
        <f t="shared" si="7"/>
        <v>2.1428571428571429E-2</v>
      </c>
      <c r="S7" s="572">
        <f>$K$21/$K$24</f>
        <v>4.2857142857142858E-2</v>
      </c>
      <c r="T7" s="69">
        <f>R7*Q7*$K$16*K20</f>
        <v>27087.495413205765</v>
      </c>
      <c r="U7" s="69">
        <f>S7*Q7*$K$16*K20</f>
        <v>54174.990826411529</v>
      </c>
      <c r="V7" s="586">
        <f t="shared" si="8"/>
        <v>27087.495413205765</v>
      </c>
    </row>
    <row r="8" spans="2:22">
      <c r="J8" s="263" t="s">
        <v>303</v>
      </c>
      <c r="K8" s="519">
        <f>'Annualized Operations'!M3</f>
        <v>279.59057070439781</v>
      </c>
      <c r="M8" s="263" t="s">
        <v>478</v>
      </c>
      <c r="N8" s="521">
        <v>22</v>
      </c>
      <c r="O8" s="167">
        <f t="shared" si="5"/>
        <v>154</v>
      </c>
      <c r="P8" s="579">
        <v>1</v>
      </c>
      <c r="Q8" s="521">
        <f t="shared" si="6"/>
        <v>154</v>
      </c>
      <c r="R8" s="572">
        <f>$K$21/$K$22</f>
        <v>2.1428571428571429E-2</v>
      </c>
      <c r="S8" s="572">
        <f>$K$21/$K$23</f>
        <v>2.7272727272727271E-2</v>
      </c>
      <c r="T8" s="69">
        <f>R8*Q8*$K$16*K20</f>
        <v>1743951.2969999998</v>
      </c>
      <c r="U8" s="69">
        <f>S8*Q8*$K$16*K20</f>
        <v>2219574.378</v>
      </c>
      <c r="V8" s="586">
        <f t="shared" si="8"/>
        <v>475623.08100000024</v>
      </c>
    </row>
    <row r="9" spans="2:22" ht="12.75" thickBot="1">
      <c r="C9" s="713" t="s">
        <v>575</v>
      </c>
      <c r="D9" s="713"/>
      <c r="E9" s="713"/>
      <c r="F9" s="713"/>
      <c r="G9" s="713"/>
      <c r="J9" s="275" t="s">
        <v>531</v>
      </c>
      <c r="K9" s="582">
        <f>SUM('Traffic Delay'!B4:B11,'Traffic Delay'!B26:B27,'Traffic Delay'!B33:B40,'Traffic Delay'!B55:B56)/SUM('Traffic Delay'!B4:B27,'Traffic Delay'!B33:B56)</f>
        <v>0.17085479970560405</v>
      </c>
      <c r="M9" s="275" t="s">
        <v>533</v>
      </c>
      <c r="N9" s="574">
        <v>22</v>
      </c>
      <c r="O9" s="311">
        <f t="shared" si="5"/>
        <v>154</v>
      </c>
      <c r="P9" s="578">
        <v>1</v>
      </c>
      <c r="Q9" s="574">
        <f t="shared" si="6"/>
        <v>154</v>
      </c>
      <c r="R9" s="573">
        <f>K32/K33</f>
        <v>8.5714285714285719E-3</v>
      </c>
      <c r="S9" s="573">
        <f>K32/K34</f>
        <v>1.2E-2</v>
      </c>
      <c r="T9" s="76">
        <f>R9*Q9*$K$31*K27</f>
        <v>489925.2072</v>
      </c>
      <c r="U9" s="76">
        <f>S9*Q9*$K$27*K31</f>
        <v>685895.29008000006</v>
      </c>
      <c r="V9" s="587">
        <f>U9-T9</f>
        <v>195970.08288000006</v>
      </c>
    </row>
    <row r="10" spans="2:22" ht="12" customHeight="1">
      <c r="C10" s="713"/>
      <c r="D10" s="713"/>
      <c r="E10" s="713"/>
      <c r="F10" s="713"/>
      <c r="G10" s="713"/>
      <c r="K10" s="84"/>
    </row>
    <row r="11" spans="2:22" ht="12.75" thickBot="1">
      <c r="C11" s="713"/>
      <c r="D11" s="713"/>
      <c r="E11" s="713"/>
      <c r="F11" s="713"/>
      <c r="G11" s="713"/>
      <c r="J11" s="35" t="s">
        <v>515</v>
      </c>
      <c r="K11" s="20"/>
      <c r="M11" s="35" t="s">
        <v>517</v>
      </c>
    </row>
    <row r="12" spans="2:22">
      <c r="C12" s="713"/>
      <c r="D12" s="713"/>
      <c r="E12" s="713"/>
      <c r="F12" s="713"/>
      <c r="G12" s="713"/>
      <c r="J12" s="259" t="s">
        <v>446</v>
      </c>
      <c r="K12" s="281">
        <v>10355</v>
      </c>
      <c r="M12" s="522"/>
      <c r="N12" s="767" t="s">
        <v>496</v>
      </c>
      <c r="O12" s="667"/>
      <c r="P12" s="768" t="s">
        <v>497</v>
      </c>
      <c r="Q12" s="667"/>
    </row>
    <row r="13" spans="2:22" ht="12.75" thickBot="1">
      <c r="C13" s="713"/>
      <c r="D13" s="713"/>
      <c r="E13" s="713"/>
      <c r="F13" s="713"/>
      <c r="G13" s="713"/>
      <c r="J13" s="263" t="s">
        <v>447</v>
      </c>
      <c r="K13" s="282">
        <v>21840</v>
      </c>
      <c r="M13" s="523"/>
      <c r="N13" s="524" t="s">
        <v>25</v>
      </c>
      <c r="O13" s="525" t="s">
        <v>26</v>
      </c>
      <c r="P13" s="526" t="s">
        <v>25</v>
      </c>
      <c r="Q13" s="525" t="s">
        <v>26</v>
      </c>
    </row>
    <row r="14" spans="2:22">
      <c r="C14" s="713"/>
      <c r="D14" s="713"/>
      <c r="E14" s="713"/>
      <c r="F14" s="713"/>
      <c r="G14" s="713"/>
      <c r="J14" s="263" t="s">
        <v>448</v>
      </c>
      <c r="K14" s="282">
        <v>2110</v>
      </c>
      <c r="M14" s="522" t="s">
        <v>492</v>
      </c>
      <c r="N14" s="204">
        <v>19.5</v>
      </c>
      <c r="O14" s="437">
        <v>19.7</v>
      </c>
      <c r="P14" s="527">
        <v>15.1</v>
      </c>
      <c r="Q14" s="437">
        <v>18.899999999999999</v>
      </c>
    </row>
    <row r="15" spans="2:22">
      <c r="C15" s="713" t="s">
        <v>576</v>
      </c>
      <c r="D15" s="713"/>
      <c r="E15" s="713"/>
      <c r="F15" s="713"/>
      <c r="G15" s="713"/>
      <c r="J15" s="263" t="s">
        <v>449</v>
      </c>
      <c r="K15" s="282">
        <v>1970</v>
      </c>
      <c r="M15" s="292" t="s">
        <v>493</v>
      </c>
      <c r="N15" s="207">
        <v>11.2</v>
      </c>
      <c r="O15" s="310">
        <v>12.5</v>
      </c>
      <c r="P15" s="528">
        <v>31.1</v>
      </c>
      <c r="Q15" s="310">
        <v>23.9</v>
      </c>
    </row>
    <row r="16" spans="2:22" ht="12" customHeight="1">
      <c r="C16" s="713"/>
      <c r="D16" s="713"/>
      <c r="E16" s="713"/>
      <c r="F16" s="713"/>
      <c r="G16" s="713"/>
      <c r="J16" s="263" t="s">
        <v>450</v>
      </c>
      <c r="K16" s="282">
        <f>SUM(K12:K13)/2</f>
        <v>16097.5</v>
      </c>
      <c r="M16" s="292" t="s">
        <v>494</v>
      </c>
      <c r="N16" s="207">
        <v>11.8</v>
      </c>
      <c r="O16" s="310">
        <v>9.6</v>
      </c>
      <c r="P16" s="528">
        <v>9.9</v>
      </c>
      <c r="Q16" s="310">
        <v>9</v>
      </c>
    </row>
    <row r="17" spans="3:19" ht="12.75" thickBot="1">
      <c r="C17" s="713"/>
      <c r="D17" s="713"/>
      <c r="E17" s="713"/>
      <c r="F17" s="713"/>
      <c r="G17" s="713"/>
      <c r="J17" s="263" t="s">
        <v>451</v>
      </c>
      <c r="K17" s="282">
        <f>SUM(K14:K15)/2</f>
        <v>2040</v>
      </c>
      <c r="M17" s="298" t="s">
        <v>495</v>
      </c>
      <c r="N17" s="208">
        <v>3.6</v>
      </c>
      <c r="O17" s="312">
        <v>3.2</v>
      </c>
      <c r="P17" s="529">
        <v>31.3</v>
      </c>
      <c r="Q17" s="312">
        <v>3.3</v>
      </c>
    </row>
    <row r="18" spans="3:19">
      <c r="C18" s="713"/>
      <c r="D18" s="713"/>
      <c r="E18" s="713"/>
      <c r="F18" s="713"/>
      <c r="G18" s="713"/>
      <c r="J18" s="263" t="s">
        <v>452</v>
      </c>
      <c r="K18" s="516">
        <f>1-K19</f>
        <v>0.87327224724336072</v>
      </c>
      <c r="M18" s="285" t="s">
        <v>492</v>
      </c>
      <c r="N18" s="530">
        <f>SUM(30,80,85,85,490,370,95,75,490,30,465,80)</f>
        <v>2375</v>
      </c>
      <c r="O18" s="531">
        <f>SUM(245,325,435,35,55,470,60,110,170,50,315,30)</f>
        <v>2300</v>
      </c>
      <c r="P18" s="532">
        <f>SUM(450,125,190,585,395,30,85,80)</f>
        <v>1940</v>
      </c>
      <c r="Q18" s="531">
        <f>SUM(275,120,65,130,150,390,360,495)</f>
        <v>1985</v>
      </c>
    </row>
    <row r="19" spans="3:19">
      <c r="C19" s="713"/>
      <c r="D19" s="713"/>
      <c r="E19" s="713"/>
      <c r="F19" s="713"/>
      <c r="G19" s="713"/>
      <c r="J19" s="263" t="s">
        <v>453</v>
      </c>
      <c r="K19" s="516">
        <f>K17/K16</f>
        <v>0.12672775275663922</v>
      </c>
      <c r="M19" s="292" t="s">
        <v>493</v>
      </c>
      <c r="N19" s="207">
        <f>SUM(1005,35,480,285,465,25)</f>
        <v>2295</v>
      </c>
      <c r="O19" s="310">
        <f>SUM(840,115,520,300,485,60)</f>
        <v>2320</v>
      </c>
      <c r="P19" s="528">
        <f>SUM(530,480,285,490,200,475)</f>
        <v>2460</v>
      </c>
      <c r="Q19" s="310">
        <f>SUM(520,300,545,180,415,425)</f>
        <v>2385</v>
      </c>
    </row>
    <row r="20" spans="3:19">
      <c r="C20" s="713"/>
      <c r="D20" s="713"/>
      <c r="E20" s="713"/>
      <c r="F20" s="713"/>
      <c r="G20" s="713"/>
      <c r="J20" s="263" t="s">
        <v>250</v>
      </c>
      <c r="K20" s="517">
        <f>K18*K4*K6+K5*K19</f>
        <v>32.829326914117097</v>
      </c>
      <c r="M20" s="292" t="s">
        <v>494</v>
      </c>
      <c r="N20" s="207">
        <f>SUM(540,750,315,455,35,65)</f>
        <v>2160</v>
      </c>
      <c r="O20" s="310">
        <f>SUM(235,485,425,714,60,45)</f>
        <v>1964</v>
      </c>
      <c r="P20" s="528">
        <f>SUM(315,455,35,65,540,750)</f>
        <v>2160</v>
      </c>
      <c r="Q20" s="310">
        <f>SUM(425,715,45,65,235,485)</f>
        <v>1970</v>
      </c>
    </row>
    <row r="21" spans="3:19" ht="12.75" thickBot="1">
      <c r="C21" s="713" t="s">
        <v>577</v>
      </c>
      <c r="D21" s="713"/>
      <c r="E21" s="713"/>
      <c r="F21" s="713"/>
      <c r="G21" s="713"/>
      <c r="J21" s="263" t="s">
        <v>454</v>
      </c>
      <c r="K21" s="310">
        <f>2400/1600</f>
        <v>1.5</v>
      </c>
      <c r="M21" s="523" t="s">
        <v>495</v>
      </c>
      <c r="N21" s="524">
        <f>SUM(60,710,45,135,10,30,630,15,5,5)</f>
        <v>1645</v>
      </c>
      <c r="O21" s="525">
        <f>SUM(135,585,40,40,10,20,580,15,100,25)</f>
        <v>1550</v>
      </c>
      <c r="P21" s="526">
        <f>SUM(60,710,45,5,5,30,630,15,135,10)</f>
        <v>1645</v>
      </c>
      <c r="Q21" s="525">
        <f>SUM(100,25,20,580,15,40,10,135,585,40)</f>
        <v>1550</v>
      </c>
    </row>
    <row r="22" spans="3:19">
      <c r="C22" s="713"/>
      <c r="D22" s="713"/>
      <c r="E22" s="713"/>
      <c r="F22" s="713"/>
      <c r="G22" s="713"/>
      <c r="J22" s="263" t="s">
        <v>455</v>
      </c>
      <c r="K22" s="310">
        <v>70</v>
      </c>
      <c r="M22" s="522" t="s">
        <v>492</v>
      </c>
      <c r="N22" s="533">
        <f t="shared" ref="N22:Q25" si="10">N14*N18/3600</f>
        <v>12.864583333333334</v>
      </c>
      <c r="O22" s="534">
        <f t="shared" si="10"/>
        <v>12.58611111111111</v>
      </c>
      <c r="P22" s="535">
        <f t="shared" si="10"/>
        <v>8.1372222222222224</v>
      </c>
      <c r="Q22" s="534">
        <f t="shared" si="10"/>
        <v>10.421250000000001</v>
      </c>
    </row>
    <row r="23" spans="3:19">
      <c r="C23" s="713"/>
      <c r="D23" s="713"/>
      <c r="E23" s="713"/>
      <c r="F23" s="713"/>
      <c r="G23" s="713"/>
      <c r="J23" s="263" t="s">
        <v>456</v>
      </c>
      <c r="K23" s="310">
        <v>55</v>
      </c>
      <c r="M23" s="292" t="s">
        <v>493</v>
      </c>
      <c r="N23" s="337">
        <f t="shared" si="10"/>
        <v>7.14</v>
      </c>
      <c r="O23" s="520">
        <f t="shared" si="10"/>
        <v>8.0555555555555554</v>
      </c>
      <c r="P23" s="536">
        <f t="shared" si="10"/>
        <v>21.251666666666665</v>
      </c>
      <c r="Q23" s="520">
        <f t="shared" si="10"/>
        <v>15.83375</v>
      </c>
    </row>
    <row r="24" spans="3:19">
      <c r="C24" s="713"/>
      <c r="D24" s="713"/>
      <c r="E24" s="713"/>
      <c r="F24" s="713"/>
      <c r="G24" s="713"/>
      <c r="J24" s="263" t="s">
        <v>519</v>
      </c>
      <c r="K24" s="310">
        <v>35</v>
      </c>
      <c r="M24" s="292" t="s">
        <v>494</v>
      </c>
      <c r="N24" s="337">
        <f t="shared" si="10"/>
        <v>7.08</v>
      </c>
      <c r="O24" s="520">
        <f t="shared" si="10"/>
        <v>5.237333333333333</v>
      </c>
      <c r="P24" s="536">
        <f t="shared" si="10"/>
        <v>5.94</v>
      </c>
      <c r="Q24" s="520">
        <f t="shared" si="10"/>
        <v>4.9249999999999998</v>
      </c>
    </row>
    <row r="25" spans="3:19" ht="12.75" thickBot="1">
      <c r="C25" s="713"/>
      <c r="D25" s="713"/>
      <c r="E25" s="713"/>
      <c r="F25" s="713"/>
      <c r="G25" s="713"/>
      <c r="K25" s="512"/>
      <c r="M25" s="298" t="s">
        <v>495</v>
      </c>
      <c r="N25" s="338">
        <f t="shared" si="10"/>
        <v>1.645</v>
      </c>
      <c r="O25" s="537">
        <f t="shared" si="10"/>
        <v>1.3777777777777778</v>
      </c>
      <c r="P25" s="538">
        <f t="shared" si="10"/>
        <v>14.302361111111111</v>
      </c>
      <c r="Q25" s="537">
        <f t="shared" si="10"/>
        <v>1.4208333333333334</v>
      </c>
    </row>
    <row r="26" spans="3:19" ht="12.75" thickBot="1">
      <c r="C26" s="713"/>
      <c r="D26" s="713"/>
      <c r="E26" s="713"/>
      <c r="F26" s="713"/>
      <c r="G26" s="713"/>
      <c r="J26" s="35" t="s">
        <v>516</v>
      </c>
      <c r="M26" s="285" t="s">
        <v>5</v>
      </c>
      <c r="N26" s="339">
        <f>SUM(N22:N25)</f>
        <v>28.729583333333334</v>
      </c>
      <c r="O26" s="560">
        <f>SUM(O22:O25)</f>
        <v>27.256777777777774</v>
      </c>
      <c r="P26" s="561">
        <f>SUM(P22:P25)</f>
        <v>49.631249999999994</v>
      </c>
      <c r="Q26" s="560">
        <f>SUM(Q22:Q25)</f>
        <v>32.600833333333334</v>
      </c>
    </row>
    <row r="27" spans="3:19" ht="12.75" thickBot="1">
      <c r="C27" s="713"/>
      <c r="D27" s="713"/>
      <c r="E27" s="713"/>
      <c r="F27" s="713"/>
      <c r="G27" s="713"/>
      <c r="J27" s="259" t="s">
        <v>462</v>
      </c>
      <c r="K27" s="281">
        <v>11335</v>
      </c>
      <c r="M27" s="298" t="s">
        <v>498</v>
      </c>
      <c r="N27" s="769">
        <f>SUM(N26:O26)</f>
        <v>55.986361111111108</v>
      </c>
      <c r="O27" s="770"/>
      <c r="P27" s="769">
        <f>SUM(P26:Q26)</f>
        <v>82.232083333333321</v>
      </c>
      <c r="Q27" s="770"/>
    </row>
    <row r="28" spans="3:19">
      <c r="C28" s="713"/>
      <c r="D28" s="713"/>
      <c r="E28" s="713"/>
      <c r="F28" s="713"/>
      <c r="G28" s="713"/>
      <c r="J28" s="263" t="s">
        <v>463</v>
      </c>
      <c r="K28" s="282">
        <v>180</v>
      </c>
    </row>
    <row r="29" spans="3:19" ht="12.75" thickBot="1">
      <c r="C29" s="713"/>
      <c r="D29" s="713"/>
      <c r="E29" s="713"/>
      <c r="F29" s="713"/>
      <c r="G29" s="713"/>
      <c r="J29" s="263" t="s">
        <v>112</v>
      </c>
      <c r="K29" s="516">
        <f>1-K30</f>
        <v>0.98411998235553599</v>
      </c>
      <c r="M29" s="35" t="s">
        <v>538</v>
      </c>
      <c r="N29" s="20"/>
      <c r="O29" s="20"/>
      <c r="P29" s="20"/>
      <c r="Q29" s="20"/>
      <c r="R29" s="20"/>
    </row>
    <row r="30" spans="3:19">
      <c r="C30" s="713"/>
      <c r="D30" s="713"/>
      <c r="E30" s="713"/>
      <c r="F30" s="713"/>
      <c r="G30" s="713"/>
      <c r="J30" s="263" t="s">
        <v>90</v>
      </c>
      <c r="K30" s="516">
        <f>K28/K27</f>
        <v>1.5880017644464048E-2</v>
      </c>
      <c r="M30" s="259" t="s">
        <v>505</v>
      </c>
      <c r="N30" s="352" t="s">
        <v>526</v>
      </c>
      <c r="O30" s="352" t="s">
        <v>527</v>
      </c>
      <c r="P30" s="352" t="s">
        <v>536</v>
      </c>
      <c r="Q30" s="352" t="s">
        <v>537</v>
      </c>
      <c r="R30" s="352" t="s">
        <v>513</v>
      </c>
      <c r="S30" s="437" t="s">
        <v>514</v>
      </c>
    </row>
    <row r="31" spans="3:19">
      <c r="C31" s="713"/>
      <c r="D31" s="713"/>
      <c r="E31" s="713"/>
      <c r="F31" s="713"/>
      <c r="G31" s="713"/>
      <c r="J31" s="263" t="s">
        <v>249</v>
      </c>
      <c r="K31" s="517">
        <f>K29*K4*K6+K5*K30</f>
        <v>32.744195853550949</v>
      </c>
      <c r="M31" s="263" t="s">
        <v>479</v>
      </c>
      <c r="N31" s="521">
        <v>22</v>
      </c>
      <c r="O31" s="167">
        <f>N31*7</f>
        <v>154</v>
      </c>
      <c r="P31" s="562">
        <f>$N$27*$K$7</f>
        <v>166.69602573304252</v>
      </c>
      <c r="Q31" s="562">
        <f>$P$27*$K$7</f>
        <v>244.84108642478947</v>
      </c>
      <c r="R31" s="575">
        <f>P31*$K$31*O31</f>
        <v>840582.40645014227</v>
      </c>
      <c r="S31" s="515">
        <f>Q31*$K$31*O31</f>
        <v>1234637.1709809832</v>
      </c>
    </row>
    <row r="32" spans="3:19">
      <c r="C32" s="713" t="s">
        <v>578</v>
      </c>
      <c r="D32" s="713"/>
      <c r="E32" s="713"/>
      <c r="F32" s="713"/>
      <c r="G32" s="713"/>
      <c r="J32" s="263" t="s">
        <v>464</v>
      </c>
      <c r="K32" s="310">
        <v>0.3</v>
      </c>
      <c r="M32" s="263" t="s">
        <v>480</v>
      </c>
      <c r="N32" s="521">
        <v>22</v>
      </c>
      <c r="O32" s="167">
        <f t="shared" ref="O32:O33" si="11">N32*7</f>
        <v>154</v>
      </c>
      <c r="P32" s="562">
        <f t="shared" ref="P32:P33" si="12">$N$27*$K$7</f>
        <v>166.69602573304252</v>
      </c>
      <c r="Q32" s="562">
        <f t="shared" ref="Q32:Q33" si="13">$P$27*$K$7</f>
        <v>244.84108642478947</v>
      </c>
      <c r="R32" s="575">
        <f t="shared" ref="R32:R33" si="14">P32*$K$31*O32</f>
        <v>840582.40645014227</v>
      </c>
      <c r="S32" s="515">
        <f t="shared" ref="S32:S33" si="15">Q32*$K$31*O32</f>
        <v>1234637.1709809832</v>
      </c>
    </row>
    <row r="33" spans="3:19" ht="12.75" thickBot="1">
      <c r="C33" s="713"/>
      <c r="D33" s="713"/>
      <c r="E33" s="713"/>
      <c r="F33" s="713"/>
      <c r="G33" s="713"/>
      <c r="J33" s="263" t="s">
        <v>465</v>
      </c>
      <c r="K33" s="310">
        <v>35</v>
      </c>
      <c r="M33" s="275" t="s">
        <v>481</v>
      </c>
      <c r="N33" s="574">
        <v>22</v>
      </c>
      <c r="O33" s="311">
        <f t="shared" si="11"/>
        <v>154</v>
      </c>
      <c r="P33" s="563">
        <f t="shared" si="12"/>
        <v>166.69602573304252</v>
      </c>
      <c r="Q33" s="563">
        <f t="shared" si="13"/>
        <v>244.84108642478947</v>
      </c>
      <c r="R33" s="576">
        <f t="shared" si="14"/>
        <v>840582.40645014227</v>
      </c>
      <c r="S33" s="280">
        <f t="shared" si="15"/>
        <v>1234637.1709809832</v>
      </c>
    </row>
    <row r="34" spans="3:19" ht="12.75" thickBot="1">
      <c r="C34" s="713"/>
      <c r="D34" s="713"/>
      <c r="E34" s="713"/>
      <c r="F34" s="713"/>
      <c r="G34" s="713"/>
      <c r="J34" s="275" t="s">
        <v>467</v>
      </c>
      <c r="K34" s="312">
        <v>25</v>
      </c>
    </row>
    <row r="35" spans="3:19" ht="12.75" thickBot="1">
      <c r="C35" s="713"/>
      <c r="D35" s="713"/>
      <c r="E35" s="713"/>
      <c r="F35" s="713"/>
      <c r="G35" s="713"/>
      <c r="M35" s="35" t="s">
        <v>534</v>
      </c>
    </row>
    <row r="36" spans="3:19">
      <c r="C36" s="713" t="s">
        <v>579</v>
      </c>
      <c r="D36" s="713"/>
      <c r="E36" s="713"/>
      <c r="F36" s="713"/>
      <c r="G36" s="713"/>
      <c r="M36" s="259" t="s">
        <v>505</v>
      </c>
      <c r="N36" s="260" t="s">
        <v>457</v>
      </c>
      <c r="O36" s="261" t="s">
        <v>458</v>
      </c>
      <c r="P36" s="581"/>
    </row>
    <row r="37" spans="3:19">
      <c r="C37" s="713"/>
      <c r="D37" s="713"/>
      <c r="E37" s="713"/>
      <c r="F37" s="713"/>
      <c r="G37" s="713"/>
      <c r="M37" s="263" t="s">
        <v>479</v>
      </c>
      <c r="N37" s="575">
        <f>SUM(T4:T5,3*T9)</f>
        <v>3082273.3870132053</v>
      </c>
      <c r="O37" s="515">
        <f>SUM(U4:U5,3*U9)</f>
        <v>4129655.7501573209</v>
      </c>
      <c r="P37" s="581"/>
    </row>
    <row r="38" spans="3:19">
      <c r="C38" s="713"/>
      <c r="D38" s="713"/>
      <c r="E38" s="713"/>
      <c r="F38" s="713"/>
      <c r="G38" s="713"/>
      <c r="M38" s="263" t="s">
        <v>480</v>
      </c>
      <c r="N38" s="575">
        <f>SUM(T6:T7,3*T9)</f>
        <v>3082273.3870132053</v>
      </c>
      <c r="O38" s="515">
        <f>SUM(U6:U7,U9*3)</f>
        <v>4129655.7501573209</v>
      </c>
      <c r="P38" s="581"/>
    </row>
    <row r="39" spans="3:19" ht="12.75" thickBot="1">
      <c r="C39" s="713"/>
      <c r="D39" s="713"/>
      <c r="E39" s="713"/>
      <c r="F39" s="713"/>
      <c r="G39" s="713"/>
      <c r="M39" s="275" t="s">
        <v>481</v>
      </c>
      <c r="N39" s="576">
        <f>T8+3*T9</f>
        <v>3213726.9185999995</v>
      </c>
      <c r="O39" s="280">
        <f>U8+U9*3</f>
        <v>4277260.2482399996</v>
      </c>
    </row>
  </sheetData>
  <mergeCells count="9">
    <mergeCell ref="C32:G35"/>
    <mergeCell ref="C36:G39"/>
    <mergeCell ref="N12:O12"/>
    <mergeCell ref="P12:Q12"/>
    <mergeCell ref="N27:O27"/>
    <mergeCell ref="P27:Q27"/>
    <mergeCell ref="C9:G14"/>
    <mergeCell ref="C15:G20"/>
    <mergeCell ref="C21:G31"/>
  </mergeCells>
  <pageMargins left="0.7" right="0.7" top="0.75" bottom="0.75" header="0.3" footer="0.3"/>
  <pageSetup scale="30"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8</vt:i4>
      </vt:variant>
    </vt:vector>
  </HeadingPairs>
  <TitlesOfParts>
    <vt:vector size="21" baseType="lpstr">
      <vt:lpstr>Assumptions</vt:lpstr>
      <vt:lpstr>BCA Summary</vt:lpstr>
      <vt:lpstr>Annualized Operations</vt:lpstr>
      <vt:lpstr>Air Quality</vt:lpstr>
      <vt:lpstr>Travel Time</vt:lpstr>
      <vt:lpstr>Safety</vt:lpstr>
      <vt:lpstr>Capital Costs</vt:lpstr>
      <vt:lpstr>Ops and Main</vt:lpstr>
      <vt:lpstr>Construction Disbenefits</vt:lpstr>
      <vt:lpstr>Traffic Delay</vt:lpstr>
      <vt:lpstr>Cost Data</vt:lpstr>
      <vt:lpstr>TTC Ops Delay</vt:lpstr>
      <vt:lpstr>Tables</vt:lpstr>
      <vt:lpstr>'Air Quality'!Print_Area</vt:lpstr>
      <vt:lpstr>'Annualized Operations'!Print_Area</vt:lpstr>
      <vt:lpstr>Assumptions!Print_Area</vt:lpstr>
      <vt:lpstr>'Capital Costs'!Print_Area</vt:lpstr>
      <vt:lpstr>'Construction Disbenefits'!Print_Area</vt:lpstr>
      <vt:lpstr>'Ops and Main'!Print_Area</vt:lpstr>
      <vt:lpstr>Safety!Print_Area</vt:lpstr>
      <vt:lpstr>'Travel Time'!Print_Area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Erik Kappelman</dc:creator>
  <cp:lastModifiedBy>Alexander J. Brown</cp:lastModifiedBy>
  <dcterms:created xsi:type="dcterms:W3CDTF">2024-01-25T17:21:34Z</dcterms:created>
  <dcterms:modified xsi:type="dcterms:W3CDTF">2024-07-26T16:59:32Z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Folder_Number">
    <vt:lpwstr/>
  </property>
  <property fmtid="{D5CDD505-2E9C-101B-9397-08002B2CF9AE}" pid="3" name="Folder_Code">
    <vt:lpwstr/>
  </property>
  <property fmtid="{D5CDD505-2E9C-101B-9397-08002B2CF9AE}" pid="4" name="Folder_Name">
    <vt:lpwstr/>
  </property>
  <property fmtid="{D5CDD505-2E9C-101B-9397-08002B2CF9AE}" pid="5" name="Folder_Description">
    <vt:lpwstr/>
  </property>
  <property fmtid="{D5CDD505-2E9C-101B-9397-08002B2CF9AE}" pid="6" name="/Folder_Name/">
    <vt:lpwstr/>
  </property>
  <property fmtid="{D5CDD505-2E9C-101B-9397-08002B2CF9AE}" pid="7" name="/Folder_Description/">
    <vt:lpwstr/>
  </property>
  <property fmtid="{D5CDD505-2E9C-101B-9397-08002B2CF9AE}" pid="8" name="Folder_Version">
    <vt:lpwstr/>
  </property>
  <property fmtid="{D5CDD505-2E9C-101B-9397-08002B2CF9AE}" pid="9" name="Folder_VersionSeq">
    <vt:lpwstr/>
  </property>
  <property fmtid="{D5CDD505-2E9C-101B-9397-08002B2CF9AE}" pid="10" name="Folder_Manager">
    <vt:lpwstr/>
  </property>
  <property fmtid="{D5CDD505-2E9C-101B-9397-08002B2CF9AE}" pid="11" name="Folder_ManagerDesc">
    <vt:lpwstr/>
  </property>
  <property fmtid="{D5CDD505-2E9C-101B-9397-08002B2CF9AE}" pid="12" name="Folder_Storage">
    <vt:lpwstr/>
  </property>
  <property fmtid="{D5CDD505-2E9C-101B-9397-08002B2CF9AE}" pid="13" name="Folder_StorageDesc">
    <vt:lpwstr/>
  </property>
  <property fmtid="{D5CDD505-2E9C-101B-9397-08002B2CF9AE}" pid="14" name="Folder_Creator">
    <vt:lpwstr/>
  </property>
  <property fmtid="{D5CDD505-2E9C-101B-9397-08002B2CF9AE}" pid="15" name="Folder_CreatorDesc">
    <vt:lpwstr/>
  </property>
  <property fmtid="{D5CDD505-2E9C-101B-9397-08002B2CF9AE}" pid="16" name="Folder_CreateDate">
    <vt:lpwstr/>
  </property>
  <property fmtid="{D5CDD505-2E9C-101B-9397-08002B2CF9AE}" pid="17" name="Folder_Updater">
    <vt:lpwstr/>
  </property>
  <property fmtid="{D5CDD505-2E9C-101B-9397-08002B2CF9AE}" pid="18" name="Folder_UpdaterDesc">
    <vt:lpwstr/>
  </property>
  <property fmtid="{D5CDD505-2E9C-101B-9397-08002B2CF9AE}" pid="19" name="Folder_UpdateDate">
    <vt:lpwstr/>
  </property>
  <property fmtid="{D5CDD505-2E9C-101B-9397-08002B2CF9AE}" pid="20" name="Document_Number">
    <vt:lpwstr/>
  </property>
  <property fmtid="{D5CDD505-2E9C-101B-9397-08002B2CF9AE}" pid="21" name="Document_Name">
    <vt:lpwstr/>
  </property>
  <property fmtid="{D5CDD505-2E9C-101B-9397-08002B2CF9AE}" pid="22" name="Document_FileName">
    <vt:lpwstr/>
  </property>
  <property fmtid="{D5CDD505-2E9C-101B-9397-08002B2CF9AE}" pid="23" name="Document_Version">
    <vt:lpwstr/>
  </property>
  <property fmtid="{D5CDD505-2E9C-101B-9397-08002B2CF9AE}" pid="24" name="Document_VersionSeq">
    <vt:lpwstr/>
  </property>
  <property fmtid="{D5CDD505-2E9C-101B-9397-08002B2CF9AE}" pid="25" name="Document_Creator">
    <vt:lpwstr/>
  </property>
  <property fmtid="{D5CDD505-2E9C-101B-9397-08002B2CF9AE}" pid="26" name="Document_CreatorDesc">
    <vt:lpwstr/>
  </property>
  <property fmtid="{D5CDD505-2E9C-101B-9397-08002B2CF9AE}" pid="27" name="Document_CreateDate">
    <vt:lpwstr/>
  </property>
  <property fmtid="{D5CDD505-2E9C-101B-9397-08002B2CF9AE}" pid="28" name="Document_Updater">
    <vt:lpwstr/>
  </property>
  <property fmtid="{D5CDD505-2E9C-101B-9397-08002B2CF9AE}" pid="29" name="Document_UpdaterDesc">
    <vt:lpwstr/>
  </property>
  <property fmtid="{D5CDD505-2E9C-101B-9397-08002B2CF9AE}" pid="30" name="Document_UpdateDate">
    <vt:lpwstr/>
  </property>
  <property fmtid="{D5CDD505-2E9C-101B-9397-08002B2CF9AE}" pid="31" name="Document_Size">
    <vt:lpwstr/>
  </property>
  <property fmtid="{D5CDD505-2E9C-101B-9397-08002B2CF9AE}" pid="32" name="Document_Storage">
    <vt:lpwstr/>
  </property>
  <property fmtid="{D5CDD505-2E9C-101B-9397-08002B2CF9AE}" pid="33" name="Document_StorageDesc">
    <vt:lpwstr/>
  </property>
  <property fmtid="{D5CDD505-2E9C-101B-9397-08002B2CF9AE}" pid="34" name="Document_Department">
    <vt:lpwstr/>
  </property>
  <property fmtid="{D5CDD505-2E9C-101B-9397-08002B2CF9AE}" pid="35" name="Document_DepartmentDesc">
    <vt:lpwstr/>
  </property>
</Properties>
</file>