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24226"/>
  <mc:AlternateContent xmlns:mc="http://schemas.openxmlformats.org/markup-compatibility/2006">
    <mc:Choice Requires="x15">
      <x15ac:absPath xmlns:x15ac="http://schemas.microsoft.com/office/spreadsheetml/2010/11/ac" url="\\srfgroup.loc\DFSMapK\Trans\Grant Applications\2021 Grants\INFRA\Sherburne County\Graphics\INFRA Sharepoint Page\Benefit Cost Analysis\"/>
    </mc:Choice>
  </mc:AlternateContent>
  <xr:revisionPtr revIDLastSave="0" documentId="8_{555B5475-A113-40E7-94DD-A5604EA00FE7}" xr6:coauthVersionLast="45" xr6:coauthVersionMax="45" xr10:uidLastSave="{00000000-0000-0000-0000-000000000000}"/>
  <bookViews>
    <workbookView xWindow="52155" yWindow="1290" windowWidth="24420" windowHeight="14220" tabRatio="851" activeTab="1" xr2:uid="{00000000-000D-0000-FFFF-FFFF00000000}"/>
  </bookViews>
  <sheets>
    <sheet name="Assumptions" sheetId="28" r:id="rId1"/>
    <sheet name="BCA Summary " sheetId="46" r:id="rId2"/>
    <sheet name="Travel Time Savings " sheetId="36" r:id="rId3"/>
    <sheet name="Operation Benefits" sheetId="44" r:id="rId4"/>
    <sheet name="SafetyBenefits" sheetId="30" r:id="rId5"/>
    <sheet name="Air Quality" sheetId="47" r:id="rId6"/>
    <sheet name="Operating and Maintenance Costs" sheetId="48" r:id="rId7"/>
    <sheet name="Capital Cost and RCV Calc" sheetId="42" r:id="rId8"/>
    <sheet name="RCV Calculator" sheetId="10" r:id="rId9"/>
  </sheets>
  <externalReferences>
    <externalReference r:id="rId10"/>
    <externalReference r:id="rId11"/>
    <externalReference r:id="rId12"/>
    <externalReference r:id="rId13"/>
    <externalReference r:id="rId14"/>
  </externalReferences>
  <definedNames>
    <definedName name="AnalysisPeriod">Assumptions!$H$34</definedName>
    <definedName name="AutoCost" localSheetId="2">[1]Assumptions!#REF!</definedName>
    <definedName name="AutoCost">Assumptions!$H$63</definedName>
    <definedName name="BCAnalysisPeriod" localSheetId="5">[2]Assumptions!#REF!</definedName>
    <definedName name="BCAnalysisPeriod" localSheetId="7">[3]Assumptions!#REF!</definedName>
    <definedName name="BCAnalysisPeriod" localSheetId="6">[3]Assumptions!#REF!</definedName>
    <definedName name="BCAnalysisPeriod" localSheetId="3">[4]Assumptions!#REF!</definedName>
    <definedName name="BCAnalysisPeriod" localSheetId="2">[5]Assumptions!#REF!</definedName>
    <definedName name="BCAnalysisPeriod">Assumptions!#REF!</definedName>
    <definedName name="CompositeCost" localSheetId="2">[1]Assumptions!#REF!</definedName>
    <definedName name="CompositeCost">Assumptions!$H$65</definedName>
    <definedName name="Daysinyr" localSheetId="2">[1]Assumptions!#REF!</definedName>
    <definedName name="Daysinyr">Assumptions!$H$59</definedName>
    <definedName name="DiscountRate" localSheetId="2">[1]Assumptions!#REF!</definedName>
    <definedName name="DiscountRate">Assumptions!$H$60</definedName>
    <definedName name="EndYear">Assumptions!$H$37</definedName>
    <definedName name="PeakLngthE">Assumptions!$H$17</definedName>
    <definedName name="PercentAutoW">Assumptions!$I$43</definedName>
    <definedName name="PercentAutoWO">Assumptions!$H$43</definedName>
    <definedName name="PercentTrucksW">Assumptions!$I$45</definedName>
    <definedName name="PercentTrucksWO">Assumptions!$H$45</definedName>
    <definedName name="PercTruckW">Assumptions!$I$45</definedName>
    <definedName name="PerTruckE">Assumptions!$H$45</definedName>
    <definedName name="PerTruckN">Assumptions!$I$45</definedName>
    <definedName name="_xlnm.Print_Area" localSheetId="5">'Air Quality'!$A$1:$X$48</definedName>
    <definedName name="_xlnm.Print_Area" localSheetId="0">Assumptions!$B$2:$G$49</definedName>
    <definedName name="_xlnm.Print_Area" localSheetId="1">'BCA Summary '!$A$2:$K$85</definedName>
    <definedName name="_xlnm.Print_Area" localSheetId="7">'Capital Cost and RCV Calc'!$A$2:$P$61</definedName>
    <definedName name="_xlnm.Print_Area" localSheetId="6">'Operating and Maintenance Costs'!$A$2:$K$51</definedName>
    <definedName name="_xlnm.Print_Area" localSheetId="3">'Operation Benefits'!$A$2:$M$65</definedName>
    <definedName name="_xlnm.Print_Area" localSheetId="4">SafetyBenefits!$A$3:$M$62</definedName>
    <definedName name="_xlnm.Print_Area" localSheetId="2">'Travel Time Savings '!$A$2:$Q$67</definedName>
    <definedName name="ProjLoc" localSheetId="2">[1]Assumptions!$I$14</definedName>
    <definedName name="ProjLoc">Assumptions!$I$14</definedName>
    <definedName name="Projlocation">Assumptions!$F$15</definedName>
    <definedName name="ProjName">Assumptions!$F$6</definedName>
    <definedName name="solver_typ" localSheetId="7" hidden="1">2</definedName>
    <definedName name="solver_typ" localSheetId="6" hidden="1">2</definedName>
    <definedName name="solver_ver" localSheetId="7" hidden="1">17</definedName>
    <definedName name="solver_ver" localSheetId="6" hidden="1">17</definedName>
    <definedName name="SRFProjectNum">Assumptions!$F$5</definedName>
    <definedName name="StartYear">Assumptions!$H$36</definedName>
    <definedName name="TAccReductPer" localSheetId="2">[1]Assumptions!#REF!</definedName>
    <definedName name="TAccReductPer">Assumptions!$H$64</definedName>
    <definedName name="TAptFW" localSheetId="2">[1]Assumptions!#REF!</definedName>
    <definedName name="TAptFW">Assumptions!$H$59</definedName>
    <definedName name="TPerHwy" localSheetId="2">[1]Assumptions!#REF!</definedName>
    <definedName name="TPerHwy">Assumptions!$H$60</definedName>
    <definedName name="TruckCost" localSheetId="5">[2]Assumptions!#REF!</definedName>
    <definedName name="TruckCost" localSheetId="7">[3]Assumptions!#REF!</definedName>
    <definedName name="TruckCost" localSheetId="6">[3]Assumptions!#REF!</definedName>
    <definedName name="TruckCost" localSheetId="3">[4]Assumptions!#REF!</definedName>
    <definedName name="TruckCost" localSheetId="2">[5]Assumptions!#REF!</definedName>
    <definedName name="TruckCost">Assumptions!#REF!</definedName>
    <definedName name="TruckSpeed">Assumptions!$H$46</definedName>
    <definedName name="TVehMiBW" localSheetId="2">[1]Assumptions!#REF!</definedName>
    <definedName name="TVehMiBW">Assumptions!$I$61</definedName>
    <definedName name="TVehMiFW" localSheetId="2">[1]Assumptions!#REF!</definedName>
    <definedName name="TVehMiFW">Assumptions!$I$62</definedName>
    <definedName name="yrofanalysis" localSheetId="2">[1]Assumptions!#REF!</definedName>
    <definedName name="yrofanalysis">Assumptions!#REF!</definedName>
    <definedName name="yrofcurrentdollars" localSheetId="2">[1]Assumptions!#REF!</definedName>
    <definedName name="yrofcurrentdollars">Assumptions!#REF!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5" i="46" l="1"/>
  <c r="C65" i="46"/>
  <c r="D65" i="46" s="1"/>
  <c r="B66" i="46"/>
  <c r="C66" i="46" s="1"/>
  <c r="D66" i="46" s="1"/>
  <c r="V8" i="47"/>
  <c r="U8" i="47"/>
  <c r="T8" i="47"/>
  <c r="S8" i="47"/>
  <c r="V7" i="47"/>
  <c r="U7" i="47"/>
  <c r="T7" i="47"/>
  <c r="S7" i="47"/>
  <c r="AE26" i="47"/>
  <c r="AD26" i="47"/>
  <c r="AC26" i="47"/>
  <c r="AB26" i="47"/>
  <c r="AE25" i="47"/>
  <c r="AD25" i="47"/>
  <c r="AC25" i="47"/>
  <c r="AB25" i="47"/>
  <c r="F31" i="42"/>
  <c r="F32" i="42"/>
  <c r="F33" i="42"/>
  <c r="F34" i="42"/>
  <c r="F35" i="42"/>
  <c r="J9" i="42"/>
  <c r="B67" i="46" l="1"/>
  <c r="C67" i="46" l="1"/>
  <c r="D67" i="46" s="1"/>
  <c r="B68" i="46"/>
  <c r="V44" i="47"/>
  <c r="V45" i="47" s="1"/>
  <c r="V46" i="47" s="1"/>
  <c r="V47" i="47" s="1"/>
  <c r="V48" i="47" s="1"/>
  <c r="C68" i="46" l="1"/>
  <c r="D68" i="46" s="1"/>
  <c r="B69" i="46"/>
  <c r="T44" i="47"/>
  <c r="T45" i="47" s="1"/>
  <c r="T46" i="47" s="1"/>
  <c r="T47" i="47" s="1"/>
  <c r="T48" i="47" s="1"/>
  <c r="U44" i="47"/>
  <c r="U45" i="47" s="1"/>
  <c r="U46" i="47" s="1"/>
  <c r="U47" i="47" s="1"/>
  <c r="U48" i="47" s="1"/>
  <c r="S44" i="47"/>
  <c r="S45" i="47" s="1"/>
  <c r="S46" i="47" s="1"/>
  <c r="S47" i="47" s="1"/>
  <c r="S48" i="47" s="1"/>
  <c r="C69" i="46" l="1"/>
  <c r="D69" i="46" s="1"/>
  <c r="B70" i="46"/>
  <c r="K20" i="42"/>
  <c r="K19" i="42"/>
  <c r="K18" i="42"/>
  <c r="K17" i="42"/>
  <c r="K16" i="42"/>
  <c r="K15" i="42"/>
  <c r="C70" i="46" l="1"/>
  <c r="D70" i="46" s="1"/>
  <c r="B71" i="46"/>
  <c r="C71" i="46" s="1"/>
  <c r="D71" i="46" s="1"/>
  <c r="I38" i="46"/>
  <c r="I37" i="46"/>
  <c r="I36" i="46"/>
  <c r="I35" i="46"/>
  <c r="I34" i="46"/>
  <c r="I33" i="46"/>
  <c r="I32" i="46"/>
  <c r="I31" i="46"/>
  <c r="I30" i="46"/>
  <c r="I29" i="46"/>
  <c r="I28" i="46"/>
  <c r="I27" i="46"/>
  <c r="I26" i="46"/>
  <c r="I25" i="46"/>
  <c r="I24" i="46"/>
  <c r="I23" i="46"/>
  <c r="I22" i="46"/>
  <c r="I21" i="46"/>
  <c r="I20" i="46"/>
  <c r="I19" i="46"/>
  <c r="I18" i="46"/>
  <c r="I17" i="46"/>
  <c r="I16" i="46"/>
  <c r="I15" i="46"/>
  <c r="I14" i="46"/>
  <c r="I13" i="46"/>
  <c r="I12" i="46"/>
  <c r="I11" i="46"/>
  <c r="I10" i="46"/>
  <c r="F11" i="42"/>
  <c r="F12" i="42"/>
  <c r="F13" i="42"/>
  <c r="F14" i="42"/>
  <c r="F15" i="42"/>
  <c r="F16" i="42"/>
  <c r="F17" i="42"/>
  <c r="F18" i="42"/>
  <c r="F19" i="42"/>
  <c r="F20" i="42"/>
  <c r="F21" i="42"/>
  <c r="J5" i="42"/>
  <c r="F22" i="42" l="1"/>
  <c r="F23" i="42"/>
  <c r="F24" i="42"/>
  <c r="F25" i="42"/>
  <c r="F26" i="42"/>
  <c r="F27" i="42"/>
  <c r="F28" i="42"/>
  <c r="O19" i="30" l="1"/>
  <c r="N19" i="30"/>
  <c r="O14" i="48"/>
  <c r="P14" i="48" s="1"/>
  <c r="H14" i="48" l="1"/>
  <c r="H13" i="48"/>
  <c r="H12" i="48"/>
  <c r="H11" i="48"/>
  <c r="H10" i="48"/>
  <c r="H9" i="48"/>
  <c r="H8" i="48"/>
  <c r="H15" i="48" s="1"/>
  <c r="D34" i="48" l="1"/>
  <c r="H39" i="46" s="1"/>
  <c r="D26" i="48"/>
  <c r="H31" i="46" s="1"/>
  <c r="D18" i="48"/>
  <c r="H23" i="46" s="1"/>
  <c r="D10" i="48"/>
  <c r="H15" i="46" s="1"/>
  <c r="D33" i="48"/>
  <c r="H38" i="46" s="1"/>
  <c r="D25" i="48"/>
  <c r="H30" i="46" s="1"/>
  <c r="D17" i="48"/>
  <c r="H22" i="46" s="1"/>
  <c r="D9" i="48"/>
  <c r="H14" i="46" s="1"/>
  <c r="D32" i="48"/>
  <c r="H37" i="46" s="1"/>
  <c r="D24" i="48"/>
  <c r="H29" i="46" s="1"/>
  <c r="D16" i="48"/>
  <c r="H21" i="46" s="1"/>
  <c r="D8" i="48"/>
  <c r="H13" i="46" s="1"/>
  <c r="D23" i="48"/>
  <c r="H28" i="46" s="1"/>
  <c r="D15" i="48"/>
  <c r="H20" i="46" s="1"/>
  <c r="D7" i="48"/>
  <c r="H12" i="46" s="1"/>
  <c r="D22" i="48"/>
  <c r="H27" i="46" s="1"/>
  <c r="D14" i="48"/>
  <c r="H19" i="46" s="1"/>
  <c r="D6" i="48"/>
  <c r="H11" i="46" s="1"/>
  <c r="D29" i="48"/>
  <c r="H34" i="46" s="1"/>
  <c r="D21" i="48"/>
  <c r="H26" i="46" s="1"/>
  <c r="D13" i="48"/>
  <c r="H18" i="46" s="1"/>
  <c r="D5" i="48"/>
  <c r="D28" i="48"/>
  <c r="H33" i="46" s="1"/>
  <c r="D12" i="48"/>
  <c r="H17" i="46" s="1"/>
  <c r="D27" i="48"/>
  <c r="H32" i="46" s="1"/>
  <c r="D19" i="48"/>
  <c r="H24" i="46" s="1"/>
  <c r="D11" i="48"/>
  <c r="H16" i="46" s="1"/>
  <c r="D31" i="48"/>
  <c r="H36" i="46" s="1"/>
  <c r="D30" i="48"/>
  <c r="H35" i="46" s="1"/>
  <c r="D20" i="48"/>
  <c r="H25" i="46" s="1"/>
  <c r="C35" i="48"/>
  <c r="H10" i="46" l="1"/>
  <c r="O15" i="48"/>
  <c r="P15" i="48" s="1"/>
  <c r="F9" i="42"/>
  <c r="F10" i="42"/>
  <c r="J12" i="44" l="1"/>
  <c r="J10" i="30" l="1"/>
  <c r="I10" i="30"/>
  <c r="J9" i="30"/>
  <c r="I9" i="30"/>
  <c r="J13" i="44" l="1"/>
  <c r="B43" i="36"/>
  <c r="J14" i="44" l="1"/>
  <c r="J19" i="44" s="1"/>
  <c r="K18" i="44" l="1"/>
  <c r="J18" i="44"/>
  <c r="K19" i="44"/>
  <c r="AE12" i="30" l="1"/>
  <c r="AE13" i="30"/>
  <c r="AE14" i="30"/>
  <c r="AE11" i="30"/>
  <c r="E14" i="28" l="1"/>
  <c r="D14" i="28"/>
  <c r="L10" i="36" s="1"/>
  <c r="D35" i="48" l="1"/>
  <c r="G20" i="30" l="1"/>
  <c r="H20" i="30"/>
  <c r="I20" i="30"/>
  <c r="J20" i="30"/>
  <c r="K20" i="30"/>
  <c r="O20" i="30" l="1"/>
  <c r="O21" i="30" s="1"/>
  <c r="P40" i="30" s="1"/>
  <c r="N20" i="30"/>
  <c r="N21" i="30" s="1"/>
  <c r="O40" i="30" s="1"/>
  <c r="J32" i="42"/>
  <c r="B5" i="42"/>
  <c r="B39" i="44" l="1"/>
  <c r="B39" i="36"/>
  <c r="G37" i="30" l="1"/>
  <c r="G38" i="30"/>
  <c r="N40" i="30" l="1"/>
  <c r="Q40" i="30"/>
  <c r="J25" i="44"/>
  <c r="K29" i="44" s="1"/>
  <c r="J24" i="44"/>
  <c r="J29" i="44" s="1"/>
  <c r="B45" i="46" l="1"/>
  <c r="B46" i="46" l="1"/>
  <c r="K32" i="42" l="1"/>
  <c r="I32" i="42"/>
  <c r="K31" i="42"/>
  <c r="I31" i="42"/>
  <c r="K30" i="42"/>
  <c r="L30" i="42" s="1"/>
  <c r="I30" i="42"/>
  <c r="K29" i="42"/>
  <c r="I29" i="42"/>
  <c r="F36" i="42"/>
  <c r="K28" i="42"/>
  <c r="L28" i="42" s="1"/>
  <c r="I28" i="42"/>
  <c r="K27" i="42"/>
  <c r="L27" i="42" s="1"/>
  <c r="I27" i="42"/>
  <c r="F30" i="42"/>
  <c r="F29" i="42"/>
  <c r="K21" i="42"/>
  <c r="F8" i="42"/>
  <c r="F7" i="42"/>
  <c r="F6" i="42"/>
  <c r="F5" i="42"/>
  <c r="C5" i="42" l="1"/>
  <c r="C45" i="46"/>
  <c r="D45" i="46" s="1"/>
  <c r="B6" i="42"/>
  <c r="L32" i="42"/>
  <c r="L29" i="42"/>
  <c r="L31" i="42"/>
  <c r="C6" i="42" l="1"/>
  <c r="D6" i="42" s="1"/>
  <c r="D5" i="42"/>
  <c r="B7" i="42"/>
  <c r="C7" i="42" s="1"/>
  <c r="L33" i="42"/>
  <c r="E37" i="42" s="1"/>
  <c r="I39" i="46" s="1"/>
  <c r="C46" i="46" l="1"/>
  <c r="D46" i="46" s="1"/>
  <c r="C38" i="42"/>
  <c r="B8" i="42"/>
  <c r="D8" i="42" s="1"/>
  <c r="B9" i="42" l="1"/>
  <c r="D7" i="42"/>
  <c r="B10" i="42" l="1"/>
  <c r="D9" i="42"/>
  <c r="E15" i="28"/>
  <c r="D15" i="28"/>
  <c r="L11" i="36" s="1"/>
  <c r="B11" i="42" l="1"/>
  <c r="D10" i="42"/>
  <c r="L15" i="36"/>
  <c r="L14" i="36"/>
  <c r="L7" i="36"/>
  <c r="L6" i="36"/>
  <c r="D11" i="42" l="1"/>
  <c r="B12" i="42"/>
  <c r="L18" i="36"/>
  <c r="F29" i="30"/>
  <c r="F38" i="30" s="1"/>
  <c r="F19" i="30"/>
  <c r="F28" i="30" s="1"/>
  <c r="F37" i="30" s="1"/>
  <c r="F20" i="30"/>
  <c r="B13" i="42" l="1"/>
  <c r="D12" i="42"/>
  <c r="G29" i="30"/>
  <c r="I29" i="30"/>
  <c r="J29" i="30"/>
  <c r="K29" i="30"/>
  <c r="H29" i="30"/>
  <c r="B14" i="42" l="1"/>
  <c r="D13" i="42"/>
  <c r="H38" i="30"/>
  <c r="G28" i="30"/>
  <c r="H28" i="30"/>
  <c r="I28" i="30"/>
  <c r="J28" i="30"/>
  <c r="K28" i="30"/>
  <c r="D14" i="42" l="1"/>
  <c r="B15" i="42"/>
  <c r="H37" i="30"/>
  <c r="D23" i="28"/>
  <c r="D8" i="28"/>
  <c r="B10" i="46" s="1"/>
  <c r="B9" i="46" s="1"/>
  <c r="B16" i="42" l="1"/>
  <c r="D15" i="42"/>
  <c r="B8" i="46"/>
  <c r="J9" i="46"/>
  <c r="B5" i="48"/>
  <c r="B5" i="47"/>
  <c r="B6" i="47" s="1"/>
  <c r="B6" i="44"/>
  <c r="C6" i="44" s="1" a="1"/>
  <c r="C6" i="44" s="1"/>
  <c r="B6" i="36"/>
  <c r="B11" i="46"/>
  <c r="D9" i="28"/>
  <c r="B7" i="30"/>
  <c r="C7" i="30" s="1"/>
  <c r="G10" i="46" s="1"/>
  <c r="B7" i="47" l="1"/>
  <c r="B17" i="42"/>
  <c r="D16" i="42"/>
  <c r="B7" i="46"/>
  <c r="J7" i="46" s="1"/>
  <c r="J8" i="46"/>
  <c r="B6" i="48"/>
  <c r="E5" i="48"/>
  <c r="B12" i="46"/>
  <c r="F5" i="47"/>
  <c r="D6" i="44"/>
  <c r="E6" i="44"/>
  <c r="B7" i="36"/>
  <c r="B7" i="44"/>
  <c r="C7" i="44" s="1" a="1"/>
  <c r="C7" i="44" s="1"/>
  <c r="F6" i="47" s="1"/>
  <c r="B47" i="46"/>
  <c r="I6" i="47" l="1"/>
  <c r="G6" i="47"/>
  <c r="C6" i="47"/>
  <c r="H6" i="47"/>
  <c r="L6" i="47" s="1"/>
  <c r="I5" i="47"/>
  <c r="H5" i="47"/>
  <c r="L5" i="47" s="1"/>
  <c r="G5" i="47"/>
  <c r="C5" i="47"/>
  <c r="D6" i="47"/>
  <c r="E6" i="47" s="1"/>
  <c r="F11" i="46" s="1"/>
  <c r="B8" i="47"/>
  <c r="D17" i="42"/>
  <c r="B18" i="42"/>
  <c r="B48" i="46"/>
  <c r="C47" i="46"/>
  <c r="D47" i="46" s="1"/>
  <c r="E6" i="48"/>
  <c r="B7" i="48"/>
  <c r="B13" i="46"/>
  <c r="F6" i="44"/>
  <c r="C10" i="46" s="1"/>
  <c r="B8" i="36"/>
  <c r="B9" i="36" s="1"/>
  <c r="B10" i="36" s="1"/>
  <c r="B11" i="36" s="1"/>
  <c r="B12" i="36" s="1"/>
  <c r="B13" i="36" s="1"/>
  <c r="B14" i="36" s="1"/>
  <c r="B15" i="36" s="1"/>
  <c r="B16" i="36" s="1"/>
  <c r="B17" i="36" s="1"/>
  <c r="B18" i="36" s="1"/>
  <c r="B19" i="36" s="1"/>
  <c r="B20" i="36" s="1"/>
  <c r="B21" i="36" s="1"/>
  <c r="B22" i="36" s="1"/>
  <c r="B23" i="36" s="1"/>
  <c r="B8" i="44"/>
  <c r="C8" i="44" s="1" a="1"/>
  <c r="C8" i="44" s="1"/>
  <c r="F7" i="47" s="1"/>
  <c r="H7" i="47" l="1"/>
  <c r="I7" i="47"/>
  <c r="G7" i="47"/>
  <c r="C7" i="47"/>
  <c r="L7" i="47"/>
  <c r="D7" i="47"/>
  <c r="E7" i="47" s="1"/>
  <c r="F12" i="46" s="1"/>
  <c r="J6" i="47"/>
  <c r="K6" i="47"/>
  <c r="K5" i="47"/>
  <c r="J5" i="47"/>
  <c r="B9" i="47"/>
  <c r="D5" i="47"/>
  <c r="E5" i="47" s="1"/>
  <c r="F10" i="46" s="1"/>
  <c r="B19" i="42"/>
  <c r="D18" i="42"/>
  <c r="B49" i="46"/>
  <c r="C48" i="46"/>
  <c r="D48" i="46" s="1"/>
  <c r="E7" i="48"/>
  <c r="B8" i="48"/>
  <c r="B14" i="46"/>
  <c r="G6" i="44"/>
  <c r="B9" i="44"/>
  <c r="C9" i="44" s="1" a="1"/>
  <c r="C9" i="44" s="1"/>
  <c r="F8" i="47" s="1"/>
  <c r="D7" i="44"/>
  <c r="E7" i="44"/>
  <c r="I8" i="47" l="1"/>
  <c r="G8" i="47"/>
  <c r="C8" i="47"/>
  <c r="H8" i="47"/>
  <c r="L8" i="47" s="1"/>
  <c r="D8" i="47"/>
  <c r="E8" i="47" s="1"/>
  <c r="F13" i="46" s="1"/>
  <c r="J7" i="47"/>
  <c r="K7" i="47"/>
  <c r="B10" i="47"/>
  <c r="M5" i="47"/>
  <c r="D19" i="42"/>
  <c r="B20" i="42"/>
  <c r="B50" i="46"/>
  <c r="C49" i="46"/>
  <c r="D49" i="46" s="1"/>
  <c r="E8" i="48"/>
  <c r="B9" i="48"/>
  <c r="B15" i="46"/>
  <c r="F7" i="44"/>
  <c r="C11" i="46" s="1"/>
  <c r="B10" i="44"/>
  <c r="E8" i="44"/>
  <c r="D8" i="44"/>
  <c r="N5" i="47" l="1"/>
  <c r="P5" i="47" s="1"/>
  <c r="E10" i="46"/>
  <c r="J8" i="47"/>
  <c r="K8" i="47"/>
  <c r="B11" i="47"/>
  <c r="O5" i="47"/>
  <c r="M6" i="47"/>
  <c r="B11" i="44"/>
  <c r="C11" i="44" s="1" a="1"/>
  <c r="C11" i="44" s="1"/>
  <c r="F10" i="47" s="1"/>
  <c r="C10" i="44" a="1"/>
  <c r="C10" i="44" s="1"/>
  <c r="F9" i="47" s="1"/>
  <c r="D20" i="42"/>
  <c r="B21" i="42"/>
  <c r="B51" i="46"/>
  <c r="C50" i="46"/>
  <c r="D50" i="46" s="1"/>
  <c r="B12" i="44"/>
  <c r="C12" i="44" s="1" a="1"/>
  <c r="C12" i="44" s="1"/>
  <c r="F11" i="47" s="1"/>
  <c r="E9" i="48"/>
  <c r="B10" i="48"/>
  <c r="B16" i="46"/>
  <c r="G7" i="44"/>
  <c r="D9" i="44"/>
  <c r="E9" i="44"/>
  <c r="F8" i="44"/>
  <c r="C12" i="46" s="1"/>
  <c r="H11" i="47" l="1"/>
  <c r="I11" i="47"/>
  <c r="G11" i="47"/>
  <c r="J11" i="47" s="1"/>
  <c r="C11" i="47"/>
  <c r="I10" i="47"/>
  <c r="G10" i="47"/>
  <c r="C10" i="47"/>
  <c r="H10" i="47"/>
  <c r="H9" i="47"/>
  <c r="I9" i="47"/>
  <c r="G9" i="47"/>
  <c r="C9" i="47"/>
  <c r="L9" i="47"/>
  <c r="N6" i="47"/>
  <c r="P6" i="47" s="1"/>
  <c r="E11" i="46"/>
  <c r="D11" i="47"/>
  <c r="E11" i="47" s="1"/>
  <c r="F16" i="46" s="1"/>
  <c r="L11" i="47"/>
  <c r="D10" i="47"/>
  <c r="E10" i="47" s="1"/>
  <c r="F15" i="46" s="1"/>
  <c r="L10" i="47"/>
  <c r="B12" i="47"/>
  <c r="O6" i="47"/>
  <c r="M7" i="47"/>
  <c r="D21" i="42"/>
  <c r="B22" i="42"/>
  <c r="B52" i="46"/>
  <c r="B53" i="46" s="1"/>
  <c r="B54" i="46" s="1"/>
  <c r="B55" i="46" s="1"/>
  <c r="B56" i="46" s="1"/>
  <c r="B57" i="46" s="1"/>
  <c r="B58" i="46" s="1"/>
  <c r="B59" i="46" s="1"/>
  <c r="B60" i="46" s="1"/>
  <c r="B61" i="46" s="1"/>
  <c r="B62" i="46" s="1"/>
  <c r="B63" i="46" s="1"/>
  <c r="B64" i="46" s="1"/>
  <c r="B72" i="46" s="1"/>
  <c r="B73" i="46" s="1"/>
  <c r="B74" i="46" s="1"/>
  <c r="B75" i="46" s="1"/>
  <c r="B76" i="46" s="1"/>
  <c r="B77" i="46" s="1"/>
  <c r="C51" i="46"/>
  <c r="D51" i="46" s="1"/>
  <c r="B13" i="44"/>
  <c r="C13" i="44" s="1" a="1"/>
  <c r="C13" i="44" s="1"/>
  <c r="F12" i="47" s="1"/>
  <c r="E10" i="48"/>
  <c r="B11" i="48"/>
  <c r="E11" i="44"/>
  <c r="D11" i="44"/>
  <c r="B17" i="46"/>
  <c r="G8" i="44"/>
  <c r="F9" i="44"/>
  <c r="C13" i="46" s="1"/>
  <c r="E10" i="44"/>
  <c r="D10" i="44"/>
  <c r="D9" i="47" l="1"/>
  <c r="E9" i="47" s="1"/>
  <c r="F14" i="46" s="1"/>
  <c r="I12" i="47"/>
  <c r="G12" i="47"/>
  <c r="J12" i="47" s="1"/>
  <c r="C12" i="47"/>
  <c r="H12" i="47"/>
  <c r="L12" i="47" s="1"/>
  <c r="K11" i="47"/>
  <c r="N7" i="47"/>
  <c r="P7" i="47" s="1"/>
  <c r="E12" i="46"/>
  <c r="J10" i="47"/>
  <c r="K10" i="47"/>
  <c r="J9" i="47"/>
  <c r="K9" i="47"/>
  <c r="K12" i="47"/>
  <c r="B13" i="47"/>
  <c r="D12" i="47"/>
  <c r="E12" i="47" s="1"/>
  <c r="F17" i="46" s="1"/>
  <c r="O7" i="47"/>
  <c r="M8" i="47"/>
  <c r="F11" i="44"/>
  <c r="C15" i="46" s="1"/>
  <c r="B23" i="42"/>
  <c r="D22" i="42"/>
  <c r="E11" i="48"/>
  <c r="B12" i="48"/>
  <c r="D12" i="44"/>
  <c r="E12" i="44"/>
  <c r="B14" i="44"/>
  <c r="C14" i="44" s="1" a="1"/>
  <c r="C14" i="44" s="1"/>
  <c r="F13" i="47" s="1"/>
  <c r="B18" i="46"/>
  <c r="F10" i="44"/>
  <c r="C14" i="46" s="1"/>
  <c r="G9" i="44"/>
  <c r="B24" i="36"/>
  <c r="H13" i="47" l="1"/>
  <c r="L13" i="47" s="1"/>
  <c r="I13" i="47"/>
  <c r="G13" i="47"/>
  <c r="C13" i="47"/>
  <c r="J13" i="47"/>
  <c r="N8" i="47"/>
  <c r="P8" i="47" s="1"/>
  <c r="E13" i="46"/>
  <c r="B14" i="47"/>
  <c r="D13" i="47"/>
  <c r="E13" i="47" s="1"/>
  <c r="F18" i="46" s="1"/>
  <c r="O8" i="47"/>
  <c r="G11" i="44"/>
  <c r="M9" i="47"/>
  <c r="B24" i="42"/>
  <c r="D23" i="42"/>
  <c r="F12" i="44"/>
  <c r="D13" i="44"/>
  <c r="E13" i="44"/>
  <c r="B15" i="44"/>
  <c r="C15" i="44" s="1" a="1"/>
  <c r="C15" i="44" s="1"/>
  <c r="F14" i="47" s="1"/>
  <c r="E12" i="48"/>
  <c r="B13" i="48"/>
  <c r="B19" i="46"/>
  <c r="G10" i="44"/>
  <c r="B25" i="36"/>
  <c r="I14" i="47" l="1"/>
  <c r="G14" i="47"/>
  <c r="J14" i="47" s="1"/>
  <c r="C14" i="47"/>
  <c r="D14" i="47" s="1"/>
  <c r="E14" i="47" s="1"/>
  <c r="F19" i="46" s="1"/>
  <c r="H14" i="47"/>
  <c r="L14" i="47" s="1"/>
  <c r="K13" i="47"/>
  <c r="N9" i="47"/>
  <c r="P9" i="47" s="1"/>
  <c r="E14" i="46"/>
  <c r="B15" i="47"/>
  <c r="O9" i="47"/>
  <c r="M10" i="47"/>
  <c r="G12" i="44"/>
  <c r="C16" i="46"/>
  <c r="B25" i="42"/>
  <c r="D24" i="42"/>
  <c r="C52" i="46"/>
  <c r="D52" i="46" s="1"/>
  <c r="B16" i="44"/>
  <c r="C16" i="44" s="1" a="1"/>
  <c r="C16" i="44" s="1"/>
  <c r="F15" i="47" s="1"/>
  <c r="F13" i="44"/>
  <c r="C17" i="46" s="1"/>
  <c r="E14" i="44"/>
  <c r="D14" i="44"/>
  <c r="E13" i="48"/>
  <c r="B14" i="48"/>
  <c r="B20" i="46"/>
  <c r="B26" i="36"/>
  <c r="K14" i="47" l="1"/>
  <c r="H15" i="47"/>
  <c r="I15" i="47"/>
  <c r="G15" i="47"/>
  <c r="J15" i="47" s="1"/>
  <c r="C15" i="47"/>
  <c r="L15" i="47"/>
  <c r="O10" i="47"/>
  <c r="E15" i="46"/>
  <c r="B16" i="47"/>
  <c r="D15" i="47"/>
  <c r="E15" i="47" s="1"/>
  <c r="F20" i="46" s="1"/>
  <c r="M11" i="47"/>
  <c r="N10" i="47"/>
  <c r="P10" i="47" s="1"/>
  <c r="D25" i="42"/>
  <c r="B26" i="42"/>
  <c r="F14" i="44"/>
  <c r="C18" i="46" s="1"/>
  <c r="E14" i="48"/>
  <c r="B15" i="48"/>
  <c r="D15" i="44"/>
  <c r="E15" i="44"/>
  <c r="G13" i="44"/>
  <c r="B17" i="44"/>
  <c r="C17" i="44" s="1" a="1"/>
  <c r="C17" i="44" s="1"/>
  <c r="F16" i="47" s="1"/>
  <c r="B21" i="46"/>
  <c r="B27" i="36"/>
  <c r="I16" i="47" l="1"/>
  <c r="G16" i="47"/>
  <c r="J16" i="47" s="1"/>
  <c r="C16" i="47"/>
  <c r="H16" i="47"/>
  <c r="L16" i="47" s="1"/>
  <c r="O11" i="47"/>
  <c r="E16" i="46"/>
  <c r="D16" i="47"/>
  <c r="E16" i="47" s="1"/>
  <c r="F21" i="46" s="1"/>
  <c r="K15" i="47"/>
  <c r="N11" i="47"/>
  <c r="P11" i="47" s="1"/>
  <c r="B17" i="47"/>
  <c r="M12" i="47"/>
  <c r="G14" i="44"/>
  <c r="D26" i="42"/>
  <c r="B27" i="42"/>
  <c r="F15" i="44"/>
  <c r="E15" i="48"/>
  <c r="B16" i="48"/>
  <c r="D16" i="44"/>
  <c r="E16" i="44"/>
  <c r="B18" i="44"/>
  <c r="C18" i="44" s="1" a="1"/>
  <c r="C18" i="44" s="1"/>
  <c r="F17" i="47" s="1"/>
  <c r="B22" i="46"/>
  <c r="B28" i="36"/>
  <c r="H17" i="47" l="1"/>
  <c r="L17" i="47" s="1"/>
  <c r="I17" i="47"/>
  <c r="G17" i="47"/>
  <c r="K17" i="47" s="1"/>
  <c r="C17" i="47"/>
  <c r="K16" i="47"/>
  <c r="D17" i="47"/>
  <c r="E17" i="47" s="1"/>
  <c r="F22" i="46" s="1"/>
  <c r="J17" i="47"/>
  <c r="O12" i="47"/>
  <c r="E17" i="46"/>
  <c r="B18" i="47"/>
  <c r="N12" i="47"/>
  <c r="P12" i="47" s="1"/>
  <c r="M13" i="47"/>
  <c r="G15" i="44"/>
  <c r="C19" i="46"/>
  <c r="D27" i="42"/>
  <c r="B28" i="42"/>
  <c r="E17" i="44"/>
  <c r="D17" i="44"/>
  <c r="B19" i="44"/>
  <c r="C19" i="44" s="1" a="1"/>
  <c r="C19" i="44" s="1"/>
  <c r="F18" i="47" s="1"/>
  <c r="F16" i="44"/>
  <c r="C20" i="46" s="1"/>
  <c r="E16" i="48"/>
  <c r="B17" i="48"/>
  <c r="B23" i="46"/>
  <c r="B29" i="36"/>
  <c r="I18" i="47" l="1"/>
  <c r="G18" i="47"/>
  <c r="J18" i="47" s="1"/>
  <c r="C18" i="47"/>
  <c r="D18" i="47" s="1"/>
  <c r="E18" i="47" s="1"/>
  <c r="F23" i="46" s="1"/>
  <c r="H18" i="47"/>
  <c r="L18" i="47" s="1"/>
  <c r="N13" i="47"/>
  <c r="P13" i="47" s="1"/>
  <c r="E18" i="46"/>
  <c r="B19" i="47"/>
  <c r="O13" i="47"/>
  <c r="M14" i="47"/>
  <c r="F17" i="44"/>
  <c r="C21" i="46" s="1"/>
  <c r="D28" i="42"/>
  <c r="B29" i="42"/>
  <c r="G16" i="44"/>
  <c r="E17" i="48"/>
  <c r="B18" i="48"/>
  <c r="B20" i="44"/>
  <c r="C20" i="44" s="1" a="1"/>
  <c r="C20" i="44" s="1"/>
  <c r="F19" i="47" s="1"/>
  <c r="E18" i="44"/>
  <c r="D18" i="44"/>
  <c r="B24" i="46"/>
  <c r="B30" i="36"/>
  <c r="H19" i="47" l="1"/>
  <c r="I19" i="47"/>
  <c r="G19" i="47"/>
  <c r="K19" i="47" s="1"/>
  <c r="C19" i="47"/>
  <c r="K18" i="47"/>
  <c r="D19" i="47"/>
  <c r="E19" i="47" s="1"/>
  <c r="F24" i="46" s="1"/>
  <c r="L19" i="47"/>
  <c r="O14" i="47"/>
  <c r="E19" i="46"/>
  <c r="B20" i="47"/>
  <c r="M15" i="47"/>
  <c r="N15" i="47" s="1"/>
  <c r="P15" i="47" s="1"/>
  <c r="N14" i="47"/>
  <c r="P14" i="47" s="1"/>
  <c r="G17" i="44"/>
  <c r="B30" i="42"/>
  <c r="B31" i="42" s="1"/>
  <c r="D29" i="42"/>
  <c r="F18" i="44"/>
  <c r="C22" i="46" s="1"/>
  <c r="E19" i="44"/>
  <c r="D19" i="44"/>
  <c r="B21" i="44"/>
  <c r="C21" i="44" s="1" a="1"/>
  <c r="C21" i="44" s="1"/>
  <c r="F20" i="47" s="1"/>
  <c r="E18" i="48"/>
  <c r="B19" i="48"/>
  <c r="B25" i="46"/>
  <c r="B31" i="36"/>
  <c r="D31" i="42" l="1"/>
  <c r="B32" i="42"/>
  <c r="I20" i="47"/>
  <c r="G20" i="47"/>
  <c r="K20" i="47" s="1"/>
  <c r="C20" i="47"/>
  <c r="D20" i="47" s="1"/>
  <c r="E20" i="47" s="1"/>
  <c r="F25" i="46" s="1"/>
  <c r="H20" i="47"/>
  <c r="L20" i="47" s="1"/>
  <c r="J19" i="47"/>
  <c r="O15" i="47"/>
  <c r="E20" i="46"/>
  <c r="B21" i="47"/>
  <c r="J20" i="47"/>
  <c r="M16" i="47"/>
  <c r="D30" i="42"/>
  <c r="G18" i="44"/>
  <c r="F19" i="44"/>
  <c r="C23" i="46" s="1"/>
  <c r="E19" i="48"/>
  <c r="B20" i="48"/>
  <c r="D20" i="44"/>
  <c r="E20" i="44"/>
  <c r="B22" i="44"/>
  <c r="C22" i="44" s="1" a="1"/>
  <c r="C22" i="44" s="1"/>
  <c r="F21" i="47" s="1"/>
  <c r="B26" i="46"/>
  <c r="B32" i="36"/>
  <c r="D32" i="42" l="1"/>
  <c r="B33" i="42"/>
  <c r="H21" i="47"/>
  <c r="I21" i="47"/>
  <c r="G21" i="47"/>
  <c r="C21" i="47"/>
  <c r="D21" i="47" s="1"/>
  <c r="E21" i="47" s="1"/>
  <c r="F26" i="46" s="1"/>
  <c r="N16" i="47"/>
  <c r="P16" i="47" s="1"/>
  <c r="E21" i="46"/>
  <c r="B22" i="47"/>
  <c r="L21" i="47"/>
  <c r="J21" i="47"/>
  <c r="K21" i="47"/>
  <c r="O16" i="47"/>
  <c r="M17" i="47"/>
  <c r="G19" i="44"/>
  <c r="E21" i="44"/>
  <c r="D21" i="44"/>
  <c r="B23" i="44"/>
  <c r="C23" i="44" s="1" a="1"/>
  <c r="C23" i="44" s="1"/>
  <c r="F22" i="47" s="1"/>
  <c r="E20" i="48"/>
  <c r="B21" i="48"/>
  <c r="F20" i="44"/>
  <c r="C24" i="46" s="1"/>
  <c r="B27" i="46"/>
  <c r="B33" i="36"/>
  <c r="D33" i="42" l="1"/>
  <c r="B34" i="42"/>
  <c r="I22" i="47"/>
  <c r="G22" i="47"/>
  <c r="K22" i="47" s="1"/>
  <c r="C22" i="47"/>
  <c r="D22" i="47" s="1"/>
  <c r="E22" i="47" s="1"/>
  <c r="F27" i="46" s="1"/>
  <c r="H22" i="47"/>
  <c r="N17" i="47"/>
  <c r="P17" i="47" s="1"/>
  <c r="E22" i="46"/>
  <c r="B23" i="47"/>
  <c r="L22" i="47"/>
  <c r="O17" i="47"/>
  <c r="M18" i="47"/>
  <c r="F21" i="44"/>
  <c r="D22" i="44"/>
  <c r="E22" i="44"/>
  <c r="B24" i="44"/>
  <c r="C24" i="44" s="1" a="1"/>
  <c r="C24" i="44" s="1"/>
  <c r="F23" i="47" s="1"/>
  <c r="E21" i="48"/>
  <c r="B22" i="48"/>
  <c r="G20" i="44"/>
  <c r="B28" i="46"/>
  <c r="B34" i="36"/>
  <c r="D34" i="42" l="1"/>
  <c r="B35" i="42"/>
  <c r="D35" i="42" s="1"/>
  <c r="H23" i="47"/>
  <c r="I23" i="47"/>
  <c r="G23" i="47"/>
  <c r="C23" i="47"/>
  <c r="D23" i="47" s="1"/>
  <c r="E23" i="47" s="1"/>
  <c r="F28" i="46" s="1"/>
  <c r="O18" i="47"/>
  <c r="E23" i="46"/>
  <c r="L23" i="47"/>
  <c r="J23" i="47"/>
  <c r="J22" i="47"/>
  <c r="B24" i="47"/>
  <c r="N18" i="47"/>
  <c r="P18" i="47" s="1"/>
  <c r="M19" i="47"/>
  <c r="G21" i="44"/>
  <c r="C25" i="46"/>
  <c r="F22" i="44"/>
  <c r="C26" i="46" s="1"/>
  <c r="D23" i="44"/>
  <c r="E23" i="44"/>
  <c r="B25" i="44"/>
  <c r="C25" i="44" s="1" a="1"/>
  <c r="C25" i="44" s="1"/>
  <c r="F24" i="47" s="1"/>
  <c r="E22" i="48"/>
  <c r="B23" i="48"/>
  <c r="B29" i="46"/>
  <c r="B35" i="36"/>
  <c r="I24" i="47" l="1"/>
  <c r="G24" i="47"/>
  <c r="K24" i="47" s="1"/>
  <c r="C24" i="47"/>
  <c r="H24" i="47"/>
  <c r="L24" i="47" s="1"/>
  <c r="K23" i="47"/>
  <c r="O19" i="47"/>
  <c r="E24" i="46"/>
  <c r="D24" i="47"/>
  <c r="E24" i="47" s="1"/>
  <c r="F29" i="46" s="1"/>
  <c r="B25" i="47"/>
  <c r="N19" i="47"/>
  <c r="P19" i="47" s="1"/>
  <c r="M20" i="47"/>
  <c r="B36" i="42"/>
  <c r="F23" i="44"/>
  <c r="C27" i="46" s="1"/>
  <c r="D24" i="44"/>
  <c r="E24" i="44"/>
  <c r="B26" i="44"/>
  <c r="C26" i="44" s="1" a="1"/>
  <c r="C26" i="44" s="1"/>
  <c r="F25" i="47" s="1"/>
  <c r="G22" i="44"/>
  <c r="E23" i="48"/>
  <c r="B24" i="48"/>
  <c r="B30" i="46"/>
  <c r="H25" i="47" l="1"/>
  <c r="L25" i="47" s="1"/>
  <c r="I25" i="47"/>
  <c r="G25" i="47"/>
  <c r="C25" i="47"/>
  <c r="D25" i="47" s="1"/>
  <c r="E25" i="47" s="1"/>
  <c r="F30" i="46" s="1"/>
  <c r="J24" i="47"/>
  <c r="K25" i="47"/>
  <c r="O20" i="47"/>
  <c r="E25" i="46"/>
  <c r="B26" i="47"/>
  <c r="N20" i="47"/>
  <c r="P20" i="47" s="1"/>
  <c r="M21" i="47"/>
  <c r="D36" i="42"/>
  <c r="B37" i="42"/>
  <c r="E24" i="48"/>
  <c r="B25" i="48"/>
  <c r="D25" i="44"/>
  <c r="E25" i="44"/>
  <c r="B27" i="44"/>
  <c r="C27" i="44" s="1" a="1"/>
  <c r="C27" i="44" s="1"/>
  <c r="F26" i="47" s="1"/>
  <c r="F24" i="44"/>
  <c r="C28" i="46" s="1"/>
  <c r="G23" i="44"/>
  <c r="B31" i="46"/>
  <c r="I26" i="47" l="1"/>
  <c r="G26" i="47"/>
  <c r="K26" i="47" s="1"/>
  <c r="C26" i="47"/>
  <c r="H26" i="47"/>
  <c r="L26" i="47" s="1"/>
  <c r="J25" i="47"/>
  <c r="N21" i="47"/>
  <c r="P21" i="47" s="1"/>
  <c r="E26" i="46"/>
  <c r="J26" i="47"/>
  <c r="D26" i="47"/>
  <c r="E26" i="47" s="1"/>
  <c r="F31" i="46" s="1"/>
  <c r="B27" i="47"/>
  <c r="O21" i="47"/>
  <c r="M22" i="47"/>
  <c r="C62" i="46"/>
  <c r="D62" i="46" s="1"/>
  <c r="C64" i="46"/>
  <c r="D64" i="46" s="1"/>
  <c r="C55" i="46"/>
  <c r="D55" i="46" s="1"/>
  <c r="C53" i="46"/>
  <c r="D53" i="46" s="1"/>
  <c r="C61" i="46"/>
  <c r="D61" i="46" s="1"/>
  <c r="C77" i="46"/>
  <c r="D77" i="46" s="1"/>
  <c r="C56" i="46"/>
  <c r="D56" i="46" s="1"/>
  <c r="C58" i="46"/>
  <c r="D58" i="46" s="1"/>
  <c r="C63" i="46"/>
  <c r="D63" i="46" s="1"/>
  <c r="C57" i="46"/>
  <c r="D57" i="46" s="1"/>
  <c r="C59" i="46"/>
  <c r="D59" i="46" s="1"/>
  <c r="C74" i="46"/>
  <c r="D74" i="46" s="1"/>
  <c r="C60" i="46"/>
  <c r="D60" i="46" s="1"/>
  <c r="C72" i="46"/>
  <c r="D72" i="46" s="1"/>
  <c r="C54" i="46"/>
  <c r="D54" i="46" s="1"/>
  <c r="C73" i="46"/>
  <c r="D73" i="46" s="1"/>
  <c r="C76" i="46"/>
  <c r="D76" i="46" s="1"/>
  <c r="C75" i="46"/>
  <c r="D75" i="46" s="1"/>
  <c r="F37" i="42"/>
  <c r="F38" i="42" s="1"/>
  <c r="D37" i="42"/>
  <c r="D38" i="42" s="1"/>
  <c r="E26" i="44"/>
  <c r="D26" i="44"/>
  <c r="F25" i="44"/>
  <c r="C29" i="46" s="1"/>
  <c r="E25" i="48"/>
  <c r="B26" i="48"/>
  <c r="G24" i="44"/>
  <c r="B28" i="44"/>
  <c r="C28" i="44" s="1" a="1"/>
  <c r="C28" i="44" s="1"/>
  <c r="F27" i="47" s="1"/>
  <c r="B32" i="46"/>
  <c r="H27" i="47" l="1"/>
  <c r="I27" i="47"/>
  <c r="G27" i="47"/>
  <c r="C27" i="47"/>
  <c r="D27" i="47" s="1"/>
  <c r="E27" i="47" s="1"/>
  <c r="F32" i="46" s="1"/>
  <c r="N22" i="47"/>
  <c r="P22" i="47" s="1"/>
  <c r="E27" i="46"/>
  <c r="J27" i="47"/>
  <c r="B28" i="47"/>
  <c r="L27" i="47"/>
  <c r="O22" i="47"/>
  <c r="M23" i="47"/>
  <c r="E28" i="46" s="1"/>
  <c r="E78" i="46"/>
  <c r="C41" i="42"/>
  <c r="F26" i="44"/>
  <c r="C30" i="46" s="1"/>
  <c r="G25" i="44"/>
  <c r="B29" i="44"/>
  <c r="C29" i="44" s="1" a="1"/>
  <c r="C29" i="44" s="1"/>
  <c r="F28" i="47" s="1"/>
  <c r="D27" i="44"/>
  <c r="E27" i="44"/>
  <c r="E26" i="48"/>
  <c r="B27" i="48"/>
  <c r="B33" i="46"/>
  <c r="I28" i="47" l="1"/>
  <c r="G28" i="47"/>
  <c r="C28" i="47"/>
  <c r="H28" i="47"/>
  <c r="L28" i="47" s="1"/>
  <c r="K27" i="47"/>
  <c r="K28" i="47"/>
  <c r="B29" i="47"/>
  <c r="D28" i="47"/>
  <c r="E28" i="47" s="1"/>
  <c r="F33" i="46" s="1"/>
  <c r="G26" i="44"/>
  <c r="N23" i="47"/>
  <c r="P23" i="47" s="1"/>
  <c r="O23" i="47"/>
  <c r="M24" i="47"/>
  <c r="F27" i="44"/>
  <c r="C31" i="46" s="1"/>
  <c r="B30" i="44"/>
  <c r="C30" i="44" s="1" a="1"/>
  <c r="C30" i="44" s="1"/>
  <c r="F29" i="47" s="1"/>
  <c r="D28" i="44"/>
  <c r="E28" i="44"/>
  <c r="E27" i="48"/>
  <c r="B28" i="48"/>
  <c r="B34" i="46"/>
  <c r="H29" i="47" l="1"/>
  <c r="I29" i="47"/>
  <c r="G29" i="47"/>
  <c r="C29" i="47"/>
  <c r="N24" i="47"/>
  <c r="P24" i="47" s="1"/>
  <c r="E29" i="46"/>
  <c r="J28" i="47"/>
  <c r="B30" i="47"/>
  <c r="J29" i="47"/>
  <c r="D29" i="47"/>
  <c r="E29" i="47" s="1"/>
  <c r="F34" i="46" s="1"/>
  <c r="K29" i="47"/>
  <c r="L29" i="47"/>
  <c r="O24" i="47"/>
  <c r="M25" i="47"/>
  <c r="G27" i="44"/>
  <c r="F28" i="44"/>
  <c r="C32" i="46" s="1"/>
  <c r="E28" i="48"/>
  <c r="B29" i="48"/>
  <c r="B31" i="44"/>
  <c r="C31" i="44" s="1" a="1"/>
  <c r="C31" i="44" s="1"/>
  <c r="F30" i="47" s="1"/>
  <c r="E29" i="44"/>
  <c r="D29" i="44"/>
  <c r="B35" i="46"/>
  <c r="B8" i="30"/>
  <c r="I30" i="47" l="1"/>
  <c r="G30" i="47"/>
  <c r="K30" i="47" s="1"/>
  <c r="C30" i="47"/>
  <c r="H30" i="47"/>
  <c r="L30" i="47" s="1"/>
  <c r="O25" i="47"/>
  <c r="E30" i="46"/>
  <c r="B31" i="47"/>
  <c r="D30" i="47"/>
  <c r="E30" i="47" s="1"/>
  <c r="F35" i="46" s="1"/>
  <c r="N25" i="47"/>
  <c r="P25" i="47" s="1"/>
  <c r="M26" i="47"/>
  <c r="E31" i="46" s="1"/>
  <c r="F29" i="44"/>
  <c r="C33" i="46" s="1"/>
  <c r="G28" i="44"/>
  <c r="B32" i="44"/>
  <c r="C32" i="44" s="1" a="1"/>
  <c r="C32" i="44" s="1"/>
  <c r="F31" i="47" s="1"/>
  <c r="E30" i="44"/>
  <c r="D30" i="44"/>
  <c r="E29" i="48"/>
  <c r="B30" i="48"/>
  <c r="B36" i="46"/>
  <c r="B9" i="30"/>
  <c r="B10" i="30" s="1"/>
  <c r="C8" i="30"/>
  <c r="G11" i="46" s="1"/>
  <c r="H31" i="47" l="1"/>
  <c r="L31" i="47" s="1"/>
  <c r="I31" i="47"/>
  <c r="G31" i="47"/>
  <c r="K31" i="47" s="1"/>
  <c r="C31" i="47"/>
  <c r="D31" i="47" s="1"/>
  <c r="E31" i="47" s="1"/>
  <c r="F36" i="46" s="1"/>
  <c r="G29" i="44"/>
  <c r="J30" i="47"/>
  <c r="B32" i="47"/>
  <c r="J31" i="47"/>
  <c r="O26" i="47"/>
  <c r="N26" i="47"/>
  <c r="P26" i="47" s="1"/>
  <c r="M27" i="47"/>
  <c r="F30" i="44"/>
  <c r="C34" i="46" s="1"/>
  <c r="E30" i="48"/>
  <c r="B31" i="48"/>
  <c r="B33" i="44"/>
  <c r="C33" i="44" s="1" a="1"/>
  <c r="C33" i="44" s="1"/>
  <c r="F32" i="47" s="1"/>
  <c r="D31" i="44"/>
  <c r="E31" i="44"/>
  <c r="B11" i="30"/>
  <c r="C10" i="30"/>
  <c r="G13" i="46" s="1"/>
  <c r="B37" i="46"/>
  <c r="C9" i="30"/>
  <c r="G12" i="46" s="1"/>
  <c r="I32" i="47" l="1"/>
  <c r="G32" i="47"/>
  <c r="C32" i="47"/>
  <c r="H32" i="47"/>
  <c r="D32" i="47"/>
  <c r="E32" i="47" s="1"/>
  <c r="F37" i="46" s="1"/>
  <c r="L32" i="47"/>
  <c r="N27" i="47"/>
  <c r="P27" i="47" s="1"/>
  <c r="E32" i="46"/>
  <c r="B33" i="47"/>
  <c r="K32" i="47"/>
  <c r="J32" i="47"/>
  <c r="O27" i="47"/>
  <c r="M28" i="47"/>
  <c r="E33" i="46" s="1"/>
  <c r="G30" i="44"/>
  <c r="F31" i="44"/>
  <c r="C35" i="46" s="1"/>
  <c r="B34" i="44"/>
  <c r="C34" i="44" s="1" a="1"/>
  <c r="C34" i="44" s="1"/>
  <c r="F33" i="47" s="1"/>
  <c r="E31" i="48"/>
  <c r="B32" i="48"/>
  <c r="E32" i="44"/>
  <c r="D32" i="44"/>
  <c r="D10" i="30"/>
  <c r="B12" i="30"/>
  <c r="C11" i="30"/>
  <c r="G14" i="46" s="1"/>
  <c r="B38" i="46"/>
  <c r="H33" i="47" l="1"/>
  <c r="I33" i="47"/>
  <c r="G33" i="47"/>
  <c r="C33" i="47"/>
  <c r="D33" i="47" s="1"/>
  <c r="E33" i="47" s="1"/>
  <c r="F38" i="46" s="1"/>
  <c r="L33" i="47"/>
  <c r="J33" i="47"/>
  <c r="B34" i="47"/>
  <c r="K33" i="47"/>
  <c r="O28" i="47"/>
  <c r="N28" i="47"/>
  <c r="P28" i="47" s="1"/>
  <c r="M29" i="47"/>
  <c r="E32" i="48"/>
  <c r="B33" i="48"/>
  <c r="E33" i="44"/>
  <c r="D33" i="44"/>
  <c r="B35" i="44"/>
  <c r="C35" i="44" s="1" a="1"/>
  <c r="C35" i="44" s="1"/>
  <c r="F34" i="47" s="1"/>
  <c r="F32" i="44"/>
  <c r="C36" i="46" s="1"/>
  <c r="G31" i="44"/>
  <c r="D11" i="30"/>
  <c r="B13" i="30"/>
  <c r="C12" i="30"/>
  <c r="G15" i="46" s="1"/>
  <c r="B39" i="46"/>
  <c r="I34" i="47" l="1"/>
  <c r="G34" i="47"/>
  <c r="K34" i="47" s="1"/>
  <c r="C34" i="47"/>
  <c r="H34" i="47"/>
  <c r="L34" i="47" s="1"/>
  <c r="O29" i="47"/>
  <c r="E34" i="46"/>
  <c r="D34" i="47"/>
  <c r="E34" i="47" s="1"/>
  <c r="F39" i="46" s="1"/>
  <c r="J34" i="47"/>
  <c r="N29" i="47"/>
  <c r="M30" i="47"/>
  <c r="O30" i="47" s="1"/>
  <c r="F33" i="44"/>
  <c r="C37" i="46" s="1"/>
  <c r="P29" i="47"/>
  <c r="G32" i="44"/>
  <c r="D34" i="44"/>
  <c r="E34" i="44"/>
  <c r="D35" i="44"/>
  <c r="E35" i="44"/>
  <c r="E33" i="48"/>
  <c r="B34" i="48"/>
  <c r="E34" i="48" s="1"/>
  <c r="D12" i="30"/>
  <c r="C13" i="30"/>
  <c r="G16" i="46" s="1"/>
  <c r="B14" i="30"/>
  <c r="N30" i="47" l="1"/>
  <c r="P30" i="47" s="1"/>
  <c r="E35" i="46"/>
  <c r="E35" i="48"/>
  <c r="G33" i="44"/>
  <c r="M31" i="47"/>
  <c r="F34" i="44"/>
  <c r="C38" i="46" s="1"/>
  <c r="F35" i="44"/>
  <c r="C39" i="46" s="1"/>
  <c r="D13" i="30"/>
  <c r="B15" i="30"/>
  <c r="C14" i="30"/>
  <c r="G17" i="46" s="1"/>
  <c r="N31" i="47" l="1"/>
  <c r="P31" i="47" s="1"/>
  <c r="E36" i="46"/>
  <c r="O31" i="47"/>
  <c r="M32" i="47"/>
  <c r="G35" i="44"/>
  <c r="G34" i="44"/>
  <c r="B16" i="30"/>
  <c r="C15" i="30"/>
  <c r="G18" i="46" s="1"/>
  <c r="D14" i="30"/>
  <c r="O32" i="47" l="1"/>
  <c r="E37" i="46"/>
  <c r="E35" i="47"/>
  <c r="N32" i="47"/>
  <c r="P32" i="47" s="1"/>
  <c r="M33" i="47"/>
  <c r="M34" i="47"/>
  <c r="G36" i="44"/>
  <c r="D78" i="46"/>
  <c r="C83" i="46" s="1"/>
  <c r="C89" i="46" s="1"/>
  <c r="D15" i="30"/>
  <c r="B17" i="30"/>
  <c r="C16" i="30"/>
  <c r="G19" i="46" s="1"/>
  <c r="N34" i="47" l="1"/>
  <c r="P34" i="47" s="1"/>
  <c r="E39" i="46"/>
  <c r="N33" i="47"/>
  <c r="P33" i="47" s="1"/>
  <c r="P35" i="47" s="1"/>
  <c r="E38" i="46"/>
  <c r="O34" i="47"/>
  <c r="O33" i="47"/>
  <c r="N35" i="47"/>
  <c r="D16" i="30"/>
  <c r="B18" i="30"/>
  <c r="C17" i="30"/>
  <c r="G20" i="46" s="1"/>
  <c r="O35" i="47" l="1"/>
  <c r="D17" i="30"/>
  <c r="B19" i="30"/>
  <c r="C18" i="30"/>
  <c r="G21" i="46" s="1"/>
  <c r="D18" i="30" l="1"/>
  <c r="B20" i="30"/>
  <c r="C19" i="30"/>
  <c r="G22" i="46" s="1"/>
  <c r="E7" i="10"/>
  <c r="E6" i="10"/>
  <c r="E5" i="10"/>
  <c r="D19" i="30" l="1"/>
  <c r="B21" i="30"/>
  <c r="C20" i="30"/>
  <c r="G23" i="46" s="1"/>
  <c r="H14" i="10"/>
  <c r="D20" i="30" l="1"/>
  <c r="B22" i="30"/>
  <c r="C21" i="30"/>
  <c r="G24" i="46" s="1"/>
  <c r="D21" i="30" l="1"/>
  <c r="B23" i="30"/>
  <c r="C22" i="30"/>
  <c r="G25" i="46" s="1"/>
  <c r="D8" i="30"/>
  <c r="D7" i="30"/>
  <c r="D9" i="30"/>
  <c r="D22" i="30" l="1"/>
  <c r="C23" i="30"/>
  <c r="G26" i="46" s="1"/>
  <c r="B24" i="30"/>
  <c r="D23" i="30" l="1"/>
  <c r="C24" i="30"/>
  <c r="G27" i="46" s="1"/>
  <c r="B25" i="30"/>
  <c r="B26" i="30" l="1"/>
  <c r="C25" i="30"/>
  <c r="G28" i="46" s="1"/>
  <c r="D24" i="30"/>
  <c r="D25" i="30" l="1"/>
  <c r="B27" i="30"/>
  <c r="C26" i="30"/>
  <c r="G29" i="46" s="1"/>
  <c r="D26" i="30" l="1"/>
  <c r="C27" i="30"/>
  <c r="G30" i="46" s="1"/>
  <c r="B28" i="30"/>
  <c r="X4" i="36" l="1"/>
  <c r="W4" i="36"/>
  <c r="B29" i="30"/>
  <c r="C28" i="30"/>
  <c r="G31" i="46" s="1"/>
  <c r="D27" i="30"/>
  <c r="W7" i="36" l="1"/>
  <c r="W9" i="36"/>
  <c r="W11" i="36"/>
  <c r="W13" i="36"/>
  <c r="W15" i="36"/>
  <c r="W17" i="36"/>
  <c r="W16" i="36"/>
  <c r="W6" i="36"/>
  <c r="W8" i="36"/>
  <c r="W10" i="36"/>
  <c r="W12" i="36"/>
  <c r="W14" i="36"/>
  <c r="U4" i="36"/>
  <c r="V4" i="36"/>
  <c r="X7" i="36"/>
  <c r="X9" i="36"/>
  <c r="X11" i="36"/>
  <c r="X13" i="36"/>
  <c r="X15" i="36"/>
  <c r="X17" i="36"/>
  <c r="X6" i="36"/>
  <c r="X8" i="36"/>
  <c r="X10" i="36"/>
  <c r="X12" i="36"/>
  <c r="X14" i="36"/>
  <c r="X16" i="36"/>
  <c r="B30" i="30"/>
  <c r="C29" i="30"/>
  <c r="G32" i="46" s="1"/>
  <c r="D28" i="30"/>
  <c r="W18" i="36" l="1"/>
  <c r="N27" i="36" s="1"/>
  <c r="X18" i="36"/>
  <c r="O27" i="36" s="1"/>
  <c r="O28" i="36" s="1"/>
  <c r="U7" i="36"/>
  <c r="U8" i="36"/>
  <c r="U10" i="36"/>
  <c r="U12" i="36"/>
  <c r="U14" i="36"/>
  <c r="U16" i="36"/>
  <c r="U9" i="36"/>
  <c r="U13" i="36"/>
  <c r="U15" i="36"/>
  <c r="U6" i="36"/>
  <c r="U11" i="36"/>
  <c r="U17" i="36"/>
  <c r="V14" i="36"/>
  <c r="V11" i="36"/>
  <c r="V6" i="36"/>
  <c r="V10" i="36"/>
  <c r="V16" i="36"/>
  <c r="V8" i="36"/>
  <c r="V12" i="36"/>
  <c r="V15" i="36"/>
  <c r="V13" i="36"/>
  <c r="V7" i="36"/>
  <c r="V9" i="36"/>
  <c r="V17" i="36"/>
  <c r="C30" i="30"/>
  <c r="G33" i="46" s="1"/>
  <c r="B31" i="30"/>
  <c r="D29" i="30"/>
  <c r="D7" i="36" l="1" a="1"/>
  <c r="D7" i="36" s="1"/>
  <c r="F7" i="36" s="1"/>
  <c r="D9" i="36" a="1"/>
  <c r="D9" i="36" s="1"/>
  <c r="F9" i="36" s="1"/>
  <c r="N28" i="36"/>
  <c r="D13" i="36" a="1"/>
  <c r="D13" i="36" s="1"/>
  <c r="F13" i="36" s="1"/>
  <c r="D10" i="36" a="1"/>
  <c r="D10" i="36" s="1"/>
  <c r="F10" i="36" s="1"/>
  <c r="D32" i="36" a="1"/>
  <c r="D32" i="36" s="1"/>
  <c r="F32" i="36" s="1"/>
  <c r="D14" i="36" a="1"/>
  <c r="D14" i="36" s="1"/>
  <c r="F14" i="36" s="1"/>
  <c r="D11" i="36" a="1"/>
  <c r="D11" i="36" s="1"/>
  <c r="F11" i="36" s="1"/>
  <c r="V18" i="36"/>
  <c r="M27" i="36" s="1"/>
  <c r="M28" i="36" s="1"/>
  <c r="D15" i="36" a="1"/>
  <c r="D15" i="36" s="1"/>
  <c r="F15" i="36" s="1"/>
  <c r="D8" i="36" a="1"/>
  <c r="D8" i="36" s="1"/>
  <c r="F8" i="36" s="1"/>
  <c r="D22" i="36" a="1"/>
  <c r="D22" i="36" s="1"/>
  <c r="F22" i="36" s="1"/>
  <c r="D16" i="36" a="1"/>
  <c r="D16" i="36" s="1"/>
  <c r="F16" i="36" s="1"/>
  <c r="D25" i="36" a="1"/>
  <c r="D25" i="36" s="1"/>
  <c r="F25" i="36" s="1"/>
  <c r="D26" i="36" a="1"/>
  <c r="D26" i="36" s="1"/>
  <c r="F26" i="36" s="1"/>
  <c r="D23" i="36" a="1"/>
  <c r="D23" i="36" s="1"/>
  <c r="F23" i="36" s="1"/>
  <c r="D18" i="36" a="1"/>
  <c r="D18" i="36" s="1"/>
  <c r="F18" i="36" s="1"/>
  <c r="D12" i="36" a="1"/>
  <c r="D12" i="36" s="1"/>
  <c r="F12" i="36" s="1"/>
  <c r="D21" i="36" a="1"/>
  <c r="D21" i="36" s="1"/>
  <c r="F21" i="36" s="1"/>
  <c r="D19" i="36" a="1"/>
  <c r="D19" i="36" s="1"/>
  <c r="F19" i="36" s="1"/>
  <c r="D20" i="36" a="1"/>
  <c r="D20" i="36" s="1"/>
  <c r="F20" i="36" s="1"/>
  <c r="D29" i="36" a="1"/>
  <c r="D29" i="36" s="1"/>
  <c r="F29" i="36" s="1"/>
  <c r="D30" i="36" a="1"/>
  <c r="D30" i="36" s="1"/>
  <c r="F30" i="36" s="1"/>
  <c r="D27" i="36" a="1"/>
  <c r="D27" i="36" s="1"/>
  <c r="F27" i="36" s="1"/>
  <c r="D17" i="36" a="1"/>
  <c r="D17" i="36" s="1"/>
  <c r="F17" i="36" s="1"/>
  <c r="D24" i="36" a="1"/>
  <c r="D24" i="36" s="1"/>
  <c r="F24" i="36" s="1"/>
  <c r="D33" i="36" a="1"/>
  <c r="D33" i="36" s="1"/>
  <c r="F33" i="36" s="1"/>
  <c r="D34" i="36" a="1"/>
  <c r="D34" i="36" s="1"/>
  <c r="F34" i="36" s="1"/>
  <c r="D31" i="36" a="1"/>
  <c r="D31" i="36" s="1"/>
  <c r="F31" i="36" s="1"/>
  <c r="U18" i="36"/>
  <c r="L27" i="36" s="1"/>
  <c r="D28" i="36" a="1"/>
  <c r="D28" i="36" s="1"/>
  <c r="F28" i="36" s="1"/>
  <c r="D6" i="36" a="1"/>
  <c r="D6" i="36" s="1"/>
  <c r="F6" i="36" s="1"/>
  <c r="D35" i="36" a="1"/>
  <c r="D35" i="36" s="1"/>
  <c r="F35" i="36" s="1"/>
  <c r="C31" i="30"/>
  <c r="G34" i="46" s="1"/>
  <c r="B32" i="30"/>
  <c r="D30" i="30"/>
  <c r="L28" i="36" l="1"/>
  <c r="C28" i="36" a="1"/>
  <c r="C28" i="36" s="1"/>
  <c r="E28" i="36" s="1"/>
  <c r="G28" i="36" s="1"/>
  <c r="D32" i="46" s="1"/>
  <c r="J32" i="46" s="1"/>
  <c r="C35" i="36" a="1"/>
  <c r="C35" i="36" s="1"/>
  <c r="E35" i="36" s="1"/>
  <c r="G35" i="36" s="1"/>
  <c r="D39" i="46" s="1"/>
  <c r="L39" i="46" s="1"/>
  <c r="C31" i="36" a="1"/>
  <c r="C31" i="36" s="1"/>
  <c r="E31" i="36" s="1"/>
  <c r="G31" i="36" s="1"/>
  <c r="D35" i="46" s="1"/>
  <c r="C27" i="36" a="1"/>
  <c r="C27" i="36" s="1"/>
  <c r="E27" i="36" s="1"/>
  <c r="G27" i="36" s="1"/>
  <c r="D31" i="46" s="1"/>
  <c r="J31" i="46" s="1"/>
  <c r="C23" i="36" a="1"/>
  <c r="C23" i="36" s="1"/>
  <c r="E23" i="36" s="1"/>
  <c r="G23" i="36" s="1"/>
  <c r="D27" i="46" s="1"/>
  <c r="J27" i="46" s="1"/>
  <c r="C19" i="36" a="1"/>
  <c r="C19" i="36" s="1"/>
  <c r="E19" i="36" s="1"/>
  <c r="G19" i="36" s="1"/>
  <c r="D23" i="46" s="1"/>
  <c r="J23" i="46" s="1"/>
  <c r="C15" i="36" a="1"/>
  <c r="C15" i="36" s="1"/>
  <c r="E15" i="36" s="1"/>
  <c r="G15" i="36" s="1"/>
  <c r="D19" i="46" s="1"/>
  <c r="J19" i="46" s="1"/>
  <c r="C11" i="36" a="1"/>
  <c r="C11" i="36" s="1"/>
  <c r="E11" i="36" s="1"/>
  <c r="G11" i="36" s="1"/>
  <c r="D15" i="46" s="1"/>
  <c r="J15" i="46" s="1"/>
  <c r="C7" i="36" a="1"/>
  <c r="C7" i="36" s="1"/>
  <c r="E7" i="36" s="1"/>
  <c r="G7" i="36" s="1"/>
  <c r="D11" i="46" s="1"/>
  <c r="J11" i="46" s="1"/>
  <c r="C20" i="36" a="1"/>
  <c r="C20" i="36" s="1"/>
  <c r="E20" i="36" s="1"/>
  <c r="G20" i="36" s="1"/>
  <c r="D24" i="46" s="1"/>
  <c r="J24" i="46" s="1"/>
  <c r="C6" i="36" a="1"/>
  <c r="C6" i="36" s="1"/>
  <c r="E6" i="36" s="1"/>
  <c r="G6" i="36" s="1"/>
  <c r="C16" i="36" a="1"/>
  <c r="C16" i="36" s="1"/>
  <c r="E16" i="36" s="1"/>
  <c r="G16" i="36" s="1"/>
  <c r="D20" i="46" s="1"/>
  <c r="J20" i="46" s="1"/>
  <c r="C34" i="36" a="1"/>
  <c r="C34" i="36" s="1"/>
  <c r="E34" i="36" s="1"/>
  <c r="G34" i="36" s="1"/>
  <c r="D38" i="46" s="1"/>
  <c r="C30" i="36" a="1"/>
  <c r="C30" i="36" s="1"/>
  <c r="E30" i="36" s="1"/>
  <c r="G30" i="36" s="1"/>
  <c r="D34" i="46" s="1"/>
  <c r="J34" i="46" s="1"/>
  <c r="C26" i="36" a="1"/>
  <c r="C26" i="36" s="1"/>
  <c r="E26" i="36" s="1"/>
  <c r="G26" i="36" s="1"/>
  <c r="D30" i="46" s="1"/>
  <c r="J30" i="46" s="1"/>
  <c r="C22" i="36" a="1"/>
  <c r="C22" i="36" s="1"/>
  <c r="E22" i="36" s="1"/>
  <c r="G22" i="36" s="1"/>
  <c r="D26" i="46" s="1"/>
  <c r="J26" i="46" s="1"/>
  <c r="C18" i="36" a="1"/>
  <c r="C18" i="36" s="1"/>
  <c r="E18" i="36" s="1"/>
  <c r="G18" i="36" s="1"/>
  <c r="D22" i="46" s="1"/>
  <c r="J22" i="46" s="1"/>
  <c r="C14" i="36" a="1"/>
  <c r="C14" i="36" s="1"/>
  <c r="E14" i="36" s="1"/>
  <c r="G14" i="36" s="1"/>
  <c r="D18" i="46" s="1"/>
  <c r="J18" i="46" s="1"/>
  <c r="C10" i="36" a="1"/>
  <c r="C10" i="36" s="1"/>
  <c r="E10" i="36" s="1"/>
  <c r="G10" i="36" s="1"/>
  <c r="D14" i="46" s="1"/>
  <c r="J14" i="46" s="1"/>
  <c r="C8" i="36" a="1"/>
  <c r="C8" i="36" s="1"/>
  <c r="E8" i="36" s="1"/>
  <c r="G8" i="36" s="1"/>
  <c r="D12" i="46" s="1"/>
  <c r="J12" i="46" s="1"/>
  <c r="C24" i="36" a="1"/>
  <c r="C24" i="36" s="1"/>
  <c r="E24" i="36" s="1"/>
  <c r="G24" i="36" s="1"/>
  <c r="D28" i="46" s="1"/>
  <c r="J28" i="46" s="1"/>
  <c r="C33" i="36" a="1"/>
  <c r="C33" i="36" s="1"/>
  <c r="E33" i="36" s="1"/>
  <c r="G33" i="36" s="1"/>
  <c r="D37" i="46" s="1"/>
  <c r="C29" i="36" a="1"/>
  <c r="C29" i="36" s="1"/>
  <c r="E29" i="36" s="1"/>
  <c r="G29" i="36" s="1"/>
  <c r="D33" i="46" s="1"/>
  <c r="J33" i="46" s="1"/>
  <c r="C25" i="36" a="1"/>
  <c r="C25" i="36" s="1"/>
  <c r="E25" i="36" s="1"/>
  <c r="G25" i="36" s="1"/>
  <c r="D29" i="46" s="1"/>
  <c r="J29" i="46" s="1"/>
  <c r="C21" i="36" a="1"/>
  <c r="C21" i="36" s="1"/>
  <c r="E21" i="36" s="1"/>
  <c r="G21" i="36" s="1"/>
  <c r="D25" i="46" s="1"/>
  <c r="J25" i="46" s="1"/>
  <c r="C17" i="36" a="1"/>
  <c r="C17" i="36" s="1"/>
  <c r="E17" i="36" s="1"/>
  <c r="G17" i="36" s="1"/>
  <c r="D21" i="46" s="1"/>
  <c r="J21" i="46" s="1"/>
  <c r="C13" i="36" a="1"/>
  <c r="C13" i="36" s="1"/>
  <c r="E13" i="36" s="1"/>
  <c r="G13" i="36" s="1"/>
  <c r="D17" i="46" s="1"/>
  <c r="J17" i="46" s="1"/>
  <c r="C9" i="36" a="1"/>
  <c r="C9" i="36" s="1"/>
  <c r="E9" i="36" s="1"/>
  <c r="G9" i="36" s="1"/>
  <c r="D13" i="46" s="1"/>
  <c r="J13" i="46" s="1"/>
  <c r="C12" i="36" a="1"/>
  <c r="C12" i="36" s="1"/>
  <c r="E12" i="36" s="1"/>
  <c r="G12" i="36" s="1"/>
  <c r="D16" i="46" s="1"/>
  <c r="J16" i="46" s="1"/>
  <c r="C32" i="36" a="1"/>
  <c r="C32" i="36" s="1"/>
  <c r="E32" i="36" s="1"/>
  <c r="G32" i="36" s="1"/>
  <c r="D36" i="46" s="1"/>
  <c r="C32" i="30"/>
  <c r="G35" i="46" s="1"/>
  <c r="B33" i="30"/>
  <c r="D31" i="30"/>
  <c r="J35" i="46" l="1"/>
  <c r="H26" i="36"/>
  <c r="H32" i="36"/>
  <c r="H33" i="36"/>
  <c r="H30" i="36"/>
  <c r="H19" i="36"/>
  <c r="H29" i="36"/>
  <c r="H24" i="36"/>
  <c r="H8" i="36"/>
  <c r="H16" i="36"/>
  <c r="H27" i="36"/>
  <c r="H12" i="36"/>
  <c r="H10" i="36"/>
  <c r="D10" i="46"/>
  <c r="J10" i="46" s="1"/>
  <c r="H6" i="36"/>
  <c r="H31" i="36"/>
  <c r="H23" i="36"/>
  <c r="H14" i="36"/>
  <c r="H20" i="36"/>
  <c r="H35" i="36"/>
  <c r="H15" i="36"/>
  <c r="H9" i="36"/>
  <c r="H17" i="36"/>
  <c r="H21" i="36"/>
  <c r="H18" i="36"/>
  <c r="H7" i="36"/>
  <c r="H28" i="36"/>
  <c r="H34" i="36"/>
  <c r="H13" i="36"/>
  <c r="H25" i="36"/>
  <c r="H22" i="36"/>
  <c r="H11" i="36"/>
  <c r="C33" i="30"/>
  <c r="G36" i="46" s="1"/>
  <c r="J36" i="46" s="1"/>
  <c r="B34" i="30"/>
  <c r="D32" i="30"/>
  <c r="L10" i="46" l="1"/>
  <c r="L9" i="46" a="1"/>
  <c r="L9" i="46" s="1"/>
  <c r="M9" i="46" s="1"/>
  <c r="L41" i="46" s="1"/>
  <c r="H36" i="36"/>
  <c r="C34" i="30"/>
  <c r="G37" i="46" s="1"/>
  <c r="J37" i="46" s="1"/>
  <c r="B35" i="30"/>
  <c r="D33" i="30"/>
  <c r="C35" i="30" l="1"/>
  <c r="G38" i="46" s="1"/>
  <c r="J38" i="46" s="1"/>
  <c r="B36" i="30"/>
  <c r="C36" i="30" s="1"/>
  <c r="G39" i="46" s="1"/>
  <c r="J39" i="46" s="1"/>
  <c r="D34" i="30"/>
  <c r="D36" i="30" l="1"/>
  <c r="D35" i="30"/>
  <c r="D37" i="30" l="1"/>
  <c r="K40" i="46" s="1"/>
  <c r="J40" i="46"/>
  <c r="C82" i="46" s="1"/>
  <c r="C88" i="46" s="1"/>
  <c r="C91" i="46" l="1"/>
  <c r="C90" i="46"/>
  <c r="C84" i="46"/>
  <c r="C85" i="4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<sst xmlns="http://schemas.openxmlformats.org/spreadsheetml/2006/main" count="440" uniqueCount="269">
  <si>
    <t>Analysis Year</t>
  </si>
  <si>
    <t>7% Discount</t>
  </si>
  <si>
    <t>Total Benefit</t>
  </si>
  <si>
    <t>NOTES:</t>
  </si>
  <si>
    <t>Initial Capital</t>
  </si>
  <si>
    <t xml:space="preserve">Costs in </t>
  </si>
  <si>
    <t xml:space="preserve">Cost Category </t>
  </si>
  <si>
    <t>Total</t>
  </si>
  <si>
    <t>Remaining</t>
  </si>
  <si>
    <t>Costs in</t>
  </si>
  <si>
    <t>Capital Value</t>
  </si>
  <si>
    <t>Constant Dollars</t>
  </si>
  <si>
    <t xml:space="preserve">in Constant Dollars </t>
  </si>
  <si>
    <t>Total Remaining Capital Value in Constant Dollars</t>
  </si>
  <si>
    <t>RCV = A*(B-C)/B</t>
  </si>
  <si>
    <t>A = (1+r)^n</t>
  </si>
  <si>
    <t>=</t>
  </si>
  <si>
    <t>r = discount rate</t>
  </si>
  <si>
    <t>B = ((1+r)^L-1)/(r(1+r)^L)</t>
  </si>
  <si>
    <t>n = number of years in the analysis period</t>
  </si>
  <si>
    <t>C = ((1+r)^n-1)/(r(1+r)^n)</t>
  </si>
  <si>
    <t>L = expected lifespan of the asset</t>
  </si>
  <si>
    <t>r</t>
  </si>
  <si>
    <t>n</t>
  </si>
  <si>
    <t>L</t>
  </si>
  <si>
    <t>RCV</t>
  </si>
  <si>
    <t>Years of Construction</t>
  </si>
  <si>
    <t>N/A</t>
  </si>
  <si>
    <r>
      <t>Constant Dollars</t>
    </r>
    <r>
      <rPr>
        <b/>
        <vertAlign val="superscript"/>
        <sz val="9"/>
        <rFont val="Calibri"/>
        <family val="2"/>
        <scheme val="minor"/>
      </rPr>
      <t>1</t>
    </r>
  </si>
  <si>
    <r>
      <t>Factor</t>
    </r>
    <r>
      <rPr>
        <b/>
        <vertAlign val="superscript"/>
        <sz val="9"/>
        <rFont val="Calibri"/>
        <family val="2"/>
        <scheme val="minor"/>
      </rPr>
      <t>2</t>
    </r>
  </si>
  <si>
    <t>(7%)</t>
  </si>
  <si>
    <t>STATE OF GOOD REPIAR - CAPITAL COST AND RESIDUAL PROJECT VALUE</t>
  </si>
  <si>
    <r>
      <t>Base RCV in Constant Dollars (7%)</t>
    </r>
    <r>
      <rPr>
        <vertAlign val="superscript"/>
        <sz val="9"/>
        <color theme="1"/>
        <rFont val="Calibri"/>
        <family val="2"/>
        <scheme val="minor"/>
      </rPr>
      <t>2</t>
    </r>
  </si>
  <si>
    <t>BENEFITS</t>
  </si>
  <si>
    <t>COSTS</t>
  </si>
  <si>
    <t>Economic Competitiveness</t>
  </si>
  <si>
    <t>Safety</t>
  </si>
  <si>
    <t>Crash Savings</t>
  </si>
  <si>
    <t>Benefits</t>
  </si>
  <si>
    <t>Costs</t>
  </si>
  <si>
    <t>B/C Ratio</t>
  </si>
  <si>
    <t>7% Discount Total</t>
  </si>
  <si>
    <r>
      <t>Base Capital Cost in Constant Dollars</t>
    </r>
    <r>
      <rPr>
        <vertAlign val="superscript"/>
        <sz val="9"/>
        <color theme="1"/>
        <rFont val="Calibri"/>
        <family val="2"/>
        <scheme val="minor"/>
      </rPr>
      <t>1</t>
    </r>
  </si>
  <si>
    <t>Table 1 - Years of Construction</t>
  </si>
  <si>
    <t>Table 2 - Capital Costs</t>
  </si>
  <si>
    <t>Table 3 - Remaining Capital Value Factors</t>
  </si>
  <si>
    <t>SUMMARY</t>
  </si>
  <si>
    <t>No Build</t>
  </si>
  <si>
    <t>Build</t>
  </si>
  <si>
    <t>Service Life</t>
  </si>
  <si>
    <t>Table 1 - Analysis Timeframe Assumptions</t>
  </si>
  <si>
    <r>
      <t xml:space="preserve">Year of Construction </t>
    </r>
    <r>
      <rPr>
        <vertAlign val="superscript"/>
        <sz val="9"/>
        <rFont val="Calibri"/>
        <family val="2"/>
        <scheme val="minor"/>
      </rPr>
      <t>(1)</t>
    </r>
  </si>
  <si>
    <r>
      <t xml:space="preserve">Duration of Construction </t>
    </r>
    <r>
      <rPr>
        <vertAlign val="superscript"/>
        <sz val="9"/>
        <rFont val="Calibri"/>
        <family val="2"/>
        <scheme val="minor"/>
      </rPr>
      <t>(1)</t>
    </r>
  </si>
  <si>
    <r>
      <t xml:space="preserve">Benefit-Cost First Year of Benefit </t>
    </r>
    <r>
      <rPr>
        <vertAlign val="superscript"/>
        <sz val="9"/>
        <rFont val="Calibri"/>
        <family val="2"/>
        <scheme val="minor"/>
      </rPr>
      <t>(1)</t>
    </r>
  </si>
  <si>
    <t>Benefit-Cost Final Year of Benefit</t>
  </si>
  <si>
    <t>Table 2 - Network Assumptions</t>
  </si>
  <si>
    <t>Table 3 - Global Assumptions and Factors</t>
  </si>
  <si>
    <t>1)</t>
  </si>
  <si>
    <t>SAFETY - CRASH SAVINGS</t>
  </si>
  <si>
    <t>K</t>
  </si>
  <si>
    <t>A</t>
  </si>
  <si>
    <t>B</t>
  </si>
  <si>
    <t>C</t>
  </si>
  <si>
    <t>PDO</t>
  </si>
  <si>
    <t>Right-of-Way</t>
  </si>
  <si>
    <t>Major Structures</t>
  </si>
  <si>
    <t>Grading and Drainage</t>
  </si>
  <si>
    <t>Sub Base and Base</t>
  </si>
  <si>
    <t>Surface</t>
  </si>
  <si>
    <t>Miscellaneous (Sunk)</t>
  </si>
  <si>
    <t>Travel Time Savings</t>
  </si>
  <si>
    <t>2)</t>
  </si>
  <si>
    <t>3)</t>
  </si>
  <si>
    <t>4)</t>
  </si>
  <si>
    <t>5)</t>
  </si>
  <si>
    <t>Composite Cost per Hour</t>
  </si>
  <si>
    <t>Years of Benefit-Cost Analysis Period</t>
  </si>
  <si>
    <t>Aggregate Travel Time Cost</t>
  </si>
  <si>
    <t>Table 4 - Travel Time Cost Saving ($ per person hour)</t>
  </si>
  <si>
    <t>Truck Vehicle Occupancy</t>
  </si>
  <si>
    <t>Truck Percentage</t>
  </si>
  <si>
    <t>Auto Percentage</t>
  </si>
  <si>
    <r>
      <t xml:space="preserve">Table 2 - Fleet Composition </t>
    </r>
    <r>
      <rPr>
        <b/>
        <vertAlign val="superscript"/>
        <sz val="11"/>
        <color theme="1"/>
        <rFont val="Calibri"/>
        <family val="2"/>
        <scheme val="minor"/>
      </rPr>
      <t>2</t>
    </r>
  </si>
  <si>
    <t>Truck Travel Time Cost</t>
  </si>
  <si>
    <r>
      <t xml:space="preserve">Table 1 - Per-mile Travel Time Cost by Mode </t>
    </r>
    <r>
      <rPr>
        <b/>
        <vertAlign val="superscript"/>
        <sz val="11"/>
        <color theme="1"/>
        <rFont val="Calibri"/>
        <family val="2"/>
        <scheme val="minor"/>
      </rPr>
      <t>1</t>
    </r>
  </si>
  <si>
    <t>Travel Time Cost Savings</t>
  </si>
  <si>
    <t>Build Travel Time Cost</t>
  </si>
  <si>
    <t>No Build Travel Time Cost</t>
  </si>
  <si>
    <t>Build Annual VHT</t>
  </si>
  <si>
    <t xml:space="preserve">No Build Annual VHT </t>
  </si>
  <si>
    <t>Entire Network</t>
  </si>
  <si>
    <t>Remaining Capital Value (7%)</t>
  </si>
  <si>
    <t>Scenario</t>
  </si>
  <si>
    <t>Project Cost (7%)</t>
  </si>
  <si>
    <t>Present Value RCV 7% Discount</t>
  </si>
  <si>
    <t>Forecast Traffic Year</t>
  </si>
  <si>
    <r>
      <t xml:space="preserve">Percent Autos </t>
    </r>
    <r>
      <rPr>
        <vertAlign val="superscript"/>
        <sz val="9"/>
        <rFont val="Calibri"/>
        <family val="2"/>
        <scheme val="minor"/>
      </rPr>
      <t>(2)</t>
    </r>
  </si>
  <si>
    <r>
      <t xml:space="preserve">Percent Trucks </t>
    </r>
    <r>
      <rPr>
        <vertAlign val="superscript"/>
        <sz val="9"/>
        <rFont val="Calibri"/>
        <family val="2"/>
        <scheme val="minor"/>
      </rPr>
      <t>(2)</t>
    </r>
  </si>
  <si>
    <r>
      <t xml:space="preserve">Auto Occupancy </t>
    </r>
    <r>
      <rPr>
        <vertAlign val="superscript"/>
        <sz val="9"/>
        <rFont val="Calibri"/>
        <family val="2"/>
        <scheme val="minor"/>
      </rPr>
      <t>(3)</t>
    </r>
  </si>
  <si>
    <r>
      <t xml:space="preserve">Truck Occupancy </t>
    </r>
    <r>
      <rPr>
        <vertAlign val="superscript"/>
        <sz val="9"/>
        <rFont val="Calibri"/>
        <family val="2"/>
        <scheme val="minor"/>
      </rPr>
      <t>(3)</t>
    </r>
  </si>
  <si>
    <r>
      <t xml:space="preserve">Number of Days in a Year </t>
    </r>
    <r>
      <rPr>
        <vertAlign val="superscript"/>
        <sz val="9"/>
        <rFont val="Calibri"/>
        <family val="2"/>
        <scheme val="minor"/>
      </rPr>
      <t>(4)</t>
    </r>
  </si>
  <si>
    <t>All-Purpose Travel Time Cost</t>
  </si>
  <si>
    <t>Passenger Vehicle Occupancy</t>
  </si>
  <si>
    <r>
      <t xml:space="preserve">Value of Time </t>
    </r>
    <r>
      <rPr>
        <vertAlign val="superscript"/>
        <sz val="9"/>
        <rFont val="Calibri"/>
        <family val="2"/>
        <scheme val="minor"/>
      </rPr>
      <t>(5)</t>
    </r>
    <r>
      <rPr>
        <sz val="9"/>
        <rFont val="Calibri"/>
        <family val="2"/>
        <scheme val="minor"/>
      </rPr>
      <t xml:space="preserve"> - All-Purpose Travel</t>
    </r>
  </si>
  <si>
    <r>
      <t xml:space="preserve">Value of Time </t>
    </r>
    <r>
      <rPr>
        <vertAlign val="superscript"/>
        <sz val="9"/>
        <rFont val="Calibri"/>
        <family val="2"/>
        <scheme val="minor"/>
      </rPr>
      <t>(5)</t>
    </r>
    <r>
      <rPr>
        <sz val="9"/>
        <rFont val="Calibri"/>
        <family val="2"/>
        <scheme val="minor"/>
      </rPr>
      <t xml:space="preserve"> - Truck Travel</t>
    </r>
  </si>
  <si>
    <t>Base Year</t>
  </si>
  <si>
    <t>Total (7% Discount)</t>
  </si>
  <si>
    <t>ENVIRONMENTAL SUSTAINABILITY - AIR QUALITY</t>
  </si>
  <si>
    <t>Change in Annual Network VMT</t>
  </si>
  <si>
    <r>
      <t>Change in VOC ($)</t>
    </r>
    <r>
      <rPr>
        <vertAlign val="superscript"/>
        <sz val="9"/>
        <color theme="1"/>
        <rFont val="Calibri"/>
        <family val="2"/>
        <scheme val="minor"/>
      </rPr>
      <t>(2)</t>
    </r>
  </si>
  <si>
    <r>
      <t>Change in PM
($)</t>
    </r>
    <r>
      <rPr>
        <vertAlign val="superscript"/>
        <sz val="9"/>
        <color theme="1"/>
        <rFont val="Calibri"/>
        <family val="2"/>
        <scheme val="minor"/>
      </rPr>
      <t>(2)</t>
    </r>
  </si>
  <si>
    <t>Mode</t>
  </si>
  <si>
    <t>Automobile</t>
  </si>
  <si>
    <t>Trucks</t>
  </si>
  <si>
    <t>ECONOMIC COMPETITIVENESS - OPERATIONAL BENEFITS</t>
  </si>
  <si>
    <t>Total Cost Savings</t>
  </si>
  <si>
    <t>Environmental Sustainability</t>
  </si>
  <si>
    <t>Operations Savings</t>
  </si>
  <si>
    <t>6)</t>
  </si>
  <si>
    <r>
      <t xml:space="preserve">Cost per Mile </t>
    </r>
    <r>
      <rPr>
        <vertAlign val="superscript"/>
        <sz val="9"/>
        <rFont val="Calibri"/>
        <family val="2"/>
        <scheme val="minor"/>
      </rPr>
      <t>(6)</t>
    </r>
    <r>
      <rPr>
        <sz val="9"/>
        <rFont val="Calibri"/>
        <family val="2"/>
        <scheme val="minor"/>
      </rPr>
      <t xml:space="preserve"> - Auto</t>
    </r>
  </si>
  <si>
    <r>
      <t xml:space="preserve">Cost per Mile </t>
    </r>
    <r>
      <rPr>
        <vertAlign val="superscript"/>
        <sz val="9"/>
        <rFont val="Calibri"/>
        <family val="2"/>
        <scheme val="minor"/>
      </rPr>
      <t>(6)</t>
    </r>
    <r>
      <rPr>
        <sz val="9"/>
        <rFont val="Calibri"/>
        <family val="2"/>
        <scheme val="minor"/>
      </rPr>
      <t xml:space="preserve"> - Truck</t>
    </r>
  </si>
  <si>
    <t>Year</t>
  </si>
  <si>
    <t>Change in VMT</t>
  </si>
  <si>
    <t>VHT</t>
  </si>
  <si>
    <t>Table 3 - Vehicle Occupancy</t>
  </si>
  <si>
    <r>
      <t>Yearly Operations Savings for Passenger Vehicles
($)</t>
    </r>
    <r>
      <rPr>
        <vertAlign val="superscript"/>
        <sz val="9"/>
        <color theme="1"/>
        <rFont val="Calibri"/>
        <family val="2"/>
        <scheme val="minor"/>
      </rPr>
      <t>1</t>
    </r>
  </si>
  <si>
    <r>
      <t>Yearly Operations Savings for Commercial Trucks
($)</t>
    </r>
    <r>
      <rPr>
        <vertAlign val="superscript"/>
        <sz val="9"/>
        <color theme="1"/>
        <rFont val="Calibri"/>
        <family val="2"/>
        <scheme val="minor"/>
      </rPr>
      <t>1</t>
    </r>
  </si>
  <si>
    <r>
      <t xml:space="preserve">Table 1 - Pollution Emission by Mode (g/VMT) </t>
    </r>
    <r>
      <rPr>
        <b/>
        <vertAlign val="superscript"/>
        <sz val="11"/>
        <color theme="1"/>
        <rFont val="Calibri"/>
        <family val="2"/>
        <scheme val="minor"/>
      </rPr>
      <t>(1)</t>
    </r>
  </si>
  <si>
    <t>NPV</t>
  </si>
  <si>
    <t>TRAVEL TIME SAVINGS</t>
  </si>
  <si>
    <r>
      <t xml:space="preserve">Yearly Emissions Savings Without Carbon in Current Dollars ($) </t>
    </r>
    <r>
      <rPr>
        <vertAlign val="superscript"/>
        <sz val="9"/>
        <color theme="1"/>
        <rFont val="Calibri"/>
        <family val="2"/>
        <scheme val="minor"/>
      </rPr>
      <t>2</t>
    </r>
  </si>
  <si>
    <t>Peak Hour</t>
  </si>
  <si>
    <t>NBL</t>
  </si>
  <si>
    <t>NBT</t>
  </si>
  <si>
    <t>NBR</t>
  </si>
  <si>
    <t>SBL</t>
  </si>
  <si>
    <t>SBT</t>
  </si>
  <si>
    <t>SBR</t>
  </si>
  <si>
    <t>EBL</t>
  </si>
  <si>
    <t>EBT</t>
  </si>
  <si>
    <t>EBR</t>
  </si>
  <si>
    <t>WBL</t>
  </si>
  <si>
    <t>WBT</t>
  </si>
  <si>
    <t>WBR</t>
  </si>
  <si>
    <t>AM</t>
  </si>
  <si>
    <t>PM</t>
  </si>
  <si>
    <t xml:space="preserve">Capital Costs    </t>
  </si>
  <si>
    <t>AM Peak Hour</t>
  </si>
  <si>
    <t>PM Peak Hour</t>
  </si>
  <si>
    <t>No-Build</t>
  </si>
  <si>
    <t>Table 1 - Existing and Forecast Year Vehicles Entering</t>
  </si>
  <si>
    <t>Table 7 - Crash Cost Savings</t>
  </si>
  <si>
    <r>
      <t xml:space="preserve">Yearly Emissions Savings in Current Dollars ($) </t>
    </r>
    <r>
      <rPr>
        <vertAlign val="superscript"/>
        <sz val="9"/>
        <color theme="1"/>
        <rFont val="Calibri"/>
        <family val="2"/>
        <scheme val="minor"/>
      </rPr>
      <t>(2)</t>
    </r>
  </si>
  <si>
    <t>CO2 Savings Estimations</t>
  </si>
  <si>
    <t>Other Emissions Cost Savings</t>
  </si>
  <si>
    <t>Total (Carbon + Other Emissions)</t>
  </si>
  <si>
    <t xml:space="preserve"> 7%Discounted</t>
  </si>
  <si>
    <t>Conversion Factor</t>
  </si>
  <si>
    <t>Existing Peak Hour Vehicles Entering</t>
  </si>
  <si>
    <r>
      <t>Change in NOx 
($)</t>
    </r>
    <r>
      <rPr>
        <vertAlign val="superscript"/>
        <sz val="9"/>
        <color theme="1"/>
        <rFont val="Calibri"/>
        <family val="2"/>
        <scheme val="minor"/>
      </rPr>
      <t>(2)</t>
    </r>
  </si>
  <si>
    <t>Subtotal</t>
  </si>
  <si>
    <t>Daily Entering Volume</t>
  </si>
  <si>
    <r>
      <t>Annual Bridge Inspection Costs</t>
    </r>
    <r>
      <rPr>
        <vertAlign val="superscript"/>
        <sz val="9"/>
        <color theme="1"/>
        <rFont val="Calibri"/>
        <family val="2"/>
        <scheme val="minor"/>
      </rPr>
      <t>1</t>
    </r>
  </si>
  <si>
    <t>Annual Pavement Maintenance Costs</t>
  </si>
  <si>
    <t>Loop</t>
  </si>
  <si>
    <t>SW ramp</t>
  </si>
  <si>
    <t>South frontage road</t>
  </si>
  <si>
    <t>Connection to Hillside Dr</t>
  </si>
  <si>
    <t>NW ramp</t>
  </si>
  <si>
    <t>NE ramp</t>
  </si>
  <si>
    <t>North frontage road</t>
  </si>
  <si>
    <t>Operation and Maintenance Costs</t>
  </si>
  <si>
    <t>Segment</t>
  </si>
  <si>
    <t>Bridge Inspection Costs</t>
  </si>
  <si>
    <t>Pavement Maintenance Costs</t>
  </si>
  <si>
    <t>Existing Annual Crash Cost</t>
  </si>
  <si>
    <t>Projected Total Crash Reduction</t>
  </si>
  <si>
    <t>Projected Severe Crash Reduction</t>
  </si>
  <si>
    <t>Estimated Annual Crash Cost Savings</t>
  </si>
  <si>
    <t>Additional Road Length (feet)</t>
  </si>
  <si>
    <t>7 w 20-yr</t>
  </si>
  <si>
    <t>7 w 30-yr</t>
  </si>
  <si>
    <t>Existing (2019)</t>
  </si>
  <si>
    <t>Jan</t>
  </si>
  <si>
    <t>Feb</t>
  </si>
  <si>
    <t>Mar</t>
  </si>
  <si>
    <t>Apr</t>
  </si>
  <si>
    <t>May</t>
  </si>
  <si>
    <t>Jun</t>
  </si>
  <si>
    <t>Jul</t>
  </si>
  <si>
    <t>Aug</t>
  </si>
  <si>
    <t>Sep</t>
  </si>
  <si>
    <t>Oct</t>
  </si>
  <si>
    <t>Nov</t>
  </si>
  <si>
    <t>Dec</t>
  </si>
  <si>
    <t>Month</t>
  </si>
  <si>
    <t>Adjustment Factor</t>
  </si>
  <si>
    <t>March VHT</t>
  </si>
  <si>
    <r>
      <t>Change in C02</t>
    </r>
    <r>
      <rPr>
        <vertAlign val="superscript"/>
        <sz val="9"/>
        <color theme="1"/>
        <rFont val="Calibri"/>
        <family val="2"/>
        <scheme val="minor"/>
      </rPr>
      <t>3</t>
    </r>
    <r>
      <rPr>
        <sz val="9"/>
        <color theme="1"/>
        <rFont val="Calibri"/>
        <family val="2"/>
        <scheme val="minor"/>
      </rPr>
      <t xml:space="preserve"> (metric tons)</t>
    </r>
  </si>
  <si>
    <t>Total Construction Months</t>
  </si>
  <si>
    <t>Truck percentage in the project area is estimated based on year 2018 AADT and HCAADT counts performed by MnDOT (https://mndot.maps.arcgis.com/apps/webappviewer/index.html?id=7b3be07daed84e7fa170a91059ce63bb).</t>
  </si>
  <si>
    <t>Existing Year 2019</t>
  </si>
  <si>
    <t>Forecast Year 2040</t>
  </si>
  <si>
    <r>
      <t>Table 5 - Daily VHT Summary</t>
    </r>
    <r>
      <rPr>
        <b/>
        <vertAlign val="superscript"/>
        <sz val="11"/>
        <color theme="1"/>
        <rFont val="Calibri"/>
        <family val="2"/>
        <scheme val="minor"/>
      </rPr>
      <t xml:space="preserve"> 4</t>
    </r>
  </si>
  <si>
    <r>
      <t>Table 6 - Annual VHT Summary</t>
    </r>
    <r>
      <rPr>
        <b/>
        <vertAlign val="superscript"/>
        <sz val="11"/>
        <color theme="1"/>
        <rFont val="Calibri"/>
        <family val="2"/>
        <scheme val="minor"/>
      </rPr>
      <t xml:space="preserve"> 4</t>
    </r>
  </si>
  <si>
    <t>AADTs in project area</t>
  </si>
  <si>
    <t xml:space="preserve">Travel time changes in the US 169/CR 4 study area were captured using Synchro/SimTraffic microsimulation modeling. No Build and Build models were developed for morning, midday, and afternoon peak hours, and analysis was performed for existing year 2019 and year 2040. Year 2019 turn movement counts were used for the existing year analysis, and year 2040 forecast volumes were developed by applying a 20-year growth factor of 1.4 to reflect the overall traffic growth expected in Sherburne County, as stated on page 66 of the Sherburne County Transportation Plan (https://www.co.sherburne.mn.us/DocumentCenter/View/4535/Sherburne-County-Transportation-Plan---Complete) . A higher growth rate of three percent per year is also stated in the Plan. However, the BCA used the lower of the two potential expected growth rates to keep the estimate of benefits conservative. </t>
  </si>
  <si>
    <t>Assumed a 365-day year to account for benefits incurred on weekends and recreational peaks in the project area.</t>
  </si>
  <si>
    <t>To capture travel time estimates in hours outside the morning, midday, and afternoon peak hours, volume-to-travel time relationships were developed and applied in the BCA. StreetLight  data for trips through the US 169/CR 4 intersection was used to identify hour-of-day and month-of-year volume profiles for the entirety of year 2019. Travel time-to-volume curves were developed based on study network entering volume and travel time output from each of the microsimulation modeling scenarios (existing year and forecast year, no build and build).  These curves were used to predict travel time for the remaining 21 hours of the day outside the morning, midday, and afternoon peak hours. Once daily travel time for each modeling scenario was established, monthly adjustment factors for study area traffic volumes were applied based on the annual volume profile obtained from StreetLight. These adjustment factors reflect the number of vehicle trips through the study area relative to the analysis base month of March (month the turn movements counts were collected).</t>
  </si>
  <si>
    <t xml:space="preserve">Benefits for years between existing year 2019 and forecast year 2040 were interpolated based on an annual growth rate, and benefits for years beyond year 2040 were extrapolated using the same annual growth rate. </t>
  </si>
  <si>
    <t>Truck percentage in the project area is estimated based on year 2018 AADT and HCAADT counts provided in the MnDOT Traffic Mapping Application: https://www.dot.state.mn.us/traffic/data/tma.html</t>
  </si>
  <si>
    <t xml:space="preserve">Changes in vehicle miles traveled in the US 169/CR 4 study area were captured using Synchro/SimTraffic microsimulation modeling. No Build and Build models were developed for morning and afternoon peak hours, and analysis was performed for existing year 2019 and year 2040. Year 2019 turn movement counts were used for the existing year analysis, and year 2040 forecast volumes were developed by applying a 20-year growth factor of 1.4 to reflect the overall traffic growth expected in Sherburne County, as stated on page 66 of the Sherburne County Transportation Plan (https://www.co.sherburne.mn.us/DocumentCenter/View/4535/Sherburne-County-Transportation-Plan---Complete) . A higher growth rate of three percent per year is also stated in the Plan. However, the BCA used the lower of the two potential expected growth rates to keep the estimate of benefits conservative. </t>
  </si>
  <si>
    <r>
      <t xml:space="preserve">Existing and Forecast Year Vehicle Miles Traveled </t>
    </r>
    <r>
      <rPr>
        <b/>
        <vertAlign val="superscript"/>
        <sz val="11"/>
        <color rgb="FF000000"/>
        <rFont val="Calibri"/>
        <family val="2"/>
      </rPr>
      <t>3</t>
    </r>
  </si>
  <si>
    <t>Vehicle-Miles Traveled (VMT)</t>
  </si>
  <si>
    <t>Vehicle-Miles Traveled (VMT) - Change</t>
  </si>
  <si>
    <t xml:space="preserve"> BCA SUMMARY - Sherburne County US 169 and CR 4 Interchange</t>
  </si>
  <si>
    <r>
      <t xml:space="preserve">Table 3 - Existing Annual Crashes by Severity (2015-2019) </t>
    </r>
    <r>
      <rPr>
        <b/>
        <vertAlign val="superscript"/>
        <sz val="11"/>
        <color theme="1"/>
        <rFont val="Calibri"/>
        <family val="2"/>
        <scheme val="minor"/>
      </rPr>
      <t>1</t>
    </r>
  </si>
  <si>
    <t>Changes in crashes by severity due to constructing the interchange were calculated using a crash modification factor (CMF) from CMF Clearinghouse: converting at-grade intersection into grade-separated interchange (http://www.cmfclearinghouse.org/study_detail.cfm?stid=13).</t>
  </si>
  <si>
    <t>The safety benefit was quantified for years 2019 and 2040 and interpolated/extrapolated based on an annual growth rate to determine total safety benefits for the period from year 2025 to 2054. Crash cost assumptions for the KABCO scale are consistent with values and methodologies published in the Benefit Cost Analysis Guidance for Discretionary Grant Programs, dated January 2020.</t>
  </si>
  <si>
    <r>
      <t xml:space="preserve">Table 4 - CMF (Crash Modification Factor) </t>
    </r>
    <r>
      <rPr>
        <b/>
        <vertAlign val="superscript"/>
        <sz val="11"/>
        <color theme="1"/>
        <rFont val="Calibri"/>
        <family val="2"/>
        <scheme val="minor"/>
      </rPr>
      <t>2</t>
    </r>
  </si>
  <si>
    <t>Table 2 - Peak Hour Entering Volume</t>
  </si>
  <si>
    <r>
      <t xml:space="preserve">Table 5 - Expected Year 2040 Crashes by Severity </t>
    </r>
    <r>
      <rPr>
        <b/>
        <vertAlign val="superscript"/>
        <sz val="11"/>
        <color theme="1"/>
        <rFont val="Calibri"/>
        <family val="2"/>
        <scheme val="minor"/>
      </rPr>
      <t>3</t>
    </r>
  </si>
  <si>
    <t>Crash Severity</t>
  </si>
  <si>
    <t>CMF</t>
  </si>
  <si>
    <r>
      <t xml:space="preserve">Table 6 - KABCO Cost </t>
    </r>
    <r>
      <rPr>
        <b/>
        <vertAlign val="superscript"/>
        <sz val="11"/>
        <rFont val="Calibri"/>
        <family val="2"/>
        <scheme val="minor"/>
      </rPr>
      <t>4</t>
    </r>
  </si>
  <si>
    <t xml:space="preserve">Annual VMT is expected to be impacted by realignment of US 169 and construction of an interchange and frontage road system. The change in VMT between No Build and Build conditions was obtained from the microsimulation model and applied to emission rates by vehicle type. </t>
  </si>
  <si>
    <t>Routine annual roadway maintenance costs associated with maintaining the additional roadway infrastructure under the Build Alternative were considered in the BCA. An annual maintenance cost of $8,100 per lane mile, which derived from maintenance reports for similar facility types within the Twin Cities metro area, was applied to the length of the new interchange and frontage road pavement. This maintenance cost included costs associated with striping, snow plowing, minor repairs, and shoulder maintenance. An annual cost of $2,000 was also assumed for inspections of the new bridge in the Build Alternative based on recommendations from the MnDOT Bridge Office.</t>
  </si>
  <si>
    <r>
      <t>Change in Annual Vehicle VMT</t>
    </r>
    <r>
      <rPr>
        <vertAlign val="superscript"/>
        <sz val="9"/>
        <color theme="1"/>
        <rFont val="Calibri"/>
        <family val="2"/>
        <scheme val="minor"/>
      </rPr>
      <t>3</t>
    </r>
  </si>
  <si>
    <t>Reduction in the Annual Cost of Crashes</t>
  </si>
  <si>
    <r>
      <t xml:space="preserve">Conversion Factor (converting peak hour VMT to the daily VMT) </t>
    </r>
    <r>
      <rPr>
        <b/>
        <vertAlign val="superscript"/>
        <sz val="11"/>
        <color rgb="FF000000"/>
        <rFont val="Calibri"/>
        <family val="2"/>
      </rPr>
      <t>4</t>
    </r>
  </si>
  <si>
    <t>Inflation from year 2018 to 2019 dollars</t>
  </si>
  <si>
    <t>NOX</t>
  </si>
  <si>
    <t>SO2</t>
  </si>
  <si>
    <t>PM2.5</t>
  </si>
  <si>
    <t>CO2</t>
  </si>
  <si>
    <t>3% Discount</t>
  </si>
  <si>
    <r>
      <t>Air quality (no CO</t>
    </r>
    <r>
      <rPr>
        <vertAlign val="subscript"/>
        <sz val="9"/>
        <color theme="1"/>
        <rFont val="Calibri"/>
        <family val="2"/>
        <scheme val="minor"/>
      </rPr>
      <t>2</t>
    </r>
    <r>
      <rPr>
        <sz val="9"/>
        <color theme="1"/>
        <rFont val="Calibri"/>
        <family val="2"/>
        <scheme val="minor"/>
      </rPr>
      <t>)</t>
    </r>
  </si>
  <si>
    <r>
      <t>CO</t>
    </r>
    <r>
      <rPr>
        <vertAlign val="subscript"/>
        <sz val="9"/>
        <color theme="1"/>
        <rFont val="Calibri"/>
        <family val="2"/>
        <scheme val="minor"/>
      </rPr>
      <t>2</t>
    </r>
    <r>
      <rPr>
        <sz val="9"/>
        <color theme="1"/>
        <rFont val="Calibri"/>
        <family val="2"/>
        <scheme val="minor"/>
      </rPr>
      <t xml:space="preserve"> Discounted at 3%</t>
    </r>
  </si>
  <si>
    <t xml:space="preserve">This analysis assumed that construction would predominantly take place over a two-year period and be completed in 2024. Therefore, year 2025 was assumed to be the first full year that benefits will be accrued from the project. </t>
  </si>
  <si>
    <t>Vehicle occupancy ratios were obtained from Benefit-Cost Analysis Guidance for Discretionary Grant Programs - February 2020. (https://www.transportation.gov/sites/dot.gov/files/2021-02/Benefit%20Cost%20Analysis%20Guidance%202021.pdf)</t>
  </si>
  <si>
    <t>User travel time benefits were valued in accordance with the Benefit-Cost Analysis Guidance for Discretionary Grant Programs - February 2021. The recommended values for travel time were provided in year 2019 dollars.</t>
  </si>
  <si>
    <t>Vehicle operational costs  were valued in accordance with the Benefit-Cost Analysis Guidance for Discretionary Grant Programs - February 2021. The recommended values for travel time were provided in year 2019 dollars.</t>
  </si>
  <si>
    <t>Changes in VMT between the No Build and Build Alternatives were primarily due to the realignment of US 169 and the addition of frontage roads to better service local trips. VMT for each modeling scenario was output from the microsimulation tool and factored to daily estimates by comparing the peak hour entering volumes and Average Annual Daily Traffic volumes obtained from the MnDOT Traffic Mapping Application.</t>
  </si>
  <si>
    <r>
      <t>Change in NOx 
(metric tons)</t>
    </r>
    <r>
      <rPr>
        <vertAlign val="superscript"/>
        <sz val="9"/>
        <color theme="1"/>
        <rFont val="Calibri"/>
        <family val="2"/>
        <scheme val="minor"/>
      </rPr>
      <t>1</t>
    </r>
  </si>
  <si>
    <r>
      <t>Change in SO2
(metric tons)</t>
    </r>
    <r>
      <rPr>
        <vertAlign val="superscript"/>
        <sz val="9"/>
        <color theme="1"/>
        <rFont val="Calibri"/>
        <family val="2"/>
        <scheme val="minor"/>
      </rPr>
      <t>1</t>
    </r>
  </si>
  <si>
    <r>
      <t>Change in PM
(metric tons)</t>
    </r>
    <r>
      <rPr>
        <vertAlign val="superscript"/>
        <sz val="9"/>
        <color theme="1"/>
        <rFont val="Calibri"/>
        <family val="2"/>
        <scheme val="minor"/>
      </rPr>
      <t>1</t>
    </r>
  </si>
  <si>
    <t>Year 2018 Dollars</t>
  </si>
  <si>
    <r>
      <t xml:space="preserve">Remaining capital value factors were calculated using a 7 percent discount rate. These were calculated by following guidance provided in </t>
    </r>
    <r>
      <rPr>
        <i/>
        <sz val="11"/>
        <color theme="1"/>
        <rFont val="Calibri"/>
        <family val="2"/>
        <scheme val="minor"/>
      </rPr>
      <t>Recommended remaining capital value factors for use in benefit-cost analysis in SFY 2021</t>
    </r>
    <r>
      <rPr>
        <sz val="11"/>
        <color theme="1"/>
        <rFont val="Calibri"/>
        <family val="2"/>
        <scheme val="minor"/>
      </rPr>
      <t xml:space="preserve">, Minnesota Department of Transportation, Office of Transportation System Management, July 2020 (http://www.dot.state.mn.us/planning/program/appendix_a.html) (values were adjusted to reflect a 7% discount rate). The equation used to calculate remaining capital factors for each cost category is shown below:
RCV = A*(B-C)/B
where:
A = (1+r)^n
B = ((1+r)^L-1)/(r(1+r)^L)
C = ((1+r)^n-1)/(r(1+r)^n)
and: n = analysis period, r = discount rate, L = service life
</t>
    </r>
  </si>
  <si>
    <t>It was assumed that all capital costs were incurred in years 2023, 2024 and 2025. The total capital cost of the project was divided across these years based on number of months per year of construction. Initial capital costs were discounted back to year 2019 dollars to determine present value.</t>
  </si>
  <si>
    <t>Source Type</t>
  </si>
  <si>
    <t>HPMS Description</t>
  </si>
  <si>
    <t>Auto/Truck</t>
  </si>
  <si>
    <t>Motorcycle</t>
  </si>
  <si>
    <t>Auto</t>
  </si>
  <si>
    <t>Light-Duty Vehicle</t>
  </si>
  <si>
    <t>Buses</t>
  </si>
  <si>
    <t>Truck</t>
  </si>
  <si>
    <t>Single-Unit Truck</t>
  </si>
  <si>
    <t>Combination Truck</t>
  </si>
  <si>
    <r>
      <t xml:space="preserve">Table 2 - Damage Costs for Emissions per metric ton </t>
    </r>
    <r>
      <rPr>
        <b/>
        <vertAlign val="superscript"/>
        <sz val="11"/>
        <color theme="1"/>
        <rFont val="Calibri"/>
        <family val="2"/>
        <scheme val="minor"/>
      </rPr>
      <t>(2)</t>
    </r>
  </si>
  <si>
    <t>Emission costs were obtained from Benefit-Cost Analysis Guidance for Discretionary Grant Programs - February 2021.</t>
  </si>
  <si>
    <t>MOVES Model Output (grams per VMT)</t>
  </si>
  <si>
    <t>*Damage costs for emissions in years beyond 2050 assume costs provided for year 2050.</t>
  </si>
  <si>
    <t>Average emission rates per vehicle type were obtained from the Environmental Protection Agency’s Motor Vehicle Emission Simulator (MOVES) version 3. The change in VMT between No Build and Build conditions was obtained from the microsimulation model and applied to emission rates by vehicle type. Similar adjustments to estimate daily VMT from the peak hour analyses discussed in the Operation Benefits section were applied in the Air Quality analysis.</t>
  </si>
  <si>
    <t>Five-year crash data at the intersection was obtained for years 2015 through 2019 from MnDOT to determine average annual number of crashes by severity. Crash data used in the analysis was limited to pre-COVID conditions to negate the impacts of reduced vehicular travel and other travel pattern shifts present in year 2020.</t>
  </si>
  <si>
    <t xml:space="preserve">Expected number of crashes in year 2040 were calculated by multiplying the existing year crashes by the percent change in traffic between the existing year and forecast year 2040. Forecast year crashes were calculated separately for the No Build and Build Alternatives by applying the CMF. </t>
  </si>
  <si>
    <t>Half-year of year 2055 benefit</t>
  </si>
  <si>
    <t>Half-year of year 2025 benefit</t>
  </si>
  <si>
    <t>Additional NPV if BCA period started in second half of 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</si>
</sst>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 ;\(&quot;$&quot;#,##0\)"/>
    <numFmt numFmtId="167" formatCode="0.00000"/>
    <numFmt numFmtId="168" formatCode="#,##0_);\(#,##0_)"/>
    <numFmt numFmtId="169" formatCode="_(* #,##0_);_(* \(#,##0\);_(* &quot;-&quot;??_);_(@_)"/>
    <numFmt numFmtId="170" formatCode="_(* #,##0.000_);_(* \(#,##0.000\);_(* &quot;-&quot;??_);_(@_)"/>
    <numFmt numFmtId="171" formatCode="&quot;$&quot;#,##0.00"/>
    <numFmt numFmtId="172" formatCode="0.0000"/>
    <numFmt numFmtId="173" formatCode="0.000"/>
    <numFmt numFmtId="174" formatCode="_(* #,##0.0000_);_(* \(#,##0.0000\);_(* &quot;-&quot;??_);_(@_)"/>
    <numFmt numFmtId="175" formatCode="0.0%"/>
    <numFmt numFmtId="176" formatCode="0.0"/>
    <numFmt numFmtId="177" formatCode="#,##0.000"/>
    <numFmt numFmtId="178" formatCode="&quot;$&quot;#,##0.00000_);[Red]\(&quot;$&quot;#,##0.00000\)"/>
    <numFmt numFmtId="179" formatCode="&quot;$&quot;#,##0.0"/>
  </numFmts>
  <fonts count="41"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11"/>
      <color rgb="FFFF0000"/>
      <name val="Calibri"/>
      <family val="2"/>
      <scheme val="minor"/>
    </font>
    <font>
      <b/>
      <sz val="11"/>
      <color theme="1"/>
      <name val="Calibri"/>
      <family val="2"/>
      <scheme val="minor"/>
    </font>
    <font>
      <vertAlign val="superscript"/>
      <sz val="9"/>
      <color theme="1"/>
      <name val="Calibri"/>
      <family val="2"/>
      <scheme val="minor"/>
    </font>
    <font>
      <sz val="11"/>
      <name val="Calibri"/>
      <family val="2"/>
      <scheme val="minor"/>
    </font>
    <font>
      <sz val="10"/>
      <name val="Arial"/>
      <family val="2"/>
    </font>
    <font>
      <b/>
      <sz val="9"/>
      <name val="Calibri"/>
      <family val="2"/>
      <scheme val="minor"/>
    </font>
    <font>
      <b/>
      <sz val="9"/>
      <color indexed="16"/>
      <name val="Calibri"/>
      <family val="2"/>
      <scheme val="minor"/>
    </font>
    <font>
      <sz val="9"/>
      <name val="Calibri"/>
      <family val="2"/>
      <scheme val="minor"/>
    </font>
    <font>
      <b/>
      <i/>
      <sz val="9"/>
      <name val="Calibri"/>
      <family val="2"/>
      <scheme val="minor"/>
    </font>
    <font>
      <b/>
      <vertAlign val="superscript"/>
      <sz val="9"/>
      <name val="Calibri"/>
      <family val="2"/>
      <scheme val="minor"/>
    </font>
    <font>
      <b/>
      <sz val="12"/>
      <color theme="1"/>
      <name val="Calibri"/>
      <family val="2"/>
      <scheme val="minor"/>
    </font>
    <font>
      <sz val="11"/>
      <color theme="0" tint="-0.249977111117893"/>
      <name val="Calibri"/>
      <family val="2"/>
      <scheme val="minor"/>
    </font>
    <font>
      <sz val="9"/>
      <color theme="0" tint="-0.249977111117893"/>
      <name val="Calibri"/>
      <family val="2"/>
      <scheme val="minor"/>
    </font>
    <font>
      <sz val="11"/>
      <name val="Arial Narrow"/>
      <family val="2"/>
    </font>
    <font>
      <b/>
      <sz val="11"/>
      <name val="Calibri"/>
      <family val="2"/>
      <scheme val="minor"/>
    </font>
    <font>
      <b/>
      <sz val="18"/>
      <color theme="1"/>
      <name val="Calibri"/>
      <family val="2"/>
      <scheme val="minor"/>
    </font>
    <font>
      <sz val="9"/>
      <name val="Arial"/>
      <family val="2"/>
    </font>
    <font>
      <i/>
      <sz val="9"/>
      <name val="Calibri"/>
      <family val="2"/>
      <scheme val="minor"/>
    </font>
    <font>
      <b/>
      <sz val="11"/>
      <color rgb="FFFF0000"/>
      <name val="Calibri"/>
      <family val="2"/>
      <scheme val="minor"/>
    </font>
    <font>
      <vertAlign val="superscript"/>
      <sz val="9"/>
      <name val="Calibri"/>
      <family val="2"/>
      <scheme val="minor"/>
    </font>
    <font>
      <b/>
      <u/>
      <sz val="11"/>
      <name val="Calibri"/>
      <family val="2"/>
      <scheme val="minor"/>
    </font>
    <font>
      <b/>
      <sz val="18"/>
      <color rgb="FFFF0000"/>
      <name val="Calibri"/>
      <family val="2"/>
      <scheme val="minor"/>
    </font>
    <font>
      <sz val="9"/>
      <color rgb="FFFF0000"/>
      <name val="Calibri"/>
      <family val="2"/>
      <scheme val="minor"/>
    </font>
    <font>
      <b/>
      <vertAlign val="superscript"/>
      <sz val="11"/>
      <color theme="1"/>
      <name val="Calibri"/>
      <family val="2"/>
      <scheme val="minor"/>
    </font>
    <font>
      <b/>
      <vertAlign val="superscript"/>
      <sz val="11"/>
      <name val="Calibri"/>
      <family val="2"/>
      <scheme val="minor"/>
    </font>
    <font>
      <i/>
      <sz val="11"/>
      <color theme="1"/>
      <name val="Calibri"/>
      <family val="2"/>
      <scheme val="minor"/>
    </font>
    <font>
      <u/>
      <sz val="11"/>
      <color theme="10"/>
      <name val="Calibri"/>
      <family val="2"/>
      <scheme val="minor"/>
    </font>
    <font>
      <sz val="10"/>
      <color theme="1"/>
      <name val="Times New Roman"/>
      <family val="1"/>
    </font>
    <font>
      <sz val="11"/>
      <color theme="1"/>
      <name val="Calibri"/>
      <family val="2"/>
    </font>
    <font>
      <b/>
      <sz val="11"/>
      <color rgb="FF000000"/>
      <name val="Calibri"/>
      <family val="2"/>
    </font>
    <font>
      <sz val="11"/>
      <color rgb="FF000000"/>
      <name val="Calibri"/>
      <family val="2"/>
    </font>
    <font>
      <sz val="22"/>
      <color theme="1"/>
      <name val="Calibri"/>
      <family val="2"/>
      <scheme val="minor"/>
    </font>
    <font>
      <b/>
      <vertAlign val="superscript"/>
      <sz val="11"/>
      <color rgb="FF000000"/>
      <name val="Calibri"/>
      <family val="2"/>
    </font>
    <font>
      <sz val="9"/>
      <color theme="1"/>
      <name val="Franklin Gothic Medium"/>
      <family val="2"/>
    </font>
    <font>
      <sz val="9"/>
      <color theme="1"/>
      <name val="Garamond"/>
      <family val="1"/>
    </font>
    <font>
      <sz val="11"/>
      <color theme="0" tint="-0.499984740745262"/>
      <name val="Calibri"/>
      <family val="2"/>
      <scheme val="minor"/>
    </font>
    <font>
      <vertAlign val="subscript"/>
      <sz val="9"/>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thick">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auto="1"/>
      </right>
      <top/>
      <bottom style="thin">
        <color auto="1"/>
      </bottom>
      <diagonal/>
    </border>
    <border>
      <left/>
      <right style="thin">
        <color auto="1"/>
      </right>
      <top style="thin">
        <color auto="1"/>
      </top>
      <bottom/>
      <diagonal/>
    </border>
  </borders>
  <cellStyleXfs count="139">
    <xf numFmtId="0" fontId="0" fillId="0" borderId="0"/>
    <xf numFmtId="44"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3" fontId="8" fillId="0" borderId="0" applyFont="0" applyFill="0" applyBorder="0" applyAlignment="0" applyProtection="0"/>
    <xf numFmtId="166"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 fillId="0" borderId="0"/>
    <xf numFmtId="0" fontId="17" fillId="0" borderId="0"/>
    <xf numFmtId="9" fontId="1"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cellStyleXfs>
  <cellXfs count="517">
    <xf numFmtId="0" fontId="0" fillId="0" borderId="0" xfId="0"/>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xf numFmtId="0" fontId="3" fillId="0" borderId="0" xfId="0" applyFont="1"/>
    <xf numFmtId="164" fontId="2" fillId="0" borderId="0" xfId="0" applyNumberFormat="1" applyFont="1" applyAlignment="1">
      <alignment horizontal="center"/>
    </xf>
    <xf numFmtId="1" fontId="2" fillId="0" borderId="8" xfId="0" applyNumberFormat="1" applyFont="1" applyBorder="1" applyAlignment="1">
      <alignment horizontal="center"/>
    </xf>
    <xf numFmtId="1" fontId="2" fillId="0" borderId="10" xfId="0" applyNumberFormat="1" applyFont="1" applyBorder="1" applyAlignment="1">
      <alignment horizontal="center"/>
    </xf>
    <xf numFmtId="164" fontId="2" fillId="0" borderId="19" xfId="0" applyNumberFormat="1" applyFont="1" applyBorder="1" applyAlignment="1">
      <alignment horizontal="center"/>
    </xf>
    <xf numFmtId="164" fontId="2" fillId="0" borderId="20" xfId="0" applyNumberFormat="1" applyFont="1" applyBorder="1" applyAlignment="1">
      <alignment horizontal="center"/>
    </xf>
    <xf numFmtId="164" fontId="2" fillId="0" borderId="2" xfId="0" applyNumberFormat="1" applyFont="1" applyBorder="1" applyAlignment="1">
      <alignment horizontal="center"/>
    </xf>
    <xf numFmtId="0" fontId="5" fillId="0" borderId="0" xfId="0" applyFont="1"/>
    <xf numFmtId="0" fontId="0" fillId="0" borderId="0" xfId="0" applyAlignment="1">
      <alignment horizontal="right"/>
    </xf>
    <xf numFmtId="165" fontId="11" fillId="0" borderId="22" xfId="1" applyNumberFormat="1" applyFont="1" applyFill="1" applyBorder="1" applyAlignment="1">
      <alignment horizontal="center"/>
    </xf>
    <xf numFmtId="165" fontId="11" fillId="0" borderId="23" xfId="1" applyNumberFormat="1" applyFont="1" applyFill="1" applyBorder="1" applyAlignment="1">
      <alignment horizontal="center"/>
    </xf>
    <xf numFmtId="165" fontId="11" fillId="0" borderId="24" xfId="1" applyNumberFormat="1" applyFont="1" applyFill="1" applyBorder="1" applyAlignment="1">
      <alignment horizontal="center"/>
    </xf>
    <xf numFmtId="0" fontId="9" fillId="0" borderId="0" xfId="0" applyFont="1" applyFill="1" applyBorder="1" applyAlignment="1">
      <alignment horizontal="left"/>
    </xf>
    <xf numFmtId="165" fontId="11" fillId="0" borderId="25" xfId="1" applyNumberFormat="1" applyFont="1" applyFill="1" applyBorder="1" applyAlignment="1">
      <alignment horizontal="center"/>
    </xf>
    <xf numFmtId="0" fontId="2" fillId="0" borderId="13" xfId="0" applyFont="1" applyBorder="1" applyAlignment="1">
      <alignment horizontal="center" vertical="center" wrapText="1"/>
    </xf>
    <xf numFmtId="164" fontId="2" fillId="0" borderId="18" xfId="0" applyNumberFormat="1" applyFont="1" applyBorder="1" applyAlignment="1">
      <alignment horizontal="center" vertical="center"/>
    </xf>
    <xf numFmtId="0" fontId="0" fillId="0" borderId="0" xfId="0" applyAlignment="1">
      <alignment horizontal="center"/>
    </xf>
    <xf numFmtId="10" fontId="0" fillId="0" borderId="0" xfId="0" applyNumberFormat="1"/>
    <xf numFmtId="8" fontId="2" fillId="0" borderId="6" xfId="0" applyNumberFormat="1" applyFont="1" applyBorder="1" applyAlignment="1">
      <alignment horizontal="center" vertical="center" wrapText="1"/>
    </xf>
    <xf numFmtId="164" fontId="2" fillId="0" borderId="0" xfId="0" applyNumberFormat="1" applyFont="1" applyBorder="1" applyAlignment="1">
      <alignment horizontal="center"/>
    </xf>
    <xf numFmtId="165" fontId="2" fillId="0" borderId="0" xfId="0" applyNumberFormat="1" applyFont="1"/>
    <xf numFmtId="164" fontId="2" fillId="0" borderId="10" xfId="0" applyNumberFormat="1" applyFont="1" applyBorder="1" applyAlignment="1">
      <alignment horizontal="center"/>
    </xf>
    <xf numFmtId="0" fontId="2" fillId="0" borderId="0" xfId="0" applyFont="1" applyBorder="1" applyAlignment="1">
      <alignment horizontal="center"/>
    </xf>
    <xf numFmtId="1" fontId="2" fillId="0" borderId="0" xfId="0" applyNumberFormat="1" applyFont="1" applyBorder="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5" fillId="0" borderId="0" xfId="0" applyFont="1"/>
    <xf numFmtId="164" fontId="16" fillId="0" borderId="0" xfId="0" applyNumberFormat="1" applyFont="1" applyFill="1" applyBorder="1" applyAlignment="1">
      <alignment horizontal="center"/>
    </xf>
    <xf numFmtId="0" fontId="0" fillId="0" borderId="39" xfId="0" applyBorder="1"/>
    <xf numFmtId="0" fontId="5" fillId="2" borderId="42" xfId="0" applyFont="1" applyFill="1" applyBorder="1"/>
    <xf numFmtId="0" fontId="5" fillId="2" borderId="41" xfId="0" applyFont="1" applyFill="1" applyBorder="1"/>
    <xf numFmtId="9" fontId="5" fillId="2" borderId="37" xfId="0" applyNumberFormat="1" applyFont="1" applyFill="1" applyBorder="1" applyAlignment="1">
      <alignment horizontal="center"/>
    </xf>
    <xf numFmtId="0" fontId="0" fillId="0" borderId="0" xfId="0" applyFill="1"/>
    <xf numFmtId="0" fontId="5" fillId="0" borderId="26" xfId="0" applyFont="1" applyFill="1" applyBorder="1"/>
    <xf numFmtId="0" fontId="0" fillId="0" borderId="0" xfId="0" applyFill="1" applyAlignment="1"/>
    <xf numFmtId="0" fontId="5" fillId="0" borderId="0" xfId="0" applyFont="1" applyFill="1"/>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0" xfId="0" applyFont="1" applyFill="1"/>
    <xf numFmtId="0" fontId="0" fillId="0" borderId="0" xfId="0" applyFill="1" applyAlignment="1">
      <alignment horizontal="right"/>
    </xf>
    <xf numFmtId="0" fontId="5" fillId="0" borderId="0" xfId="0" applyFont="1" applyFill="1" applyBorder="1" applyAlignment="1"/>
    <xf numFmtId="0" fontId="0" fillId="0" borderId="0" xfId="0" applyFill="1" applyBorder="1"/>
    <xf numFmtId="0" fontId="0" fillId="0" borderId="0" xfId="0" applyFill="1" applyBorder="1" applyAlignment="1">
      <alignment horizontal="center"/>
    </xf>
    <xf numFmtId="0" fontId="0" fillId="0" borderId="0" xfId="0" applyFill="1" applyAlignment="1">
      <alignment vertical="top" wrapText="1"/>
    </xf>
    <xf numFmtId="0" fontId="5" fillId="0" borderId="0" xfId="0" applyFont="1" applyFill="1" applyBorder="1"/>
    <xf numFmtId="0" fontId="0" fillId="0" borderId="0" xfId="0" applyBorder="1"/>
    <xf numFmtId="1" fontId="0" fillId="0" borderId="0" xfId="0" applyNumberFormat="1" applyFill="1" applyBorder="1"/>
    <xf numFmtId="0" fontId="0" fillId="0" borderId="0" xfId="0" applyFont="1" applyFill="1"/>
    <xf numFmtId="0" fontId="0" fillId="0" borderId="0" xfId="0" applyBorder="1" applyAlignment="1">
      <alignment horizontal="center"/>
    </xf>
    <xf numFmtId="165" fontId="11" fillId="0" borderId="0" xfId="1" applyNumberFormat="1" applyFont="1" applyFill="1" applyBorder="1" applyAlignment="1">
      <alignment horizontal="center"/>
    </xf>
    <xf numFmtId="0" fontId="19" fillId="0" borderId="0" xfId="0" applyFont="1"/>
    <xf numFmtId="168" fontId="21" fillId="0" borderId="0" xfId="2" applyNumberFormat="1" applyFont="1" applyFill="1" applyBorder="1" applyAlignment="1">
      <alignment horizontal="left" vertical="center"/>
    </xf>
    <xf numFmtId="0" fontId="11" fillId="0" borderId="0" xfId="2" applyFont="1" applyFill="1" applyBorder="1" applyAlignment="1">
      <alignment horizontal="left"/>
    </xf>
    <xf numFmtId="0" fontId="11" fillId="0" borderId="0" xfId="2" applyFont="1" applyFill="1" applyBorder="1" applyAlignment="1">
      <alignment horizontal="left" vertical="center"/>
    </xf>
    <xf numFmtId="167" fontId="11" fillId="0" borderId="0" xfId="2" applyNumberFormat="1" applyFont="1" applyFill="1" applyBorder="1" applyAlignment="1">
      <alignment horizontal="left"/>
    </xf>
    <xf numFmtId="0" fontId="9" fillId="0" borderId="0" xfId="2" applyFont="1" applyFill="1" applyBorder="1" applyAlignment="1">
      <alignment horizontal="left"/>
    </xf>
    <xf numFmtId="170" fontId="20" fillId="0" borderId="0" xfId="7" applyNumberFormat="1" applyFont="1" applyFill="1" applyAlignment="1">
      <alignment horizontal="center"/>
    </xf>
    <xf numFmtId="0" fontId="2" fillId="0" borderId="45" xfId="0" applyFont="1" applyFill="1" applyBorder="1" applyAlignment="1">
      <alignment horizontal="center"/>
    </xf>
    <xf numFmtId="6" fontId="2" fillId="0" borderId="0" xfId="0" applyNumberFormat="1" applyFont="1" applyFill="1" applyBorder="1" applyAlignment="1">
      <alignment horizontal="right" indent="1"/>
    </xf>
    <xf numFmtId="0" fontId="20" fillId="0" borderId="0" xfId="0" applyFont="1" applyFill="1" applyAlignment="1">
      <alignment horizontal="right"/>
    </xf>
    <xf numFmtId="0" fontId="22" fillId="0" borderId="0" xfId="0" applyFont="1" applyAlignment="1">
      <alignment horizontal="center"/>
    </xf>
    <xf numFmtId="164" fontId="2" fillId="0" borderId="13" xfId="0" applyNumberFormat="1" applyFont="1" applyBorder="1" applyAlignment="1">
      <alignment horizontal="right" vertical="center" wrapText="1" indent="1"/>
    </xf>
    <xf numFmtId="164" fontId="2" fillId="0" borderId="34" xfId="0" applyNumberFormat="1" applyFont="1" applyBorder="1" applyAlignment="1">
      <alignment horizontal="right" vertical="center" wrapText="1" indent="1"/>
    </xf>
    <xf numFmtId="0" fontId="10" fillId="0" borderId="22" xfId="0" applyFont="1" applyFill="1" applyBorder="1" applyAlignment="1">
      <alignment horizontal="center" vertical="center"/>
    </xf>
    <xf numFmtId="0" fontId="10" fillId="0" borderId="24" xfId="0" applyFont="1" applyFill="1" applyBorder="1" applyAlignment="1">
      <alignment horizontal="center" vertical="center"/>
    </xf>
    <xf numFmtId="0" fontId="9" fillId="0" borderId="24" xfId="2" applyFont="1" applyFill="1" applyBorder="1" applyAlignment="1">
      <alignment horizontal="center" vertical="center"/>
    </xf>
    <xf numFmtId="165" fontId="11" fillId="0" borderId="46" xfId="1" applyNumberFormat="1" applyFont="1" applyFill="1" applyBorder="1" applyAlignment="1">
      <alignment horizontal="center"/>
    </xf>
    <xf numFmtId="165" fontId="11" fillId="0" borderId="28" xfId="1" applyNumberFormat="1" applyFont="1" applyFill="1" applyBorder="1" applyAlignment="1">
      <alignment horizontal="center"/>
    </xf>
    <xf numFmtId="49" fontId="0" fillId="0" borderId="24" xfId="0" applyNumberFormat="1" applyBorder="1" applyAlignment="1">
      <alignment horizontal="center"/>
    </xf>
    <xf numFmtId="0" fontId="9" fillId="0" borderId="0" xfId="2" applyFont="1" applyFill="1" applyBorder="1" applyAlignment="1">
      <alignment horizontal="left" vertical="center"/>
    </xf>
    <xf numFmtId="0" fontId="11" fillId="0" borderId="26" xfId="2" applyFont="1" applyFill="1" applyBorder="1" applyAlignment="1">
      <alignment horizontal="left" vertical="center"/>
    </xf>
    <xf numFmtId="0" fontId="12" fillId="0" borderId="0" xfId="2" applyFont="1" applyFill="1" applyBorder="1" applyAlignment="1">
      <alignment horizontal="left"/>
    </xf>
    <xf numFmtId="0" fontId="9" fillId="0" borderId="26" xfId="2" applyFont="1" applyFill="1" applyBorder="1" applyAlignment="1">
      <alignment horizontal="center" vertical="center"/>
    </xf>
    <xf numFmtId="0" fontId="7" fillId="0" borderId="0" xfId="0" applyFont="1" applyFill="1" applyBorder="1" applyAlignment="1">
      <alignment horizontal="left" vertical="center" wrapText="1"/>
    </xf>
    <xf numFmtId="0" fontId="5" fillId="0" borderId="26" xfId="0" applyFont="1" applyFill="1" applyBorder="1" applyAlignment="1">
      <alignment horizontal="center"/>
    </xf>
    <xf numFmtId="0" fontId="0" fillId="0" borderId="0" xfId="0" applyFill="1" applyAlignment="1">
      <alignment vertical="top"/>
    </xf>
    <xf numFmtId="0" fontId="0" fillId="0" borderId="0" xfId="0" applyFill="1" applyAlignment="1">
      <alignment horizontal="left" vertical="top"/>
    </xf>
    <xf numFmtId="0" fontId="22" fillId="0" borderId="0" xfId="0" applyFont="1" applyFill="1" applyAlignment="1">
      <alignment horizontal="center"/>
    </xf>
    <xf numFmtId="0" fontId="0" fillId="0" borderId="0" xfId="0" applyFill="1" applyBorder="1" applyAlignment="1"/>
    <xf numFmtId="0" fontId="5" fillId="0" borderId="0" xfId="0" applyFont="1" applyFill="1" applyBorder="1" applyAlignment="1">
      <alignment horizontal="center"/>
    </xf>
    <xf numFmtId="1" fontId="0" fillId="0" borderId="0" xfId="0" applyNumberFormat="1" applyFill="1" applyBorder="1" applyAlignment="1">
      <alignment horizontal="center"/>
    </xf>
    <xf numFmtId="2" fontId="0" fillId="0" borderId="0" xfId="0" applyNumberFormat="1" applyFill="1" applyBorder="1" applyAlignment="1">
      <alignment horizontal="center"/>
    </xf>
    <xf numFmtId="0" fontId="4" fillId="0" borderId="0" xfId="0" applyFont="1" applyFill="1"/>
    <xf numFmtId="0" fontId="0" fillId="0" borderId="0" xfId="0" applyFont="1" applyFill="1" applyAlignment="1">
      <alignment vertical="top" wrapText="1"/>
    </xf>
    <xf numFmtId="0" fontId="7" fillId="0" borderId="0" xfId="0" applyFont="1" applyFill="1" applyBorder="1" applyAlignment="1">
      <alignment horizontal="right"/>
    </xf>
    <xf numFmtId="0" fontId="18" fillId="0" borderId="0" xfId="0" applyFont="1" applyFill="1" applyBorder="1" applyAlignment="1">
      <alignment horizontal="right"/>
    </xf>
    <xf numFmtId="0" fontId="7" fillId="0" borderId="0" xfId="2" applyFont="1" applyFill="1" applyBorder="1" applyAlignment="1">
      <alignment horizontal="right"/>
    </xf>
    <xf numFmtId="0" fontId="11" fillId="0" borderId="0" xfId="2" applyFont="1" applyFill="1" applyBorder="1" applyAlignment="1">
      <alignment horizontal="right"/>
    </xf>
    <xf numFmtId="0" fontId="7" fillId="0" borderId="0" xfId="2" applyFont="1" applyFill="1" applyBorder="1" applyAlignment="1">
      <alignment horizontal="left" vertical="top"/>
    </xf>
    <xf numFmtId="167" fontId="24" fillId="0" borderId="0" xfId="2" applyNumberFormat="1" applyFont="1" applyFill="1" applyBorder="1" applyAlignment="1">
      <alignment horizontal="left" vertical="top"/>
    </xf>
    <xf numFmtId="0" fontId="7" fillId="0" borderId="0" xfId="2" applyFont="1" applyFill="1" applyBorder="1" applyAlignment="1">
      <alignment vertical="top" wrapText="1"/>
    </xf>
    <xf numFmtId="0" fontId="7" fillId="0" borderId="0" xfId="2" applyFont="1" applyFill="1" applyBorder="1" applyAlignment="1">
      <alignment horizontal="center" vertical="top" wrapText="1"/>
    </xf>
    <xf numFmtId="0" fontId="26" fillId="0" borderId="0" xfId="2" applyFont="1" applyFill="1" applyBorder="1" applyAlignment="1">
      <alignment horizontal="left"/>
    </xf>
    <xf numFmtId="0" fontId="11" fillId="0" borderId="0" xfId="2" applyFont="1" applyFill="1" applyBorder="1" applyAlignment="1">
      <alignment horizontal="right" vertical="center"/>
    </xf>
    <xf numFmtId="0" fontId="4" fillId="0" borderId="0" xfId="0" applyFont="1"/>
    <xf numFmtId="0" fontId="0" fillId="0" borderId="26" xfId="0" applyFill="1" applyBorder="1" applyAlignment="1">
      <alignment horizontal="left"/>
    </xf>
    <xf numFmtId="10" fontId="11" fillId="0" borderId="0" xfId="2" applyNumberFormat="1" applyFont="1" applyFill="1" applyBorder="1" applyAlignment="1">
      <alignment horizontal="center" vertical="center"/>
    </xf>
    <xf numFmtId="3" fontId="0" fillId="0" borderId="0" xfId="0" applyNumberFormat="1" applyFill="1" applyBorder="1" applyAlignment="1">
      <alignment horizontal="center"/>
    </xf>
    <xf numFmtId="173" fontId="0" fillId="0" borderId="0" xfId="0" applyNumberFormat="1" applyFill="1" applyBorder="1" applyAlignment="1">
      <alignment horizontal="center"/>
    </xf>
    <xf numFmtId="2" fontId="0" fillId="0" borderId="26" xfId="0" applyNumberForma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164" fontId="0" fillId="0" borderId="0" xfId="0" applyNumberFormat="1" applyFont="1" applyFill="1" applyBorder="1" applyAlignment="1">
      <alignment horizontal="center"/>
    </xf>
    <xf numFmtId="176" fontId="0" fillId="0" borderId="26" xfId="0" applyNumberFormat="1" applyFill="1" applyBorder="1" applyAlignment="1">
      <alignment horizontal="center"/>
    </xf>
    <xf numFmtId="0" fontId="0" fillId="0" borderId="0" xfId="0" applyFill="1" applyAlignment="1">
      <alignment horizontal="center"/>
    </xf>
    <xf numFmtId="0" fontId="0" fillId="0" borderId="26" xfId="0" applyFill="1" applyBorder="1" applyAlignment="1">
      <alignment horizontal="center"/>
    </xf>
    <xf numFmtId="0" fontId="5" fillId="0" borderId="0" xfId="0" applyFont="1" applyFill="1" applyBorder="1" applyAlignment="1">
      <alignment horizontal="left"/>
    </xf>
    <xf numFmtId="39" fontId="0" fillId="0" borderId="0" xfId="0" applyNumberFormat="1" applyBorder="1"/>
    <xf numFmtId="39" fontId="0" fillId="0" borderId="0" xfId="0" applyNumberFormat="1"/>
    <xf numFmtId="0" fontId="0" fillId="0" borderId="0" xfId="0" applyAlignment="1">
      <alignment vertical="top" wrapText="1"/>
    </xf>
    <xf numFmtId="0" fontId="0" fillId="0" borderId="0" xfId="0" applyBorder="1" applyAlignment="1">
      <alignment vertical="top" wrapText="1"/>
    </xf>
    <xf numFmtId="0" fontId="0" fillId="0" borderId="0" xfId="0" applyAlignment="1">
      <alignment horizontal="left"/>
    </xf>
    <xf numFmtId="37" fontId="2" fillId="0" borderId="0" xfId="0" applyNumberFormat="1" applyFont="1"/>
    <xf numFmtId="0" fontId="0" fillId="0" borderId="0" xfId="0" applyFont="1" applyFill="1" applyAlignment="1">
      <alignment horizontal="center"/>
    </xf>
    <xf numFmtId="0" fontId="0" fillId="0" borderId="0" xfId="0" applyFill="1" applyBorder="1" applyAlignment="1">
      <alignment horizontal="left"/>
    </xf>
    <xf numFmtId="0" fontId="0" fillId="0" borderId="0" xfId="0" applyFill="1" applyBorder="1" applyAlignment="1">
      <alignment horizontal="center" vertical="top" wrapText="1"/>
    </xf>
    <xf numFmtId="169" fontId="0" fillId="0" borderId="0" xfId="0" applyNumberFormat="1" applyFill="1" applyBorder="1" applyAlignment="1">
      <alignment horizontal="center" vertical="top" wrapText="1"/>
    </xf>
    <xf numFmtId="44" fontId="0" fillId="0" borderId="0" xfId="1" applyFont="1" applyFill="1" applyBorder="1"/>
    <xf numFmtId="43" fontId="0" fillId="0" borderId="0" xfId="0" applyNumberFormat="1" applyFill="1" applyBorder="1" applyAlignment="1">
      <alignment horizontal="center"/>
    </xf>
    <xf numFmtId="169" fontId="0" fillId="0" borderId="0" xfId="0" applyNumberFormat="1" applyFill="1" applyBorder="1" applyAlignment="1">
      <alignment horizontal="center"/>
    </xf>
    <xf numFmtId="0" fontId="0" fillId="0" borderId="26" xfId="0" applyFont="1" applyFill="1" applyBorder="1" applyAlignment="1"/>
    <xf numFmtId="43" fontId="0" fillId="0" borderId="0" xfId="0" applyNumberFormat="1"/>
    <xf numFmtId="3" fontId="0" fillId="0" borderId="0" xfId="137" applyNumberFormat="1" applyFont="1" applyFill="1" applyBorder="1" applyAlignment="1">
      <alignment horizontal="center"/>
    </xf>
    <xf numFmtId="171" fontId="0" fillId="0" borderId="0" xfId="1" applyNumberFormat="1" applyFont="1" applyFill="1" applyBorder="1" applyAlignment="1">
      <alignment horizontal="center"/>
    </xf>
    <xf numFmtId="1" fontId="0" fillId="0" borderId="0" xfId="0" applyNumberFormat="1"/>
    <xf numFmtId="164" fontId="5" fillId="0" borderId="0" xfId="0" applyNumberFormat="1" applyFont="1" applyFill="1" applyBorder="1" applyAlignment="1">
      <alignment horizontal="center"/>
    </xf>
    <xf numFmtId="1" fontId="5" fillId="0" borderId="0" xfId="0" applyNumberFormat="1" applyFont="1" applyFill="1" applyBorder="1" applyAlignment="1">
      <alignment horizontal="center"/>
    </xf>
    <xf numFmtId="175" fontId="0" fillId="0" borderId="0" xfId="137" applyNumberFormat="1" applyFont="1" applyFill="1" applyBorder="1" applyAlignment="1">
      <alignment horizontal="center"/>
    </xf>
    <xf numFmtId="1" fontId="5" fillId="0" borderId="0" xfId="0" applyNumberFormat="1" applyFont="1" applyFill="1" applyBorder="1"/>
    <xf numFmtId="172" fontId="0" fillId="0" borderId="0" xfId="0" applyNumberFormat="1" applyFill="1" applyBorder="1" applyAlignment="1">
      <alignment horizontal="center"/>
    </xf>
    <xf numFmtId="174" fontId="0" fillId="0" borderId="0" xfId="0" applyNumberFormat="1" applyFill="1" applyBorder="1"/>
    <xf numFmtId="164" fontId="0" fillId="0" borderId="0" xfId="0" applyNumberFormat="1" applyFill="1" applyBorder="1"/>
    <xf numFmtId="6" fontId="2" fillId="0" borderId="47" xfId="0" applyNumberFormat="1" applyFont="1" applyFill="1" applyBorder="1" applyAlignment="1">
      <alignment horizontal="right" indent="1"/>
    </xf>
    <xf numFmtId="0" fontId="18" fillId="0" borderId="0" xfId="2" applyFont="1" applyFill="1" applyBorder="1"/>
    <xf numFmtId="0" fontId="5" fillId="0" borderId="0" xfId="0" applyFont="1" applyAlignment="1">
      <alignment horizontal="right"/>
    </xf>
    <xf numFmtId="0" fontId="3" fillId="0" borderId="11" xfId="0" applyFont="1" applyBorder="1" applyAlignment="1">
      <alignment horizontal="center" wrapText="1"/>
    </xf>
    <xf numFmtId="0" fontId="0" fillId="0" borderId="0" xfId="0" applyFill="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horizontal="left" vertical="top" wrapText="1"/>
    </xf>
    <xf numFmtId="0" fontId="0" fillId="0" borderId="0" xfId="0" applyFill="1" applyAlignment="1">
      <alignment horizontal="left" vertical="top" wrapText="1"/>
    </xf>
    <xf numFmtId="0" fontId="5" fillId="0" borderId="22" xfId="0" applyFont="1" applyFill="1" applyBorder="1" applyAlignment="1">
      <alignment horizontal="center"/>
    </xf>
    <xf numFmtId="0" fontId="7" fillId="0" borderId="0" xfId="0" applyFont="1" applyFill="1" applyBorder="1" applyAlignment="1">
      <alignment vertical="top" wrapText="1"/>
    </xf>
    <xf numFmtId="0" fontId="0" fillId="0" borderId="0" xfId="0"/>
    <xf numFmtId="6" fontId="3" fillId="0" borderId="0" xfId="0" applyNumberFormat="1" applyFont="1" applyFill="1" applyAlignment="1">
      <alignment horizontal="right"/>
    </xf>
    <xf numFmtId="164" fontId="0" fillId="2" borderId="44" xfId="0" applyNumberFormat="1" applyFill="1" applyBorder="1" applyAlignment="1">
      <alignment horizontal="center"/>
    </xf>
    <xf numFmtId="164" fontId="0" fillId="2" borderId="40" xfId="0" applyNumberFormat="1" applyFill="1" applyBorder="1" applyAlignment="1">
      <alignment horizontal="center"/>
    </xf>
    <xf numFmtId="0" fontId="9" fillId="3" borderId="0" xfId="2" applyFont="1" applyFill="1" applyBorder="1" applyAlignment="1">
      <alignment horizontal="left" vertical="center"/>
    </xf>
    <xf numFmtId="0" fontId="0" fillId="0" borderId="0" xfId="0" applyFill="1" applyAlignment="1">
      <alignment horizontal="left" vertical="top" wrapText="1"/>
    </xf>
    <xf numFmtId="0" fontId="2" fillId="0" borderId="5"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5" fillId="0" borderId="26" xfId="0" applyFont="1" applyBorder="1"/>
    <xf numFmtId="0" fontId="5" fillId="0" borderId="26" xfId="0" applyFont="1" applyBorder="1" applyAlignment="1">
      <alignment horizontal="center"/>
    </xf>
    <xf numFmtId="0" fontId="5" fillId="0" borderId="26" xfId="0" applyFont="1" applyBorder="1" applyAlignment="1">
      <alignment horizontal="center" vertical="center"/>
    </xf>
    <xf numFmtId="37" fontId="0" fillId="0" borderId="26" xfId="136" applyNumberFormat="1" applyFont="1" applyFill="1" applyBorder="1" applyAlignment="1">
      <alignment horizontal="center"/>
    </xf>
    <xf numFmtId="6" fontId="2" fillId="0" borderId="6" xfId="0" applyNumberFormat="1" applyFont="1" applyBorder="1" applyAlignment="1">
      <alignment horizontal="center" vertical="center" wrapText="1"/>
    </xf>
    <xf numFmtId="6" fontId="2" fillId="0" borderId="0" xfId="0" applyNumberFormat="1" applyFont="1" applyAlignment="1">
      <alignment horizontal="center" vertical="center" wrapText="1"/>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xf>
    <xf numFmtId="0" fontId="12" fillId="0" borderId="0" xfId="0" applyFont="1" applyAlignment="1">
      <alignment horizontal="left"/>
    </xf>
    <xf numFmtId="0" fontId="9" fillId="0" borderId="24" xfId="4" applyFont="1" applyBorder="1" applyAlignment="1">
      <alignment horizontal="center" vertical="center"/>
    </xf>
    <xf numFmtId="2" fontId="11" fillId="0" borderId="22" xfId="0" applyNumberFormat="1" applyFont="1" applyBorder="1" applyAlignment="1">
      <alignment horizontal="center"/>
    </xf>
    <xf numFmtId="2" fontId="11" fillId="0" borderId="24" xfId="0" applyNumberFormat="1" applyFont="1" applyBorder="1" applyAlignment="1">
      <alignment horizontal="center"/>
    </xf>
    <xf numFmtId="165" fontId="2" fillId="0" borderId="0" xfId="0" applyNumberFormat="1" applyFont="1" applyAlignment="1">
      <alignment horizontal="center"/>
    </xf>
    <xf numFmtId="2" fontId="11" fillId="0" borderId="25" xfId="0" applyNumberFormat="1" applyFont="1" applyBorder="1" applyAlignment="1">
      <alignment horizontal="center"/>
    </xf>
    <xf numFmtId="0" fontId="2" fillId="0" borderId="26" xfId="0" applyFont="1" applyBorder="1"/>
    <xf numFmtId="164" fontId="2" fillId="0" borderId="26" xfId="0" applyNumberFormat="1" applyFont="1" applyBorder="1"/>
    <xf numFmtId="0" fontId="0" fillId="0" borderId="0" xfId="0" applyAlignment="1">
      <alignment wrapText="1"/>
    </xf>
    <xf numFmtId="0" fontId="0" fillId="0" borderId="0" xfId="0" applyAlignment="1">
      <alignment horizontal="left" wrapText="1"/>
    </xf>
    <xf numFmtId="0" fontId="2" fillId="0" borderId="5" xfId="0" applyFont="1" applyBorder="1" applyAlignment="1">
      <alignment horizontal="center" vertical="center" wrapText="1"/>
    </xf>
    <xf numFmtId="171" fontId="11" fillId="0" borderId="0" xfId="2" applyNumberFormat="1" applyFont="1" applyFill="1" applyBorder="1" applyAlignment="1">
      <alignment horizontal="left" vertical="center"/>
    </xf>
    <xf numFmtId="0" fontId="30" fillId="0" borderId="0" xfId="138" applyFill="1"/>
    <xf numFmtId="0" fontId="5" fillId="0" borderId="27" xfId="0" applyFont="1" applyBorder="1" applyAlignment="1">
      <alignment horizontal="left"/>
    </xf>
    <xf numFmtId="6" fontId="2" fillId="0" borderId="26" xfId="0" applyNumberFormat="1" applyFont="1" applyBorder="1" applyAlignment="1">
      <alignment horizontal="center"/>
    </xf>
    <xf numFmtId="6" fontId="2" fillId="0" borderId="19" xfId="0" applyNumberFormat="1" applyFont="1" applyBorder="1" applyAlignment="1">
      <alignment horizontal="center"/>
    </xf>
    <xf numFmtId="0" fontId="0" fillId="0" borderId="26" xfId="0" applyBorder="1" applyAlignment="1">
      <alignment horizontal="center" vertical="center"/>
    </xf>
    <xf numFmtId="0" fontId="26" fillId="0" borderId="0" xfId="0" applyFont="1"/>
    <xf numFmtId="6" fontId="3" fillId="0" borderId="0" xfId="0" applyNumberFormat="1" applyFont="1"/>
    <xf numFmtId="0" fontId="0" fillId="0" borderId="0" xfId="0" applyAlignment="1">
      <alignment vertical="top"/>
    </xf>
    <xf numFmtId="6" fontId="2" fillId="0" borderId="44" xfId="0" applyNumberFormat="1" applyFont="1" applyBorder="1" applyAlignment="1">
      <alignment horizontal="center"/>
    </xf>
    <xf numFmtId="6" fontId="2" fillId="0" borderId="14" xfId="0" applyNumberFormat="1" applyFont="1" applyBorder="1" applyAlignment="1">
      <alignment horizontal="center"/>
    </xf>
    <xf numFmtId="6" fontId="2" fillId="0" borderId="43" xfId="0" applyNumberFormat="1" applyFont="1" applyBorder="1" applyAlignment="1">
      <alignment horizontal="right" indent="1"/>
    </xf>
    <xf numFmtId="6" fontId="2" fillId="0" borderId="44" xfId="0" applyNumberFormat="1" applyFont="1" applyBorder="1" applyAlignment="1">
      <alignment horizontal="right" indent="1"/>
    </xf>
    <xf numFmtId="3" fontId="0" fillId="0" borderId="0" xfId="0" applyNumberFormat="1"/>
    <xf numFmtId="6" fontId="2" fillId="0" borderId="0" xfId="0" applyNumberFormat="1" applyFont="1" applyAlignment="1">
      <alignment horizontal="right" indent="1"/>
    </xf>
    <xf numFmtId="0" fontId="0" fillId="0" borderId="0" xfId="0" applyAlignment="1">
      <alignment horizontal="left" vertical="top"/>
    </xf>
    <xf numFmtId="0" fontId="11" fillId="0" borderId="26" xfId="2" applyFont="1" applyBorder="1" applyAlignment="1">
      <alignment horizontal="left" vertical="center"/>
    </xf>
    <xf numFmtId="171" fontId="11" fillId="0" borderId="26" xfId="2" applyNumberFormat="1" applyFont="1" applyBorder="1" applyAlignment="1">
      <alignment horizontal="left" vertical="center"/>
    </xf>
    <xf numFmtId="164" fontId="2" fillId="0" borderId="5" xfId="0" applyNumberFormat="1" applyFont="1" applyBorder="1" applyAlignment="1">
      <alignment horizontal="right" vertical="center" wrapText="1" indent="1"/>
    </xf>
    <xf numFmtId="0" fontId="11" fillId="0" borderId="26" xfId="2" applyFont="1" applyFill="1" applyBorder="1" applyAlignment="1">
      <alignment horizontal="center" vertical="center"/>
    </xf>
    <xf numFmtId="2" fontId="11" fillId="0" borderId="26" xfId="2" applyNumberFormat="1" applyFont="1" applyFill="1" applyBorder="1" applyAlignment="1">
      <alignment horizontal="center" vertical="center"/>
    </xf>
    <xf numFmtId="6" fontId="2" fillId="0" borderId="43" xfId="0" applyNumberFormat="1" applyFont="1" applyFill="1" applyBorder="1" applyAlignment="1">
      <alignment horizontal="right" indent="1"/>
    </xf>
    <xf numFmtId="6" fontId="2" fillId="0" borderId="14" xfId="0" applyNumberFormat="1" applyFont="1" applyFill="1" applyBorder="1" applyAlignment="1">
      <alignment horizontal="right" indent="1"/>
    </xf>
    <xf numFmtId="6" fontId="2" fillId="0" borderId="36" xfId="0" applyNumberFormat="1" applyFont="1" applyFill="1" applyBorder="1" applyAlignment="1">
      <alignment horizontal="right" indent="1"/>
    </xf>
    <xf numFmtId="6" fontId="2" fillId="0" borderId="15" xfId="0" applyNumberFormat="1" applyFont="1" applyFill="1" applyBorder="1" applyAlignment="1">
      <alignment horizontal="right" inden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xf>
    <xf numFmtId="0" fontId="2" fillId="0" borderId="9" xfId="0" applyFont="1" applyFill="1" applyBorder="1" applyAlignment="1">
      <alignment horizontal="center"/>
    </xf>
    <xf numFmtId="6" fontId="2" fillId="0" borderId="45" xfId="0" applyNumberFormat="1" applyFont="1" applyFill="1" applyBorder="1" applyAlignment="1">
      <alignment horizontal="right" indent="1"/>
    </xf>
    <xf numFmtId="6" fontId="2" fillId="0" borderId="12" xfId="0" applyNumberFormat="1" applyFont="1" applyFill="1" applyBorder="1" applyAlignment="1">
      <alignment horizontal="right" indent="1"/>
    </xf>
    <xf numFmtId="171" fontId="0" fillId="0" borderId="26" xfId="0" applyNumberFormat="1" applyFont="1" applyFill="1" applyBorder="1" applyAlignment="1">
      <alignment horizontal="center"/>
    </xf>
    <xf numFmtId="175" fontId="0" fillId="0" borderId="26" xfId="137" applyNumberFormat="1" applyFont="1" applyFill="1" applyBorder="1" applyAlignment="1">
      <alignment horizontal="center"/>
    </xf>
    <xf numFmtId="6" fontId="2" fillId="0" borderId="18" xfId="0" applyNumberFormat="1" applyFont="1" applyFill="1" applyBorder="1" applyAlignment="1">
      <alignment horizontal="right"/>
    </xf>
    <xf numFmtId="6" fontId="2" fillId="0" borderId="19" xfId="0" applyNumberFormat="1" applyFont="1" applyFill="1" applyBorder="1" applyAlignment="1">
      <alignment horizontal="right"/>
    </xf>
    <xf numFmtId="6" fontId="2" fillId="0" borderId="20" xfId="0" applyNumberFormat="1" applyFont="1" applyFill="1" applyBorder="1" applyAlignment="1">
      <alignment horizontal="right"/>
    </xf>
    <xf numFmtId="0" fontId="25" fillId="0" borderId="0" xfId="2" applyFont="1" applyFill="1" applyBorder="1" applyAlignment="1"/>
    <xf numFmtId="171" fontId="11" fillId="0" borderId="26" xfId="2" applyNumberFormat="1" applyFont="1" applyFill="1" applyBorder="1" applyAlignment="1">
      <alignment horizontal="left" vertical="center"/>
    </xf>
    <xf numFmtId="6" fontId="2" fillId="0" borderId="42" xfId="0" applyNumberFormat="1" applyFont="1" applyFill="1" applyBorder="1" applyAlignment="1">
      <alignment horizontal="right" indent="1"/>
    </xf>
    <xf numFmtId="6" fontId="2" fillId="0" borderId="7" xfId="0" applyNumberFormat="1" applyFont="1" applyFill="1" applyBorder="1" applyAlignment="1">
      <alignment horizontal="right" indent="1"/>
    </xf>
    <xf numFmtId="6" fontId="2" fillId="0" borderId="9" xfId="0" applyNumberFormat="1" applyFont="1" applyFill="1" applyBorder="1" applyAlignment="1">
      <alignment horizontal="right" indent="1"/>
    </xf>
    <xf numFmtId="0" fontId="2" fillId="0" borderId="13" xfId="0" applyFont="1" applyFill="1" applyBorder="1" applyAlignment="1">
      <alignment horizontal="center"/>
    </xf>
    <xf numFmtId="6" fontId="2" fillId="0" borderId="13" xfId="0" applyNumberFormat="1" applyFont="1" applyFill="1" applyBorder="1" applyAlignment="1">
      <alignment horizontal="right"/>
    </xf>
    <xf numFmtId="6" fontId="2" fillId="0" borderId="45" xfId="0" applyNumberFormat="1" applyFont="1" applyFill="1" applyBorder="1" applyAlignment="1">
      <alignment horizontal="right"/>
    </xf>
    <xf numFmtId="6" fontId="0" fillId="0" borderId="0" xfId="0" applyNumberFormat="1" applyBorder="1"/>
    <xf numFmtId="164" fontId="2" fillId="0" borderId="13" xfId="0" applyNumberFormat="1" applyFont="1" applyFill="1" applyBorder="1" applyAlignment="1">
      <alignment horizontal="center"/>
    </xf>
    <xf numFmtId="164" fontId="2" fillId="0" borderId="14" xfId="0" applyNumberFormat="1" applyFont="1" applyFill="1" applyBorder="1" applyAlignment="1">
      <alignment horizontal="center"/>
    </xf>
    <xf numFmtId="164" fontId="2" fillId="0" borderId="15" xfId="0" applyNumberFormat="1" applyFont="1" applyFill="1" applyBorder="1" applyAlignment="1">
      <alignment horizontal="center"/>
    </xf>
    <xf numFmtId="0" fontId="0" fillId="0" borderId="0" xfId="0" applyFill="1" applyBorder="1" applyAlignment="1">
      <alignment horizontal="center"/>
    </xf>
    <xf numFmtId="0" fontId="0" fillId="0" borderId="26" xfId="0" applyFont="1" applyFill="1" applyBorder="1" applyAlignment="1">
      <alignment horizontal="center"/>
    </xf>
    <xf numFmtId="0" fontId="9" fillId="0" borderId="22" xfId="0" applyFont="1" applyFill="1" applyBorder="1" applyAlignment="1">
      <alignment horizontal="center" vertical="center"/>
    </xf>
    <xf numFmtId="0" fontId="9" fillId="0" borderId="24" xfId="0" applyFont="1" applyFill="1" applyBorder="1" applyAlignment="1">
      <alignment horizontal="center" vertical="center"/>
    </xf>
    <xf numFmtId="0" fontId="11" fillId="0" borderId="22" xfId="1" applyNumberFormat="1" applyFont="1" applyFill="1" applyBorder="1" applyAlignment="1">
      <alignment horizontal="center"/>
    </xf>
    <xf numFmtId="0" fontId="11" fillId="0" borderId="24" xfId="1" applyNumberFormat="1" applyFont="1" applyFill="1" applyBorder="1" applyAlignment="1">
      <alignment horizontal="center"/>
    </xf>
    <xf numFmtId="0" fontId="11" fillId="0" borderId="25" xfId="1" applyNumberFormat="1" applyFont="1" applyFill="1" applyBorder="1" applyAlignment="1">
      <alignment horizontal="center"/>
    </xf>
    <xf numFmtId="6" fontId="2" fillId="0" borderId="34" xfId="0" applyNumberFormat="1" applyFont="1" applyFill="1" applyBorder="1" applyAlignment="1">
      <alignment horizontal="right" indent="1"/>
    </xf>
    <xf numFmtId="164" fontId="2" fillId="0" borderId="45" xfId="0" applyNumberFormat="1" applyFont="1" applyFill="1" applyBorder="1" applyAlignment="1">
      <alignment horizontal="center"/>
    </xf>
    <xf numFmtId="0" fontId="2" fillId="0" borderId="0" xfId="0" applyFont="1" applyBorder="1" applyAlignment="1">
      <alignment horizontal="center" vertical="center"/>
    </xf>
    <xf numFmtId="6" fontId="2" fillId="0" borderId="0" xfId="0" applyNumberFormat="1" applyFont="1" applyBorder="1" applyAlignment="1">
      <alignment horizontal="right" indent="1"/>
    </xf>
    <xf numFmtId="0" fontId="31" fillId="0" borderId="0" xfId="0" applyFont="1" applyFill="1" applyBorder="1" applyAlignment="1">
      <alignment vertical="top" wrapText="1"/>
    </xf>
    <xf numFmtId="37" fontId="2" fillId="0" borderId="43" xfId="1" applyNumberFormat="1" applyFont="1" applyBorder="1" applyAlignment="1">
      <alignment horizontal="right" indent="1"/>
    </xf>
    <xf numFmtId="6" fontId="2" fillId="0" borderId="26" xfId="136" applyNumberFormat="1" applyFont="1" applyFill="1" applyBorder="1" applyAlignment="1">
      <alignment horizontal="right"/>
    </xf>
    <xf numFmtId="37" fontId="2" fillId="0" borderId="53" xfId="136" applyNumberFormat="1" applyFont="1" applyFill="1" applyBorder="1" applyAlignment="1">
      <alignment horizontal="center"/>
    </xf>
    <xf numFmtId="37" fontId="2" fillId="0" borderId="19" xfId="136" applyNumberFormat="1" applyFont="1" applyFill="1" applyBorder="1" applyAlignment="1">
      <alignment horizontal="center"/>
    </xf>
    <xf numFmtId="37" fontId="2" fillId="0" borderId="35" xfId="136" applyNumberFormat="1" applyFont="1" applyFill="1" applyBorder="1" applyAlignment="1">
      <alignment horizontal="center"/>
    </xf>
    <xf numFmtId="37" fontId="2" fillId="0" borderId="20" xfId="136" applyNumberFormat="1" applyFont="1" applyFill="1" applyBorder="1" applyAlignment="1">
      <alignment horizontal="center"/>
    </xf>
    <xf numFmtId="37" fontId="2" fillId="0" borderId="0" xfId="0" applyNumberFormat="1" applyFont="1" applyBorder="1"/>
    <xf numFmtId="37" fontId="2" fillId="0" borderId="18" xfId="136" applyNumberFormat="1" applyFont="1" applyFill="1" applyBorder="1" applyAlignment="1">
      <alignment horizontal="center"/>
    </xf>
    <xf numFmtId="6" fontId="2" fillId="0" borderId="34" xfId="136" applyNumberFormat="1" applyFont="1" applyFill="1" applyBorder="1" applyAlignment="1">
      <alignment horizontal="right"/>
    </xf>
    <xf numFmtId="6" fontId="2" fillId="0" borderId="51" xfId="136" applyNumberFormat="1" applyFont="1" applyFill="1" applyBorder="1" applyAlignment="1">
      <alignment horizontal="right"/>
    </xf>
    <xf numFmtId="6" fontId="2" fillId="0" borderId="53" xfId="136" applyNumberFormat="1" applyFont="1" applyFill="1" applyBorder="1" applyAlignment="1">
      <alignment horizontal="right"/>
    </xf>
    <xf numFmtId="6" fontId="2" fillId="0" borderId="35" xfId="136" applyNumberFormat="1" applyFont="1" applyFill="1" applyBorder="1" applyAlignment="1">
      <alignment horizontal="right"/>
    </xf>
    <xf numFmtId="6" fontId="2" fillId="0" borderId="52" xfId="136" applyNumberFormat="1" applyFont="1" applyFill="1" applyBorder="1" applyAlignment="1">
      <alignment horizontal="right"/>
    </xf>
    <xf numFmtId="6" fontId="2" fillId="0" borderId="34" xfId="0" applyNumberFormat="1" applyFont="1" applyBorder="1" applyAlignment="1">
      <alignment horizontal="right" indent="1"/>
    </xf>
    <xf numFmtId="6" fontId="2" fillId="0" borderId="18" xfId="0" applyNumberFormat="1" applyFont="1" applyBorder="1" applyAlignment="1">
      <alignment horizontal="right" indent="1"/>
    </xf>
    <xf numFmtId="6" fontId="2" fillId="0" borderId="36" xfId="0" applyNumberFormat="1" applyFont="1" applyBorder="1" applyAlignment="1">
      <alignment horizontal="right" indent="1"/>
    </xf>
    <xf numFmtId="6" fontId="2" fillId="0" borderId="17" xfId="0" applyNumberFormat="1" applyFont="1" applyBorder="1" applyAlignment="1">
      <alignment horizontal="right" indent="1"/>
    </xf>
    <xf numFmtId="164" fontId="0" fillId="0" borderId="26" xfId="0" applyNumberFormat="1" applyFont="1" applyFill="1" applyBorder="1" applyAlignment="1">
      <alignment horizontal="center"/>
    </xf>
    <xf numFmtId="0" fontId="0" fillId="0" borderId="34" xfId="0" applyBorder="1"/>
    <xf numFmtId="0" fontId="9" fillId="0" borderId="58" xfId="0" applyFont="1" applyFill="1" applyBorder="1" applyAlignment="1">
      <alignment horizontal="center" vertical="center"/>
    </xf>
    <xf numFmtId="0" fontId="9" fillId="0" borderId="43" xfId="0" applyFont="1" applyFill="1" applyBorder="1" applyAlignment="1">
      <alignment horizontal="center" vertical="center"/>
    </xf>
    <xf numFmtId="2" fontId="0" fillId="0" borderId="26" xfId="0" applyNumberFormat="1" applyBorder="1"/>
    <xf numFmtId="0" fontId="0" fillId="0" borderId="51" xfId="0" applyBorder="1"/>
    <xf numFmtId="0" fontId="0" fillId="0" borderId="18" xfId="0" applyBorder="1"/>
    <xf numFmtId="0" fontId="0" fillId="0" borderId="53" xfId="0" applyBorder="1"/>
    <xf numFmtId="2" fontId="0" fillId="0" borderId="19" xfId="0" applyNumberFormat="1" applyBorder="1"/>
    <xf numFmtId="0" fontId="0" fillId="0" borderId="35" xfId="0" applyBorder="1"/>
    <xf numFmtId="2" fontId="0" fillId="0" borderId="52" xfId="0" applyNumberFormat="1" applyBorder="1"/>
    <xf numFmtId="2" fontId="0" fillId="0" borderId="20" xfId="0" applyNumberFormat="1" applyBorder="1"/>
    <xf numFmtId="0" fontId="18" fillId="0" borderId="1" xfId="0" applyFont="1" applyBorder="1" applyAlignment="1">
      <alignment horizontal="left"/>
    </xf>
    <xf numFmtId="164" fontId="9" fillId="0" borderId="2" xfId="0" applyNumberFormat="1" applyFont="1" applyBorder="1" applyAlignment="1">
      <alignment horizontal="center"/>
    </xf>
    <xf numFmtId="0" fontId="9" fillId="0" borderId="54" xfId="0" applyFont="1" applyBorder="1" applyAlignment="1">
      <alignment horizontal="center" vertical="center"/>
    </xf>
    <xf numFmtId="0" fontId="9" fillId="0" borderId="58" xfId="0" applyFont="1" applyBorder="1" applyAlignment="1">
      <alignment horizontal="center" vertical="center"/>
    </xf>
    <xf numFmtId="0" fontId="9" fillId="0" borderId="43" xfId="0" applyFont="1" applyBorder="1" applyAlignment="1">
      <alignment horizontal="center" vertical="center"/>
    </xf>
    <xf numFmtId="0" fontId="11" fillId="0" borderId="53" xfId="0" applyFont="1" applyBorder="1" applyAlignment="1">
      <alignment vertical="center"/>
    </xf>
    <xf numFmtId="0" fontId="9" fillId="0" borderId="3" xfId="0" applyFont="1" applyBorder="1" applyAlignment="1">
      <alignment horizontal="left"/>
    </xf>
    <xf numFmtId="0" fontId="9" fillId="0" borderId="4" xfId="0" applyFont="1" applyBorder="1" applyAlignment="1">
      <alignment horizontal="center"/>
    </xf>
    <xf numFmtId="164" fontId="9" fillId="0" borderId="4" xfId="0" applyNumberFormat="1" applyFont="1" applyBorder="1" applyAlignment="1">
      <alignment horizontal="center"/>
    </xf>
    <xf numFmtId="165" fontId="11" fillId="0" borderId="60" xfId="1" applyNumberFormat="1" applyFont="1" applyFill="1" applyBorder="1" applyAlignment="1">
      <alignment horizontal="center"/>
    </xf>
    <xf numFmtId="0" fontId="5" fillId="0" borderId="1" xfId="0" applyFont="1" applyBorder="1"/>
    <xf numFmtId="0" fontId="0" fillId="0" borderId="2" xfId="0" applyBorder="1"/>
    <xf numFmtId="0" fontId="5" fillId="0" borderId="51" xfId="0" applyFont="1" applyBorder="1" applyAlignment="1">
      <alignment horizontal="center"/>
    </xf>
    <xf numFmtId="165" fontId="10" fillId="0" borderId="60" xfId="1" applyNumberFormat="1" applyFont="1" applyFill="1" applyBorder="1" applyAlignment="1" applyProtection="1">
      <alignment vertical="center"/>
    </xf>
    <xf numFmtId="0" fontId="9" fillId="0" borderId="54" xfId="0" applyFont="1" applyFill="1" applyBorder="1" applyAlignment="1">
      <alignment horizontal="center" vertical="center"/>
    </xf>
    <xf numFmtId="0" fontId="11" fillId="0" borderId="7" xfId="0" applyFont="1" applyFill="1" applyBorder="1" applyAlignment="1">
      <alignment vertical="center"/>
    </xf>
    <xf numFmtId="0" fontId="9" fillId="0" borderId="35" xfId="0" applyFont="1" applyFill="1" applyBorder="1" applyAlignment="1">
      <alignment horizontal="left"/>
    </xf>
    <xf numFmtId="169" fontId="0" fillId="0" borderId="0" xfId="136" applyNumberFormat="1" applyFont="1" applyFill="1" applyBorder="1"/>
    <xf numFmtId="43" fontId="0" fillId="0" borderId="0" xfId="0" applyNumberFormat="1" applyFill="1"/>
    <xf numFmtId="175" fontId="0" fillId="0" borderId="0" xfId="137" applyNumberFormat="1" applyFont="1" applyFill="1" applyBorder="1"/>
    <xf numFmtId="2" fontId="0" fillId="0" borderId="26" xfId="137" applyNumberFormat="1" applyFont="1" applyFill="1" applyBorder="1" applyAlignment="1">
      <alignment horizontal="center"/>
    </xf>
    <xf numFmtId="171" fontId="0" fillId="0" borderId="26" xfId="1" applyNumberFormat="1" applyFont="1" applyFill="1" applyBorder="1" applyAlignment="1">
      <alignment horizontal="center"/>
    </xf>
    <xf numFmtId="0" fontId="35" fillId="0" borderId="0" xfId="0" applyFont="1" applyFill="1" applyAlignment="1">
      <alignment vertical="center" wrapText="1"/>
    </xf>
    <xf numFmtId="6" fontId="2" fillId="0" borderId="52" xfId="0" applyNumberFormat="1" applyFont="1" applyBorder="1" applyAlignment="1">
      <alignment horizontal="center"/>
    </xf>
    <xf numFmtId="6" fontId="2" fillId="0" borderId="20" xfId="0" applyNumberFormat="1" applyFont="1" applyBorder="1" applyAlignment="1">
      <alignment horizontal="center"/>
    </xf>
    <xf numFmtId="6" fontId="2" fillId="0" borderId="15" xfId="0" applyNumberFormat="1" applyFont="1" applyBorder="1" applyAlignment="1">
      <alignment horizontal="center"/>
    </xf>
    <xf numFmtId="6" fontId="2" fillId="0" borderId="61" xfId="0" applyNumberFormat="1" applyFont="1" applyBorder="1" applyAlignment="1">
      <alignment horizontal="center"/>
    </xf>
    <xf numFmtId="6" fontId="2" fillId="0" borderId="62" xfId="0" applyNumberFormat="1" applyFont="1" applyBorder="1" applyAlignment="1">
      <alignment horizontal="center"/>
    </xf>
    <xf numFmtId="0" fontId="5" fillId="2" borderId="63" xfId="0" applyFont="1" applyFill="1" applyBorder="1"/>
    <xf numFmtId="0" fontId="5" fillId="2" borderId="35" xfId="0" applyFont="1" applyFill="1" applyBorder="1"/>
    <xf numFmtId="2" fontId="0" fillId="0" borderId="64" xfId="0" applyNumberFormat="1" applyFill="1" applyBorder="1" applyAlignment="1">
      <alignment horizontal="center"/>
    </xf>
    <xf numFmtId="164" fontId="0" fillId="0" borderId="20" xfId="0" applyNumberFormat="1" applyFill="1" applyBorder="1" applyAlignment="1">
      <alignment horizontal="center"/>
    </xf>
    <xf numFmtId="6" fontId="2" fillId="0" borderId="12" xfId="0" applyNumberFormat="1" applyFont="1" applyFill="1" applyBorder="1" applyAlignment="1">
      <alignment horizontal="right"/>
    </xf>
    <xf numFmtId="0" fontId="0" fillId="0" borderId="26" xfId="0" applyBorder="1" applyAlignment="1">
      <alignment horizontal="center"/>
    </xf>
    <xf numFmtId="176" fontId="2" fillId="0" borderId="42" xfId="0" applyNumberFormat="1" applyFont="1" applyBorder="1" applyAlignment="1">
      <alignment horizontal="center"/>
    </xf>
    <xf numFmtId="6" fontId="2" fillId="0" borderId="43" xfId="0" applyNumberFormat="1" applyFont="1" applyBorder="1" applyAlignment="1">
      <alignment horizontal="center"/>
    </xf>
    <xf numFmtId="176" fontId="2" fillId="0" borderId="9" xfId="0" applyNumberFormat="1" applyFont="1" applyBorder="1" applyAlignment="1">
      <alignment horizontal="center"/>
    </xf>
    <xf numFmtId="6" fontId="2" fillId="0" borderId="35" xfId="0" applyNumberFormat="1" applyFont="1" applyBorder="1" applyAlignment="1">
      <alignment horizontal="center"/>
    </xf>
    <xf numFmtId="6" fontId="2" fillId="0" borderId="0" xfId="0" applyNumberFormat="1" applyFont="1" applyAlignment="1">
      <alignment horizontal="center"/>
    </xf>
    <xf numFmtId="0" fontId="33" fillId="0" borderId="47" xfId="0" applyFont="1" applyBorder="1" applyAlignment="1">
      <alignment horizontal="center" vertical="center"/>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34" fillId="0" borderId="30" xfId="0" applyFont="1" applyBorder="1" applyAlignment="1">
      <alignment horizontal="center" vertical="center"/>
    </xf>
    <xf numFmtId="0" fontId="0" fillId="0" borderId="49" xfId="0" applyBorder="1" applyAlignment="1"/>
    <xf numFmtId="0" fontId="0" fillId="0" borderId="0" xfId="0" applyFill="1" applyAlignment="1">
      <alignment horizontal="left" vertical="top" wrapText="1"/>
    </xf>
    <xf numFmtId="0" fontId="0" fillId="0" borderId="0" xfId="0" applyAlignment="1">
      <alignment horizontal="left" vertical="top" wrapText="1"/>
    </xf>
    <xf numFmtId="0" fontId="5" fillId="0" borderId="0" xfId="0" applyFont="1" applyBorder="1" applyAlignment="1">
      <alignment horizontal="center" vertical="center" textRotation="90" wrapText="1"/>
    </xf>
    <xf numFmtId="0" fontId="5" fillId="0" borderId="26" xfId="0" applyFont="1" applyFill="1" applyBorder="1" applyAlignment="1">
      <alignment horizontal="center" vertical="top" wrapText="1"/>
    </xf>
    <xf numFmtId="0" fontId="2" fillId="0" borderId="0" xfId="0" applyFont="1" applyBorder="1"/>
    <xf numFmtId="0" fontId="5" fillId="0" borderId="0" xfId="0" applyFont="1" applyBorder="1" applyAlignment="1">
      <alignment horizontal="center"/>
    </xf>
    <xf numFmtId="164" fontId="0" fillId="0" borderId="0" xfId="0" applyNumberFormat="1" applyBorder="1"/>
    <xf numFmtId="0" fontId="5" fillId="0" borderId="0" xfId="0" applyFont="1" applyBorder="1" applyAlignment="1">
      <alignment horizontal="center" vertical="center"/>
    </xf>
    <xf numFmtId="1" fontId="0" fillId="0" borderId="0" xfId="0" applyNumberFormat="1" applyBorder="1" applyAlignment="1">
      <alignment horizontal="center" vertical="center"/>
    </xf>
    <xf numFmtId="1" fontId="0" fillId="0" borderId="26" xfId="0" applyNumberFormat="1" applyBorder="1" applyAlignment="1">
      <alignment horizontal="center" vertical="center"/>
    </xf>
    <xf numFmtId="0" fontId="0" fillId="0" borderId="26" xfId="0" applyFill="1" applyBorder="1" applyAlignment="1">
      <alignment horizontal="center" vertical="center"/>
    </xf>
    <xf numFmtId="3" fontId="2" fillId="0" borderId="13" xfId="0" applyNumberFormat="1" applyFont="1" applyBorder="1" applyAlignment="1">
      <alignment horizontal="center"/>
    </xf>
    <xf numFmtId="3" fontId="2" fillId="0" borderId="14" xfId="0" applyNumberFormat="1" applyFont="1" applyBorder="1" applyAlignment="1">
      <alignment horizontal="center"/>
    </xf>
    <xf numFmtId="3" fontId="2" fillId="0" borderId="15" xfId="0" applyNumberFormat="1" applyFont="1" applyBorder="1" applyAlignment="1">
      <alignment horizontal="center"/>
    </xf>
    <xf numFmtId="177" fontId="2" fillId="0" borderId="53" xfId="0" applyNumberFormat="1" applyFont="1" applyBorder="1" applyAlignment="1">
      <alignment horizontal="center"/>
    </xf>
    <xf numFmtId="177" fontId="2" fillId="0" borderId="26" xfId="0" applyNumberFormat="1" applyFont="1" applyBorder="1" applyAlignment="1">
      <alignment horizontal="center"/>
    </xf>
    <xf numFmtId="177" fontId="2" fillId="0" borderId="19" xfId="0" applyNumberFormat="1" applyFont="1" applyBorder="1" applyAlignment="1">
      <alignment horizontal="center"/>
    </xf>
    <xf numFmtId="177" fontId="2" fillId="0" borderId="35" xfId="0" applyNumberFormat="1" applyFont="1" applyBorder="1" applyAlignment="1">
      <alignment horizontal="center"/>
    </xf>
    <xf numFmtId="177" fontId="2" fillId="0" borderId="52" xfId="0" applyNumberFormat="1" applyFont="1" applyBorder="1" applyAlignment="1">
      <alignment horizontal="center"/>
    </xf>
    <xf numFmtId="177" fontId="2" fillId="0" borderId="20" xfId="0" applyNumberFormat="1" applyFont="1" applyBorder="1" applyAlignment="1">
      <alignment horizontal="center"/>
    </xf>
    <xf numFmtId="176" fontId="2" fillId="0" borderId="5" xfId="0" applyNumberFormat="1" applyFont="1" applyBorder="1" applyAlignment="1">
      <alignment horizontal="center"/>
    </xf>
    <xf numFmtId="6" fontId="2" fillId="0" borderId="34" xfId="0" applyNumberFormat="1" applyFont="1" applyBorder="1" applyAlignment="1">
      <alignment horizontal="center"/>
    </xf>
    <xf numFmtId="6" fontId="2" fillId="0" borderId="18" xfId="0" applyNumberFormat="1" applyFont="1" applyBorder="1" applyAlignment="1">
      <alignment horizontal="center"/>
    </xf>
    <xf numFmtId="177" fontId="2" fillId="0" borderId="34" xfId="0" applyNumberFormat="1" applyFont="1" applyBorder="1" applyAlignment="1">
      <alignment horizontal="center"/>
    </xf>
    <xf numFmtId="177" fontId="2" fillId="0" borderId="51" xfId="0" applyNumberFormat="1" applyFont="1" applyBorder="1" applyAlignment="1">
      <alignment horizontal="center"/>
    </xf>
    <xf numFmtId="177" fontId="2" fillId="0" borderId="18" xfId="0" applyNumberFormat="1" applyFont="1" applyBorder="1" applyAlignment="1">
      <alignment horizontal="center"/>
    </xf>
    <xf numFmtId="6" fontId="2" fillId="0" borderId="59" xfId="0" applyNumberFormat="1" applyFont="1" applyBorder="1" applyAlignment="1">
      <alignment horizontal="center"/>
    </xf>
    <xf numFmtId="6" fontId="2" fillId="0" borderId="51" xfId="0" applyNumberFormat="1" applyFont="1" applyBorder="1" applyAlignment="1">
      <alignment horizontal="center"/>
    </xf>
    <xf numFmtId="6" fontId="2" fillId="0" borderId="13" xfId="0" applyNumberFormat="1" applyFont="1" applyBorder="1" applyAlignment="1">
      <alignment horizontal="center"/>
    </xf>
    <xf numFmtId="6" fontId="2" fillId="0" borderId="6" xfId="0" applyNumberFormat="1" applyFont="1" applyBorder="1" applyAlignment="1">
      <alignment horizontal="center"/>
    </xf>
    <xf numFmtId="6" fontId="2" fillId="0" borderId="8" xfId="0" applyNumberFormat="1" applyFont="1" applyBorder="1" applyAlignment="1">
      <alignment horizontal="center"/>
    </xf>
    <xf numFmtId="6" fontId="2" fillId="0" borderId="10" xfId="0" applyNumberFormat="1" applyFont="1" applyBorder="1" applyAlignment="1">
      <alignment horizontal="center"/>
    </xf>
    <xf numFmtId="6" fontId="2" fillId="0" borderId="53" xfId="0" applyNumberFormat="1" applyFont="1" applyBorder="1" applyAlignment="1">
      <alignment horizontal="center"/>
    </xf>
    <xf numFmtId="3" fontId="0" fillId="0" borderId="26" xfId="0" applyNumberFormat="1" applyFill="1" applyBorder="1" applyAlignment="1">
      <alignment horizontal="center"/>
    </xf>
    <xf numFmtId="37" fontId="0" fillId="0" borderId="26" xfId="0" applyNumberFormat="1" applyFont="1" applyFill="1" applyBorder="1" applyAlignment="1">
      <alignment horizontal="center"/>
    </xf>
    <xf numFmtId="1" fontId="0" fillId="0" borderId="26" xfId="0" applyNumberFormat="1" applyFont="1" applyFill="1" applyBorder="1" applyAlignment="1">
      <alignment horizontal="center"/>
    </xf>
    <xf numFmtId="1" fontId="0" fillId="0" borderId="26" xfId="0" applyNumberFormat="1" applyFill="1" applyBorder="1" applyAlignment="1">
      <alignment horizontal="center"/>
    </xf>
    <xf numFmtId="178" fontId="2" fillId="0" borderId="0" xfId="0" applyNumberFormat="1" applyFont="1" applyBorder="1" applyAlignment="1">
      <alignment horizontal="right" indent="1"/>
    </xf>
    <xf numFmtId="0" fontId="0" fillId="0" borderId="0" xfId="0" applyFill="1" applyBorder="1" applyAlignment="1">
      <alignment horizontal="center" vertical="center"/>
    </xf>
    <xf numFmtId="175" fontId="11" fillId="0" borderId="26" xfId="2" applyNumberFormat="1" applyFont="1" applyFill="1" applyBorder="1" applyAlignment="1">
      <alignment horizontal="center" vertical="center"/>
    </xf>
    <xf numFmtId="0" fontId="0" fillId="0" borderId="26" xfId="0" applyFont="1" applyFill="1" applyBorder="1" applyAlignment="1">
      <alignment horizontal="center"/>
    </xf>
    <xf numFmtId="0" fontId="0" fillId="0" borderId="0" xfId="0" applyFill="1" applyAlignment="1">
      <alignment horizontal="left" vertical="top" wrapText="1"/>
    </xf>
    <xf numFmtId="37" fontId="2" fillId="0" borderId="15" xfId="1" applyNumberFormat="1" applyFont="1" applyBorder="1" applyAlignment="1">
      <alignment horizontal="right" indent="1"/>
    </xf>
    <xf numFmtId="37" fontId="2" fillId="0" borderId="34" xfId="136" applyNumberFormat="1" applyFont="1" applyFill="1" applyBorder="1" applyAlignment="1">
      <alignment horizontal="center"/>
    </xf>
    <xf numFmtId="6" fontId="2" fillId="0" borderId="47" xfId="0" applyNumberFormat="1" applyFont="1" applyBorder="1" applyAlignment="1">
      <alignment horizontal="right" indent="1"/>
    </xf>
    <xf numFmtId="0" fontId="33" fillId="0" borderId="26" xfId="0" applyFont="1" applyFill="1" applyBorder="1" applyAlignment="1">
      <alignment horizontal="center" vertical="center" wrapText="1"/>
    </xf>
    <xf numFmtId="0" fontId="33" fillId="0" borderId="26" xfId="0" applyFont="1" applyBorder="1" applyAlignment="1">
      <alignment horizontal="center" vertical="center" wrapText="1"/>
    </xf>
    <xf numFmtId="0" fontId="34" fillId="0" borderId="26" xfId="0" applyFont="1" applyBorder="1" applyAlignment="1">
      <alignment horizontal="center" vertical="center" wrapText="1"/>
    </xf>
    <xf numFmtId="3" fontId="32" fillId="0" borderId="26" xfId="0" applyNumberFormat="1" applyFont="1" applyBorder="1" applyAlignment="1">
      <alignment horizontal="right" vertical="center" wrapText="1"/>
    </xf>
    <xf numFmtId="0" fontId="33" fillId="0" borderId="0" xfId="0" applyFont="1" applyFill="1" applyBorder="1" applyAlignment="1">
      <alignment horizontal="center" vertical="center" wrapText="1"/>
    </xf>
    <xf numFmtId="176" fontId="5" fillId="0" borderId="26" xfId="0" applyNumberFormat="1" applyFont="1" applyFill="1" applyBorder="1" applyAlignment="1">
      <alignment horizontal="center" vertical="top" wrapText="1"/>
    </xf>
    <xf numFmtId="0" fontId="33" fillId="0" borderId="56" xfId="0" applyFont="1" applyFill="1" applyBorder="1" applyAlignment="1">
      <alignment horizontal="center" vertical="center" wrapText="1"/>
    </xf>
    <xf numFmtId="0" fontId="5" fillId="0" borderId="0" xfId="0" applyFont="1" applyFill="1" applyBorder="1" applyAlignment="1">
      <alignment horizontal="center" vertical="top" wrapText="1"/>
    </xf>
    <xf numFmtId="176" fontId="5" fillId="0" borderId="0" xfId="0" applyNumberFormat="1" applyFont="1" applyFill="1" applyBorder="1" applyAlignment="1">
      <alignment horizontal="center" vertical="top" wrapText="1"/>
    </xf>
    <xf numFmtId="3" fontId="32" fillId="0" borderId="26" xfId="0" applyNumberFormat="1" applyFont="1" applyBorder="1" applyAlignment="1">
      <alignment horizontal="center" vertical="center" wrapText="1"/>
    </xf>
    <xf numFmtId="0" fontId="33" fillId="0" borderId="0" xfId="0" applyFont="1" applyBorder="1" applyAlignment="1">
      <alignment horizontal="center" vertical="center" wrapText="1"/>
    </xf>
    <xf numFmtId="0" fontId="33" fillId="0" borderId="27" xfId="0" applyFont="1" applyBorder="1" applyAlignment="1">
      <alignment horizontal="right" vertical="center" wrapText="1"/>
    </xf>
    <xf numFmtId="0" fontId="33" fillId="0" borderId="27" xfId="0" applyFont="1" applyFill="1" applyBorder="1" applyAlignment="1">
      <alignment horizontal="left" vertical="center"/>
    </xf>
    <xf numFmtId="0" fontId="0" fillId="0" borderId="27" xfId="0" applyBorder="1"/>
    <xf numFmtId="164" fontId="2" fillId="0" borderId="8" xfId="0" applyNumberFormat="1" applyFont="1" applyBorder="1" applyAlignment="1">
      <alignment horizontal="center"/>
    </xf>
    <xf numFmtId="0" fontId="3" fillId="0" borderId="0" xfId="0" applyFont="1" applyBorder="1" applyAlignment="1">
      <alignment horizontal="center" wrapText="1"/>
    </xf>
    <xf numFmtId="0" fontId="0" fillId="0" borderId="26" xfId="0" applyBorder="1"/>
    <xf numFmtId="0" fontId="37" fillId="0" borderId="30" xfId="0" applyFont="1" applyBorder="1" applyAlignment="1">
      <alignment horizontal="center" vertical="center" wrapText="1"/>
    </xf>
    <xf numFmtId="0" fontId="37" fillId="0" borderId="4" xfId="0" applyFont="1" applyBorder="1" applyAlignment="1">
      <alignment horizontal="center" vertical="center" wrapText="1"/>
    </xf>
    <xf numFmtId="176" fontId="0" fillId="0" borderId="0" xfId="0" applyNumberFormat="1" applyFill="1"/>
    <xf numFmtId="9" fontId="38" fillId="0" borderId="55" xfId="137" applyFont="1" applyBorder="1" applyAlignment="1">
      <alignment vertical="center" wrapText="1"/>
    </xf>
    <xf numFmtId="164" fontId="38" fillId="0" borderId="0" xfId="0" applyNumberFormat="1" applyFont="1" applyAlignment="1">
      <alignment vertical="center" wrapText="1"/>
    </xf>
    <xf numFmtId="164" fontId="38" fillId="0" borderId="55" xfId="0" applyNumberFormat="1" applyFont="1" applyBorder="1" applyAlignment="1">
      <alignment horizontal="right" vertical="center" wrapText="1"/>
    </xf>
    <xf numFmtId="0" fontId="0" fillId="0" borderId="67" xfId="0" applyBorder="1"/>
    <xf numFmtId="164" fontId="0" fillId="0" borderId="25" xfId="0" applyNumberFormat="1" applyBorder="1"/>
    <xf numFmtId="164" fontId="0" fillId="0" borderId="28" xfId="0" applyNumberFormat="1" applyBorder="1"/>
    <xf numFmtId="0" fontId="0" fillId="0" borderId="68" xfId="0" applyBorder="1"/>
    <xf numFmtId="164" fontId="0" fillId="0" borderId="22" xfId="0" applyNumberFormat="1" applyBorder="1"/>
    <xf numFmtId="164" fontId="0" fillId="0" borderId="46" xfId="0" applyNumberFormat="1" applyBorder="1"/>
    <xf numFmtId="0" fontId="2" fillId="0" borderId="13" xfId="0" applyFont="1" applyBorder="1" applyAlignment="1">
      <alignment horizontal="center" vertical="center" wrapText="1"/>
    </xf>
    <xf numFmtId="6" fontId="39" fillId="0" borderId="0" xfId="0" applyNumberFormat="1" applyFont="1"/>
    <xf numFmtId="0" fontId="2" fillId="0" borderId="45" xfId="0" applyFont="1" applyBorder="1" applyAlignment="1">
      <alignment horizontal="center"/>
    </xf>
    <xf numFmtId="164" fontId="2" fillId="0" borderId="44" xfId="0" applyNumberFormat="1" applyFont="1" applyBorder="1" applyAlignment="1">
      <alignment horizontal="center"/>
    </xf>
    <xf numFmtId="1" fontId="2" fillId="0" borderId="27" xfId="0" applyNumberFormat="1" applyFont="1" applyBorder="1" applyAlignment="1">
      <alignment horizontal="center"/>
    </xf>
    <xf numFmtId="164" fontId="2" fillId="0" borderId="27" xfId="0" applyNumberFormat="1" applyFont="1" applyBorder="1" applyAlignment="1">
      <alignment horizontal="center"/>
    </xf>
    <xf numFmtId="164" fontId="2" fillId="0" borderId="6"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164" fontId="2" fillId="0" borderId="53" xfId="0" applyNumberFormat="1" applyFont="1" applyBorder="1" applyAlignment="1">
      <alignment horizontal="right" vertical="center" wrapText="1" indent="1"/>
    </xf>
    <xf numFmtId="164" fontId="2" fillId="0" borderId="7" xfId="0" applyNumberFormat="1" applyFont="1" applyBorder="1" applyAlignment="1">
      <alignment horizontal="right" vertical="center" wrapText="1" indent="1"/>
    </xf>
    <xf numFmtId="6" fontId="2" fillId="0" borderId="14" xfId="0" applyNumberFormat="1" applyFont="1" applyFill="1" applyBorder="1" applyAlignment="1">
      <alignment horizontal="right"/>
    </xf>
    <xf numFmtId="0" fontId="2" fillId="0" borderId="15" xfId="0" applyFont="1" applyBorder="1" applyAlignment="1">
      <alignment horizontal="center" vertical="center" wrapText="1"/>
    </xf>
    <xf numFmtId="0" fontId="2" fillId="0" borderId="9" xfId="0" applyFont="1" applyBorder="1" applyAlignment="1">
      <alignment horizontal="center" vertical="center" wrapText="1"/>
    </xf>
    <xf numFmtId="164" fontId="2" fillId="0" borderId="35" xfId="0" applyNumberFormat="1" applyFont="1" applyBorder="1" applyAlignment="1">
      <alignment horizontal="right" vertical="center" wrapText="1" indent="1"/>
    </xf>
    <xf numFmtId="164" fontId="2" fillId="0" borderId="9" xfId="0" applyNumberFormat="1" applyFont="1" applyBorder="1" applyAlignment="1">
      <alignment horizontal="right" vertical="center" wrapText="1" indent="1"/>
    </xf>
    <xf numFmtId="6" fontId="2" fillId="0" borderId="15" xfId="0" applyNumberFormat="1" applyFont="1" applyFill="1" applyBorder="1" applyAlignment="1">
      <alignment horizontal="right"/>
    </xf>
    <xf numFmtId="164" fontId="2" fillId="0" borderId="13" xfId="0" applyNumberFormat="1" applyFont="1" applyBorder="1" applyAlignment="1">
      <alignment horizontal="center" vertical="center" wrapText="1"/>
    </xf>
    <xf numFmtId="164" fontId="2" fillId="0" borderId="14" xfId="0" applyNumberFormat="1" applyFont="1" applyBorder="1" applyAlignment="1">
      <alignment horizontal="right" vertical="center" wrapText="1" indent="1"/>
    </xf>
    <xf numFmtId="164" fontId="2" fillId="0" borderId="14" xfId="0" applyNumberFormat="1" applyFont="1" applyBorder="1" applyAlignment="1">
      <alignment horizontal="center" vertical="center" wrapText="1"/>
    </xf>
    <xf numFmtId="164" fontId="2" fillId="0" borderId="15" xfId="0" applyNumberFormat="1" applyFont="1" applyBorder="1" applyAlignment="1">
      <alignment horizontal="right" vertical="center" wrapText="1" indent="1"/>
    </xf>
    <xf numFmtId="164" fontId="2" fillId="0" borderId="15" xfId="0" applyNumberFormat="1" applyFont="1" applyBorder="1" applyAlignment="1">
      <alignment horizontal="center" vertical="center" wrapText="1"/>
    </xf>
    <xf numFmtId="179" fontId="0" fillId="2" borderId="44" xfId="0" applyNumberFormat="1" applyFill="1" applyBorder="1" applyAlignment="1">
      <alignment horizontal="center"/>
    </xf>
    <xf numFmtId="179" fontId="0" fillId="0" borderId="20" xfId="0" applyNumberFormat="1" applyFill="1" applyBorder="1" applyAlignment="1">
      <alignment horizontal="center"/>
    </xf>
    <xf numFmtId="176" fontId="0" fillId="0" borderId="64" xfId="0" applyNumberFormat="1" applyFill="1" applyBorder="1" applyAlignment="1">
      <alignment horizontal="center"/>
    </xf>
    <xf numFmtId="179" fontId="0" fillId="2" borderId="40" xfId="0" applyNumberFormat="1" applyFill="1" applyBorder="1" applyAlignment="1">
      <alignment horizontal="center"/>
    </xf>
    <xf numFmtId="0" fontId="0" fillId="0" borderId="0" xfId="0" applyFill="1" applyAlignment="1">
      <alignment horizontal="left" vertical="top" wrapText="1"/>
    </xf>
    <xf numFmtId="0" fontId="0" fillId="0" borderId="0" xfId="0" applyAlignment="1">
      <alignment horizontal="center" wrapText="1"/>
    </xf>
    <xf numFmtId="3" fontId="0" fillId="0" borderId="26" xfId="0" applyNumberFormat="1" applyBorder="1"/>
    <xf numFmtId="3" fontId="5" fillId="0" borderId="26" xfId="0" applyNumberFormat="1" applyFont="1" applyBorder="1"/>
    <xf numFmtId="0" fontId="0" fillId="0" borderId="38" xfId="0" applyBorder="1"/>
    <xf numFmtId="0" fontId="0" fillId="0" borderId="16" xfId="0" applyFill="1" applyBorder="1" applyAlignment="1">
      <alignment horizontal="center"/>
    </xf>
    <xf numFmtId="1" fontId="0" fillId="0" borderId="19" xfId="0" applyNumberFormat="1" applyFill="1" applyBorder="1" applyAlignment="1">
      <alignment horizontal="center"/>
    </xf>
    <xf numFmtId="1" fontId="0" fillId="0" borderId="20" xfId="0" applyNumberFormat="1" applyFill="1" applyBorder="1" applyAlignment="1">
      <alignment horizontal="center"/>
    </xf>
    <xf numFmtId="0" fontId="0" fillId="0" borderId="26" xfId="0" applyBorder="1" applyAlignment="1">
      <alignment horizontal="center"/>
    </xf>
    <xf numFmtId="0" fontId="5" fillId="0" borderId="26" xfId="0" applyFont="1" applyBorder="1" applyAlignment="1">
      <alignment horizontal="center" vertical="center"/>
    </xf>
    <xf numFmtId="164" fontId="0" fillId="0" borderId="0" xfId="0" applyNumberFormat="1"/>
    <xf numFmtId="0" fontId="0" fillId="0" borderId="0" xfId="0" applyFont="1" applyFill="1" applyAlignment="1">
      <alignment horizontal="left" vertical="top" wrapText="1"/>
    </xf>
    <xf numFmtId="0" fontId="7" fillId="0" borderId="0" xfId="0" applyFont="1" applyAlignment="1">
      <alignment horizontal="center" vertical="center"/>
    </xf>
    <xf numFmtId="0" fontId="7" fillId="0" borderId="0" xfId="0" applyFont="1" applyAlignment="1">
      <alignment horizontal="center"/>
    </xf>
    <xf numFmtId="0" fontId="18" fillId="0" borderId="0" xfId="0" applyFont="1" applyAlignment="1">
      <alignment horizontal="center"/>
    </xf>
    <xf numFmtId="172" fontId="0" fillId="0" borderId="26" xfId="0" applyNumberFormat="1" applyBorder="1" applyAlignment="1">
      <alignment horizontal="center" vertical="center"/>
    </xf>
    <xf numFmtId="6" fontId="0" fillId="0" borderId="26" xfId="0" applyNumberFormat="1" applyBorder="1"/>
    <xf numFmtId="172" fontId="0" fillId="0" borderId="26" xfId="0" applyNumberFormat="1" applyFill="1" applyBorder="1" applyAlignment="1">
      <alignment horizontal="center" vertical="center"/>
    </xf>
    <xf numFmtId="0" fontId="5" fillId="0" borderId="26" xfId="0" applyFont="1" applyBorder="1" applyAlignment="1">
      <alignment vertical="center"/>
    </xf>
    <xf numFmtId="0" fontId="9" fillId="0" borderId="0" xfId="2" applyFont="1" applyFill="1" applyBorder="1" applyAlignment="1">
      <alignment horizontal="center" vertical="center"/>
    </xf>
    <xf numFmtId="0" fontId="0" fillId="0" borderId="54" xfId="0" applyBorder="1"/>
    <xf numFmtId="1" fontId="0" fillId="0" borderId="66" xfId="0" applyNumberFormat="1" applyFill="1" applyBorder="1" applyAlignment="1">
      <alignment horizontal="center"/>
    </xf>
    <xf numFmtId="6" fontId="2" fillId="0" borderId="8" xfId="0" applyNumberFormat="1" applyFont="1" applyBorder="1" applyAlignment="1">
      <alignment horizontal="center" vertical="center" wrapText="1"/>
    </xf>
    <xf numFmtId="164" fontId="2" fillId="0" borderId="19" xfId="0" applyNumberFormat="1" applyFont="1" applyBorder="1" applyAlignment="1">
      <alignment horizontal="center" vertical="center"/>
    </xf>
    <xf numFmtId="8" fontId="2" fillId="0" borderId="8" xfId="0" applyNumberFormat="1" applyFont="1" applyBorder="1" applyAlignment="1">
      <alignment horizontal="center" vertical="center" wrapText="1"/>
    </xf>
    <xf numFmtId="6" fontId="2" fillId="0" borderId="10" xfId="0" applyNumberFormat="1" applyFont="1" applyBorder="1" applyAlignment="1">
      <alignment horizontal="center" vertical="center" wrapText="1"/>
    </xf>
    <xf numFmtId="172" fontId="0" fillId="0" borderId="26" xfId="0" applyNumberFormat="1" applyBorder="1"/>
    <xf numFmtId="0" fontId="0" fillId="4" borderId="26" xfId="0" applyFill="1" applyBorder="1" applyAlignment="1">
      <alignment horizontal="center" vertical="center"/>
    </xf>
    <xf numFmtId="6" fontId="0" fillId="4" borderId="26" xfId="0" applyNumberFormat="1" applyFill="1" applyBorder="1"/>
    <xf numFmtId="6" fontId="0" fillId="0" borderId="0" xfId="0" applyNumberFormat="1"/>
    <xf numFmtId="6" fontId="5" fillId="0" borderId="0" xfId="0" applyNumberFormat="1" applyFont="1"/>
    <xf numFmtId="0" fontId="7" fillId="0" borderId="0" xfId="0" applyFont="1" applyFill="1" applyBorder="1" applyAlignment="1">
      <alignment horizontal="left" vertical="top" wrapText="1"/>
    </xf>
    <xf numFmtId="0" fontId="7" fillId="0" borderId="0" xfId="2" applyFont="1" applyFill="1" applyBorder="1" applyAlignment="1">
      <alignment horizontal="left" vertical="top" wrapText="1"/>
    </xf>
    <xf numFmtId="0" fontId="2" fillId="2" borderId="3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31" xfId="0"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0" borderId="39" xfId="0" applyFont="1" applyBorder="1" applyAlignment="1">
      <alignment horizontal="center" wrapText="1"/>
    </xf>
    <xf numFmtId="0" fontId="3" fillId="0" borderId="29" xfId="0" applyFont="1" applyBorder="1" applyAlignment="1">
      <alignment horizontal="center" wrapText="1"/>
    </xf>
    <xf numFmtId="0" fontId="2" fillId="2" borderId="57"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5" fillId="0" borderId="21" xfId="0" applyFont="1" applyFill="1" applyBorder="1" applyAlignment="1">
      <alignment horizontal="center" vertical="top" wrapText="1"/>
    </xf>
    <xf numFmtId="0" fontId="5" fillId="0" borderId="61" xfId="0" applyFont="1" applyFill="1" applyBorder="1" applyAlignment="1">
      <alignment horizontal="center" vertical="top" wrapText="1"/>
    </xf>
    <xf numFmtId="0" fontId="0" fillId="0" borderId="0" xfId="0" applyFill="1" applyAlignment="1">
      <alignment horizontal="left" vertical="top" wrapText="1"/>
    </xf>
    <xf numFmtId="0" fontId="0" fillId="0" borderId="26" xfId="0" applyBorder="1" applyAlignment="1">
      <alignment horizont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5" fillId="0" borderId="0" xfId="0" applyFont="1" applyFill="1" applyBorder="1" applyAlignment="1">
      <alignment horizontal="left"/>
    </xf>
    <xf numFmtId="0" fontId="0" fillId="0" borderId="0" xfId="0" applyAlignment="1">
      <alignment horizontal="left" vertical="top" wrapText="1"/>
    </xf>
    <xf numFmtId="0" fontId="5" fillId="0" borderId="26" xfId="0" applyFont="1" applyBorder="1" applyAlignment="1">
      <alignment horizontal="center" vertical="center"/>
    </xf>
    <xf numFmtId="0" fontId="33" fillId="0" borderId="26"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0" fillId="0" borderId="0" xfId="0" applyFont="1" applyFill="1" applyAlignment="1">
      <alignment horizontal="left" vertical="top" wrapText="1"/>
    </xf>
    <xf numFmtId="0" fontId="7" fillId="0" borderId="0" xfId="0" applyFont="1" applyFill="1" applyAlignment="1">
      <alignment horizontal="left" vertical="top" wrapText="1"/>
    </xf>
    <xf numFmtId="0" fontId="5" fillId="0" borderId="21" xfId="0" applyFont="1" applyBorder="1" applyAlignment="1">
      <alignment horizontal="center" vertical="center"/>
    </xf>
    <xf numFmtId="0" fontId="5" fillId="0" borderId="6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0" fillId="0" borderId="23" xfId="0" applyBorder="1" applyAlignment="1">
      <alignment horizontal="left" vertical="top" wrapText="1"/>
    </xf>
    <xf numFmtId="0" fontId="5" fillId="0" borderId="39" xfId="0" applyFont="1" applyBorder="1" applyAlignment="1">
      <alignment horizontal="center" vertical="center"/>
    </xf>
    <xf numFmtId="0" fontId="5" fillId="0" borderId="50" xfId="0" applyFont="1" applyBorder="1" applyAlignment="1">
      <alignment horizontal="center" vertical="center"/>
    </xf>
    <xf numFmtId="0" fontId="5" fillId="0" borderId="29" xfId="0" applyFont="1" applyBorder="1" applyAlignment="1">
      <alignment horizontal="center" vertical="center"/>
    </xf>
    <xf numFmtId="0" fontId="2" fillId="0" borderId="3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8" xfId="0" applyFont="1" applyBorder="1" applyAlignment="1">
      <alignment horizontal="center" vertical="center"/>
    </xf>
    <xf numFmtId="0" fontId="2" fillId="0" borderId="6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5" fillId="0" borderId="1" xfId="0" applyFont="1" applyBorder="1" applyAlignment="1">
      <alignment horizontal="center"/>
    </xf>
    <xf numFmtId="0" fontId="5" fillId="0" borderId="33" xfId="0" applyFont="1" applyBorder="1" applyAlignment="1">
      <alignment horizontal="center"/>
    </xf>
    <xf numFmtId="0" fontId="5" fillId="0" borderId="39" xfId="0" applyFont="1" applyBorder="1" applyAlignment="1">
      <alignment horizontal="center"/>
    </xf>
    <xf numFmtId="0" fontId="5" fillId="0" borderId="50" xfId="0" applyFont="1" applyBorder="1" applyAlignment="1">
      <alignment horizont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5" fillId="0" borderId="48" xfId="0" applyFont="1" applyBorder="1" applyAlignment="1">
      <alignment horizontal="center"/>
    </xf>
    <xf numFmtId="0" fontId="5" fillId="0" borderId="59" xfId="0" applyFont="1" applyBorder="1" applyAlignment="1">
      <alignment horizontal="center"/>
    </xf>
  </cellXfs>
  <cellStyles count="139">
    <cellStyle name="Comma" xfId="136" builtinId="3"/>
    <cellStyle name="Comma 2" xfId="7" xr:uid="{00000000-0005-0000-0000-000001000000}"/>
    <cellStyle name="Comma 47 2" xfId="17" xr:uid="{00000000-0005-0000-0000-000002000000}"/>
    <cellStyle name="Comma 47 3" xfId="18" xr:uid="{00000000-0005-0000-0000-000003000000}"/>
    <cellStyle name="Comma 47 4" xfId="19" xr:uid="{00000000-0005-0000-0000-000004000000}"/>
    <cellStyle name="Comma0" xfId="8" xr:uid="{00000000-0005-0000-0000-000005000000}"/>
    <cellStyle name="Currency" xfId="1" builtinId="4"/>
    <cellStyle name="Currency 2" xfId="16" xr:uid="{00000000-0005-0000-0000-000007000000}"/>
    <cellStyle name="Currency0" xfId="9" xr:uid="{00000000-0005-0000-0000-000008000000}"/>
    <cellStyle name="Date" xfId="10" xr:uid="{00000000-0005-0000-0000-000009000000}"/>
    <cellStyle name="Fixed" xfId="11" xr:uid="{00000000-0005-0000-0000-00000A000000}"/>
    <cellStyle name="Hyperlink" xfId="138" builtinId="8"/>
    <cellStyle name="Normal" xfId="0" builtinId="0"/>
    <cellStyle name="Normal 11" xfId="20" xr:uid="{00000000-0005-0000-0000-00000D000000}"/>
    <cellStyle name="Normal 11 2" xfId="21" xr:uid="{00000000-0005-0000-0000-00000E000000}"/>
    <cellStyle name="Normal 11 3" xfId="22" xr:uid="{00000000-0005-0000-0000-00000F000000}"/>
    <cellStyle name="Normal 11 4" xfId="23" xr:uid="{00000000-0005-0000-0000-000010000000}"/>
    <cellStyle name="Normal 11 5" xfId="24" xr:uid="{00000000-0005-0000-0000-000011000000}"/>
    <cellStyle name="Normal 12" xfId="25" xr:uid="{00000000-0005-0000-0000-000012000000}"/>
    <cellStyle name="Normal 12 2" xfId="26" xr:uid="{00000000-0005-0000-0000-000013000000}"/>
    <cellStyle name="Normal 12 3" xfId="27" xr:uid="{00000000-0005-0000-0000-000014000000}"/>
    <cellStyle name="Normal 12 4" xfId="28" xr:uid="{00000000-0005-0000-0000-000015000000}"/>
    <cellStyle name="Normal 12 5" xfId="29" xr:uid="{00000000-0005-0000-0000-000016000000}"/>
    <cellStyle name="Normal 13" xfId="30" xr:uid="{00000000-0005-0000-0000-000017000000}"/>
    <cellStyle name="Normal 13 2" xfId="31" xr:uid="{00000000-0005-0000-0000-000018000000}"/>
    <cellStyle name="Normal 13 3" xfId="32" xr:uid="{00000000-0005-0000-0000-000019000000}"/>
    <cellStyle name="Normal 13 4" xfId="33" xr:uid="{00000000-0005-0000-0000-00001A000000}"/>
    <cellStyle name="Normal 13 5" xfId="34" xr:uid="{00000000-0005-0000-0000-00001B000000}"/>
    <cellStyle name="Normal 14" xfId="35" xr:uid="{00000000-0005-0000-0000-00001C000000}"/>
    <cellStyle name="Normal 14 2" xfId="36" xr:uid="{00000000-0005-0000-0000-00001D000000}"/>
    <cellStyle name="Normal 14 3" xfId="37" xr:uid="{00000000-0005-0000-0000-00001E000000}"/>
    <cellStyle name="Normal 14 4" xfId="38" xr:uid="{00000000-0005-0000-0000-00001F000000}"/>
    <cellStyle name="Normal 14 5" xfId="39" xr:uid="{00000000-0005-0000-0000-000020000000}"/>
    <cellStyle name="Normal 15" xfId="40" xr:uid="{00000000-0005-0000-0000-000021000000}"/>
    <cellStyle name="Normal 15 2" xfId="41" xr:uid="{00000000-0005-0000-0000-000022000000}"/>
    <cellStyle name="Normal 15 3" xfId="42" xr:uid="{00000000-0005-0000-0000-000023000000}"/>
    <cellStyle name="Normal 15 4" xfId="43" xr:uid="{00000000-0005-0000-0000-000024000000}"/>
    <cellStyle name="Normal 15 5" xfId="44" xr:uid="{00000000-0005-0000-0000-000025000000}"/>
    <cellStyle name="Normal 16" xfId="2" xr:uid="{00000000-0005-0000-0000-000026000000}"/>
    <cellStyle name="Normal 16 2" xfId="45" xr:uid="{00000000-0005-0000-0000-000027000000}"/>
    <cellStyle name="Normal 16 3" xfId="46" xr:uid="{00000000-0005-0000-0000-000028000000}"/>
    <cellStyle name="Normal 16 4" xfId="47" xr:uid="{00000000-0005-0000-0000-000029000000}"/>
    <cellStyle name="Normal 16 5" xfId="48" xr:uid="{00000000-0005-0000-0000-00002A000000}"/>
    <cellStyle name="Normal 17" xfId="4" xr:uid="{00000000-0005-0000-0000-00002B000000}"/>
    <cellStyle name="Normal 17 2" xfId="49" xr:uid="{00000000-0005-0000-0000-00002C000000}"/>
    <cellStyle name="Normal 17 3" xfId="50" xr:uid="{00000000-0005-0000-0000-00002D000000}"/>
    <cellStyle name="Normal 17 4" xfId="51" xr:uid="{00000000-0005-0000-0000-00002E000000}"/>
    <cellStyle name="Normal 17 5" xfId="52" xr:uid="{00000000-0005-0000-0000-00002F000000}"/>
    <cellStyle name="Normal 18" xfId="3" xr:uid="{00000000-0005-0000-0000-000030000000}"/>
    <cellStyle name="Normal 18 2" xfId="53" xr:uid="{00000000-0005-0000-0000-000031000000}"/>
    <cellStyle name="Normal 18 3" xfId="54" xr:uid="{00000000-0005-0000-0000-000032000000}"/>
    <cellStyle name="Normal 18 4" xfId="55" xr:uid="{00000000-0005-0000-0000-000033000000}"/>
    <cellStyle name="Normal 18 5" xfId="56" xr:uid="{00000000-0005-0000-0000-000034000000}"/>
    <cellStyle name="Normal 19" xfId="5" xr:uid="{00000000-0005-0000-0000-000035000000}"/>
    <cellStyle name="Normal 19 2" xfId="57" xr:uid="{00000000-0005-0000-0000-000036000000}"/>
    <cellStyle name="Normal 19 3" xfId="58" xr:uid="{00000000-0005-0000-0000-000037000000}"/>
    <cellStyle name="Normal 19 4" xfId="59" xr:uid="{00000000-0005-0000-0000-000038000000}"/>
    <cellStyle name="Normal 19 5" xfId="60" xr:uid="{00000000-0005-0000-0000-000039000000}"/>
    <cellStyle name="Normal 2" xfId="6" xr:uid="{00000000-0005-0000-0000-00003A000000}"/>
    <cellStyle name="Normal 2 2" xfId="61" xr:uid="{00000000-0005-0000-0000-00003B000000}"/>
    <cellStyle name="Normal 2 3" xfId="62" xr:uid="{00000000-0005-0000-0000-00003C000000}"/>
    <cellStyle name="Normal 2 4" xfId="63" xr:uid="{00000000-0005-0000-0000-00003D000000}"/>
    <cellStyle name="Normal 2 5" xfId="64" xr:uid="{00000000-0005-0000-0000-00003E000000}"/>
    <cellStyle name="Normal 20" xfId="65" xr:uid="{00000000-0005-0000-0000-00003F000000}"/>
    <cellStyle name="Normal 20 2" xfId="66" xr:uid="{00000000-0005-0000-0000-000040000000}"/>
    <cellStyle name="Normal 20 3" xfId="67" xr:uid="{00000000-0005-0000-0000-000041000000}"/>
    <cellStyle name="Normal 20 4" xfId="68" xr:uid="{00000000-0005-0000-0000-000042000000}"/>
    <cellStyle name="Normal 20 5" xfId="69" xr:uid="{00000000-0005-0000-0000-000043000000}"/>
    <cellStyle name="Normal 21" xfId="70" xr:uid="{00000000-0005-0000-0000-000044000000}"/>
    <cellStyle name="Normal 21 2" xfId="71" xr:uid="{00000000-0005-0000-0000-000045000000}"/>
    <cellStyle name="Normal 21 3" xfId="72" xr:uid="{00000000-0005-0000-0000-000046000000}"/>
    <cellStyle name="Normal 21 4" xfId="73" xr:uid="{00000000-0005-0000-0000-000047000000}"/>
    <cellStyle name="Normal 21 5" xfId="74" xr:uid="{00000000-0005-0000-0000-000048000000}"/>
    <cellStyle name="Normal 23" xfId="75" xr:uid="{00000000-0005-0000-0000-000049000000}"/>
    <cellStyle name="Normal 23 2" xfId="76" xr:uid="{00000000-0005-0000-0000-00004A000000}"/>
    <cellStyle name="Normal 23 3" xfId="77" xr:uid="{00000000-0005-0000-0000-00004B000000}"/>
    <cellStyle name="Normal 23 4" xfId="78" xr:uid="{00000000-0005-0000-0000-00004C000000}"/>
    <cellStyle name="Normal 23 5" xfId="79" xr:uid="{00000000-0005-0000-0000-00004D000000}"/>
    <cellStyle name="Normal 24" xfId="80" xr:uid="{00000000-0005-0000-0000-00004E000000}"/>
    <cellStyle name="Normal 24 2" xfId="81" xr:uid="{00000000-0005-0000-0000-00004F000000}"/>
    <cellStyle name="Normal 24 3" xfId="82" xr:uid="{00000000-0005-0000-0000-000050000000}"/>
    <cellStyle name="Normal 24 4" xfId="83" xr:uid="{00000000-0005-0000-0000-000051000000}"/>
    <cellStyle name="Normal 24 5" xfId="84" xr:uid="{00000000-0005-0000-0000-000052000000}"/>
    <cellStyle name="Normal 25" xfId="85" xr:uid="{00000000-0005-0000-0000-000053000000}"/>
    <cellStyle name="Normal 25 2" xfId="86" xr:uid="{00000000-0005-0000-0000-000054000000}"/>
    <cellStyle name="Normal 25 3" xfId="87" xr:uid="{00000000-0005-0000-0000-000055000000}"/>
    <cellStyle name="Normal 25 4" xfId="88" xr:uid="{00000000-0005-0000-0000-000056000000}"/>
    <cellStyle name="Normal 25 5" xfId="89" xr:uid="{00000000-0005-0000-0000-000057000000}"/>
    <cellStyle name="Normal 26" xfId="90" xr:uid="{00000000-0005-0000-0000-000058000000}"/>
    <cellStyle name="Normal 26 2" xfId="91" xr:uid="{00000000-0005-0000-0000-000059000000}"/>
    <cellStyle name="Normal 26 3" xfId="92" xr:uid="{00000000-0005-0000-0000-00005A000000}"/>
    <cellStyle name="Normal 26 4" xfId="93" xr:uid="{00000000-0005-0000-0000-00005B000000}"/>
    <cellStyle name="Normal 26 5" xfId="94" xr:uid="{00000000-0005-0000-0000-00005C000000}"/>
    <cellStyle name="Normal 27" xfId="95" xr:uid="{00000000-0005-0000-0000-00005D000000}"/>
    <cellStyle name="Normal 27 2" xfId="96" xr:uid="{00000000-0005-0000-0000-00005E000000}"/>
    <cellStyle name="Normal 27 3" xfId="97" xr:uid="{00000000-0005-0000-0000-00005F000000}"/>
    <cellStyle name="Normal 27 4" xfId="98" xr:uid="{00000000-0005-0000-0000-000060000000}"/>
    <cellStyle name="Normal 27 5" xfId="99" xr:uid="{00000000-0005-0000-0000-000061000000}"/>
    <cellStyle name="Normal 28 2" xfId="100" xr:uid="{00000000-0005-0000-0000-000062000000}"/>
    <cellStyle name="Normal 28 3" xfId="101" xr:uid="{00000000-0005-0000-0000-000063000000}"/>
    <cellStyle name="Normal 28 4" xfId="102" xr:uid="{00000000-0005-0000-0000-000064000000}"/>
    <cellStyle name="Normal 29" xfId="103" xr:uid="{00000000-0005-0000-0000-000065000000}"/>
    <cellStyle name="Normal 3" xfId="12" xr:uid="{00000000-0005-0000-0000-000066000000}"/>
    <cellStyle name="Normal 3 2" xfId="104" xr:uid="{00000000-0005-0000-0000-000067000000}"/>
    <cellStyle name="Normal 3 3" xfId="105" xr:uid="{00000000-0005-0000-0000-000068000000}"/>
    <cellStyle name="Normal 3 4" xfId="106" xr:uid="{00000000-0005-0000-0000-000069000000}"/>
    <cellStyle name="Normal 3 5" xfId="107" xr:uid="{00000000-0005-0000-0000-00006A000000}"/>
    <cellStyle name="Normal 30" xfId="108" xr:uid="{00000000-0005-0000-0000-00006B000000}"/>
    <cellStyle name="Normal 32" xfId="109" xr:uid="{00000000-0005-0000-0000-00006C000000}"/>
    <cellStyle name="Normal 4" xfId="13" xr:uid="{00000000-0005-0000-0000-00006D000000}"/>
    <cellStyle name="Normal 4 2" xfId="110" xr:uid="{00000000-0005-0000-0000-00006E000000}"/>
    <cellStyle name="Normal 4 3" xfId="111" xr:uid="{00000000-0005-0000-0000-00006F000000}"/>
    <cellStyle name="Normal 4 4" xfId="112" xr:uid="{00000000-0005-0000-0000-000070000000}"/>
    <cellStyle name="Normal 4 5" xfId="113" xr:uid="{00000000-0005-0000-0000-000071000000}"/>
    <cellStyle name="Normal 5 2" xfId="114" xr:uid="{00000000-0005-0000-0000-000072000000}"/>
    <cellStyle name="Normal 5 3" xfId="115" xr:uid="{00000000-0005-0000-0000-000073000000}"/>
    <cellStyle name="Normal 5 4" xfId="116" xr:uid="{00000000-0005-0000-0000-000074000000}"/>
    <cellStyle name="Normal 5 5" xfId="117" xr:uid="{00000000-0005-0000-0000-000075000000}"/>
    <cellStyle name="Normal 6" xfId="118" xr:uid="{00000000-0005-0000-0000-000076000000}"/>
    <cellStyle name="Normal 6 2" xfId="119" xr:uid="{00000000-0005-0000-0000-000077000000}"/>
    <cellStyle name="Normal 6 3" xfId="120" xr:uid="{00000000-0005-0000-0000-000078000000}"/>
    <cellStyle name="Normal 6 4" xfId="121" xr:uid="{00000000-0005-0000-0000-000079000000}"/>
    <cellStyle name="Normal 6 5" xfId="122" xr:uid="{00000000-0005-0000-0000-00007A000000}"/>
    <cellStyle name="Normal 7 2" xfId="123" xr:uid="{00000000-0005-0000-0000-00007B000000}"/>
    <cellStyle name="Normal 7 3" xfId="124" xr:uid="{00000000-0005-0000-0000-00007C000000}"/>
    <cellStyle name="Normal 7 4" xfId="125" xr:uid="{00000000-0005-0000-0000-00007D000000}"/>
    <cellStyle name="Normal 7 5" xfId="126" xr:uid="{00000000-0005-0000-0000-00007E000000}"/>
    <cellStyle name="Normal 8 2" xfId="127" xr:uid="{00000000-0005-0000-0000-00007F000000}"/>
    <cellStyle name="Normal 8 3" xfId="128" xr:uid="{00000000-0005-0000-0000-000080000000}"/>
    <cellStyle name="Normal 8 4" xfId="129" xr:uid="{00000000-0005-0000-0000-000081000000}"/>
    <cellStyle name="Normal 8 5" xfId="130" xr:uid="{00000000-0005-0000-0000-000082000000}"/>
    <cellStyle name="Normal 9" xfId="131" xr:uid="{00000000-0005-0000-0000-000083000000}"/>
    <cellStyle name="Normal 9 2" xfId="132" xr:uid="{00000000-0005-0000-0000-000084000000}"/>
    <cellStyle name="Normal 9 3" xfId="133" xr:uid="{00000000-0005-0000-0000-000085000000}"/>
    <cellStyle name="Normal 9 4" xfId="134" xr:uid="{00000000-0005-0000-0000-000086000000}"/>
    <cellStyle name="Normal 9 5" xfId="135" xr:uid="{00000000-0005-0000-0000-000087000000}"/>
    <cellStyle name="Percent" xfId="137" builtinId="5"/>
    <cellStyle name="Percent 2" xfId="14" xr:uid="{00000000-0005-0000-0000-000089000000}"/>
    <cellStyle name="Percent 3" xfId="15" xr:uid="{00000000-0005-0000-0000-00008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Hourly</a:t>
            </a:r>
            <a:r>
              <a:rPr lang="en-US" sz="1100" baseline="0"/>
              <a:t> Travel Times by Scenario</a:t>
            </a:r>
            <a:endParaRPr lang="en-US"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803444789855544E-2"/>
          <c:y val="9.884128368504369E-2"/>
          <c:w val="0.8716016377621516"/>
          <c:h val="0.70207085898282817"/>
        </c:manualLayout>
      </c:layout>
      <c:scatterChart>
        <c:scatterStyle val="lineMarker"/>
        <c:varyColors val="0"/>
        <c:ser>
          <c:idx val="0"/>
          <c:order val="0"/>
          <c:tx>
            <c:v>Existing Year No Build</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Lit>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Lit>
          </c:xVal>
          <c:yVal>
            <c:numLit>
              <c:formatCode>General</c:formatCode>
              <c:ptCount val="24"/>
              <c:pt idx="0">
                <c:v>47.182387105053792</c:v>
              </c:pt>
              <c:pt idx="1">
                <c:v>46.218945696425919</c:v>
              </c:pt>
              <c:pt idx="2">
                <c:v>46.815820539063438</c:v>
              </c:pt>
              <c:pt idx="3">
                <c:v>49.993237936907896</c:v>
              </c:pt>
              <c:pt idx="4">
                <c:v>65.717985394063376</c:v>
              </c:pt>
              <c:pt idx="5">
                <c:v>125.55315571351582</c:v>
              </c:pt>
              <c:pt idx="6">
                <c:v>166.29477798989086</c:v>
              </c:pt>
              <c:pt idx="7">
                <c:v>164.6</c:v>
              </c:pt>
              <c:pt idx="8">
                <c:v>119.21164448231593</c:v>
              </c:pt>
              <c:pt idx="9">
                <c:v>100.61735071034526</c:v>
              </c:pt>
              <c:pt idx="10">
                <c:v>95.487250988738268</c:v>
              </c:pt>
              <c:pt idx="11">
                <c:v>101.1</c:v>
              </c:pt>
              <c:pt idx="12">
                <c:v>108.88865736700123</c:v>
              </c:pt>
              <c:pt idx="13">
                <c:v>111.57875705930601</c:v>
              </c:pt>
              <c:pt idx="14">
                <c:v>139.96868301547556</c:v>
              </c:pt>
              <c:pt idx="15">
                <c:v>177.44731713575109</c:v>
              </c:pt>
              <c:pt idx="16">
                <c:v>199.4</c:v>
              </c:pt>
              <c:pt idx="17">
                <c:v>186.22957699317902</c:v>
              </c:pt>
              <c:pt idx="18">
                <c:v>123.48551756369493</c:v>
              </c:pt>
              <c:pt idx="19">
                <c:v>90.073181022282654</c:v>
              </c:pt>
              <c:pt idx="20">
                <c:v>73.097762570545058</c:v>
              </c:pt>
              <c:pt idx="21">
                <c:v>61.758302456450856</c:v>
              </c:pt>
              <c:pt idx="22">
                <c:v>54.939702508972893</c:v>
              </c:pt>
              <c:pt idx="23">
                <c:v>49.517547708994279</c:v>
              </c:pt>
            </c:numLit>
          </c:yVal>
          <c:smooth val="0"/>
          <c:extLst>
            <c:ext xmlns:c16="http://schemas.microsoft.com/office/drawing/2014/chart" uri="{C3380CC4-5D6E-409C-BE32-E72D297353CC}">
              <c16:uniqueId val="{00000000-BAAE-402F-BBE3-8CE0647432E4}"/>
            </c:ext>
          </c:extLst>
        </c:ser>
        <c:ser>
          <c:idx val="1"/>
          <c:order val="1"/>
          <c:tx>
            <c:v>Existing Year Build</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Lit>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Lit>
          </c:xVal>
          <c:yVal>
            <c:numLit>
              <c:formatCode>General</c:formatCode>
              <c:ptCount val="24"/>
              <c:pt idx="0">
                <c:v>46.587751633400458</c:v>
              </c:pt>
              <c:pt idx="1">
                <c:v>45.695773205794744</c:v>
              </c:pt>
              <c:pt idx="2">
                <c:v>46.248511472156139</c:v>
              </c:pt>
              <c:pt idx="3">
                <c:v>49.183646639553523</c:v>
              </c:pt>
              <c:pt idx="4">
                <c:v>63.549951739733913</c:v>
              </c:pt>
              <c:pt idx="5">
                <c:v>116.56188839662377</c:v>
              </c:pt>
              <c:pt idx="6">
                <c:v>151.67803003824824</c:v>
              </c:pt>
              <c:pt idx="7">
                <c:v>152.19999999999999</c:v>
              </c:pt>
              <c:pt idx="8">
                <c:v>111.03627526913415</c:v>
              </c:pt>
              <c:pt idx="9">
                <c:v>94.723154363694917</c:v>
              </c:pt>
              <c:pt idx="10">
                <c:v>90.190270287989037</c:v>
              </c:pt>
              <c:pt idx="11">
                <c:v>94.5</c:v>
              </c:pt>
              <c:pt idx="12">
                <c:v>102.00127984229478</c:v>
              </c:pt>
              <c:pt idx="13">
                <c:v>104.36073879037808</c:v>
              </c:pt>
              <c:pt idx="14">
                <c:v>129.05882040760494</c:v>
              </c:pt>
              <c:pt idx="15">
                <c:v>161.1901447407254</c:v>
              </c:pt>
              <c:pt idx="16">
                <c:v>178.7</c:v>
              </c:pt>
              <c:pt idx="17">
                <c:v>168.65404404549091</c:v>
              </c:pt>
              <c:pt idx="18">
                <c:v>114.7622470161503</c:v>
              </c:pt>
              <c:pt idx="19">
                <c:v>85.389789045307154</c:v>
              </c:pt>
              <c:pt idx="20">
                <c:v>70.214185144702284</c:v>
              </c:pt>
              <c:pt idx="21">
                <c:v>59.955036900617138</c:v>
              </c:pt>
              <c:pt idx="22">
                <c:v>53.729870291234953</c:v>
              </c:pt>
              <c:pt idx="23">
                <c:v>48.744994482127012</c:v>
              </c:pt>
            </c:numLit>
          </c:yVal>
          <c:smooth val="0"/>
          <c:extLst>
            <c:ext xmlns:c16="http://schemas.microsoft.com/office/drawing/2014/chart" uri="{C3380CC4-5D6E-409C-BE32-E72D297353CC}">
              <c16:uniqueId val="{00000001-BAAE-402F-BBE3-8CE0647432E4}"/>
            </c:ext>
          </c:extLst>
        </c:ser>
        <c:ser>
          <c:idx val="2"/>
          <c:order val="2"/>
          <c:tx>
            <c:v>2040 No Build</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Lit>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Lit>
          </c:xVal>
          <c:yVal>
            <c:numLit>
              <c:formatCode>General</c:formatCode>
              <c:ptCount val="24"/>
              <c:pt idx="0">
                <c:v>59.475944409493515</c:v>
              </c:pt>
              <c:pt idx="1">
                <c:v>58.163993445110528</c:v>
              </c:pt>
              <c:pt idx="2">
                <c:v>58.976519511768451</c:v>
              </c:pt>
              <c:pt idx="3">
                <c:v>63.315868034055008</c:v>
              </c:pt>
              <c:pt idx="4">
                <c:v>85.099323185584154</c:v>
              </c:pt>
              <c:pt idx="5">
                <c:v>171.35206587309085</c:v>
              </c:pt>
              <c:pt idx="6">
                <c:v>232.19184237949935</c:v>
              </c:pt>
              <c:pt idx="7">
                <c:v>229.9</c:v>
              </c:pt>
              <c:pt idx="8">
                <c:v>162.01431314923997</c:v>
              </c:pt>
              <c:pt idx="9">
                <c:v>134.8745164053984</c:v>
              </c:pt>
              <c:pt idx="10">
                <c:v>127.4552321208874</c:v>
              </c:pt>
              <c:pt idx="11">
                <c:v>134.4</c:v>
              </c:pt>
              <c:pt idx="12">
                <c:v>146.9009216042576</c:v>
              </c:pt>
              <c:pt idx="13">
                <c:v>150.82859531302768</c:v>
              </c:pt>
              <c:pt idx="14">
                <c:v>192.71875485996296</c:v>
              </c:pt>
              <c:pt idx="15">
                <c:v>249.07261272204826</c:v>
              </c:pt>
              <c:pt idx="16">
                <c:v>284.7</c:v>
              </c:pt>
              <c:pt idx="17">
                <c:v>262.42671073471729</c:v>
              </c:pt>
              <c:pt idx="18">
                <c:v>168.30320505259974</c:v>
              </c:pt>
              <c:pt idx="19">
                <c:v>119.66032509184609</c:v>
              </c:pt>
              <c:pt idx="20">
                <c:v>95.47672656625349</c:v>
              </c:pt>
              <c:pt idx="21">
                <c:v>79.569491055232092</c:v>
              </c:pt>
              <c:pt idx="22">
                <c:v>70.115407880693695</c:v>
              </c:pt>
              <c:pt idx="23">
                <c:v>62.664763856000747</c:v>
              </c:pt>
            </c:numLit>
          </c:yVal>
          <c:smooth val="0"/>
          <c:extLst>
            <c:ext xmlns:c16="http://schemas.microsoft.com/office/drawing/2014/chart" uri="{C3380CC4-5D6E-409C-BE32-E72D297353CC}">
              <c16:uniqueId val="{00000002-BAAE-402F-BBE3-8CE0647432E4}"/>
            </c:ext>
          </c:extLst>
        </c:ser>
        <c:ser>
          <c:idx val="3"/>
          <c:order val="3"/>
          <c:tx>
            <c:v>2040 Build</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Lit>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Lit>
          </c:xVal>
          <c:yVal>
            <c:numLit>
              <c:formatCode>General</c:formatCode>
              <c:ptCount val="24"/>
              <c:pt idx="0">
                <c:v>60.585628121189714</c:v>
              </c:pt>
              <c:pt idx="1">
                <c:v>59.393893675645963</c:v>
              </c:pt>
              <c:pt idx="2">
                <c:v>60.132308775240197</c:v>
              </c:pt>
              <c:pt idx="3">
                <c:v>64.057441851731653</c:v>
              </c:pt>
              <c:pt idx="4">
                <c:v>83.356751820739987</c:v>
              </c:pt>
              <c:pt idx="5">
                <c:v>155.47653920245477</c:v>
              </c:pt>
              <c:pt idx="6">
                <c:v>203.79455468448182</c:v>
              </c:pt>
              <c:pt idx="7">
                <c:v>200.3</c:v>
              </c:pt>
              <c:pt idx="8">
                <c:v>147.90746838609206</c:v>
              </c:pt>
              <c:pt idx="9">
                <c:v>125.62429906327633</c:v>
              </c:pt>
              <c:pt idx="10">
                <c:v>119.45063303901684</c:v>
              </c:pt>
              <c:pt idx="11">
                <c:v>127</c:v>
              </c:pt>
              <c:pt idx="12">
                <c:v>135.55385720042474</c:v>
              </c:pt>
              <c:pt idx="13">
                <c:v>138.77714762775091</c:v>
              </c:pt>
              <c:pt idx="14">
                <c:v>172.6309789721754</c:v>
              </c:pt>
              <c:pt idx="15">
                <c:v>216.93950053316865</c:v>
              </c:pt>
              <c:pt idx="16">
                <c:v>243</c:v>
              </c:pt>
              <c:pt idx="17">
                <c:v>227.26908069127461</c:v>
              </c:pt>
              <c:pt idx="18">
                <c:v>153.01024973188464</c:v>
              </c:pt>
              <c:pt idx="19">
                <c:v>112.92186567370459</c:v>
              </c:pt>
              <c:pt idx="20">
                <c:v>92.35229574687601</c:v>
              </c:pt>
              <c:pt idx="21">
                <c:v>78.514905609696314</c:v>
              </c:pt>
              <c:pt idx="22">
                <c:v>70.14974134016974</c:v>
              </c:pt>
              <c:pt idx="23">
                <c:v>63.470414435203303</c:v>
              </c:pt>
            </c:numLit>
          </c:yVal>
          <c:smooth val="0"/>
          <c:extLst>
            <c:ext xmlns:c16="http://schemas.microsoft.com/office/drawing/2014/chart" uri="{C3380CC4-5D6E-409C-BE32-E72D297353CC}">
              <c16:uniqueId val="{00000003-BAAE-402F-BBE3-8CE0647432E4}"/>
            </c:ext>
          </c:extLst>
        </c:ser>
        <c:dLbls>
          <c:showLegendKey val="0"/>
          <c:showVal val="0"/>
          <c:showCatName val="0"/>
          <c:showSerName val="0"/>
          <c:showPercent val="0"/>
          <c:showBubbleSize val="0"/>
        </c:dLbls>
        <c:axId val="786863456"/>
        <c:axId val="786861488"/>
      </c:scatterChart>
      <c:valAx>
        <c:axId val="786863456"/>
        <c:scaling>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Hour of the Day</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61488"/>
        <c:crosses val="autoZero"/>
        <c:crossBetween val="midCat"/>
      </c:valAx>
      <c:valAx>
        <c:axId val="786861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Travel Time (hours)</a:t>
                </a:r>
              </a:p>
            </c:rich>
          </c:tx>
          <c:layout>
            <c:manualLayout>
              <c:xMode val="edge"/>
              <c:yMode val="edge"/>
              <c:x val="4.189578078148167E-3"/>
              <c:y val="0.307425029605233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6345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661147</xdr:colOff>
      <xdr:row>4</xdr:row>
      <xdr:rowOff>33617</xdr:rowOff>
    </xdr:from>
    <xdr:to>
      <xdr:col>16</xdr:col>
      <xdr:colOff>503403</xdr:colOff>
      <xdr:row>31</xdr:row>
      <xdr:rowOff>89647</xdr:rowOff>
    </xdr:to>
    <xdr:pic>
      <xdr:nvPicPr>
        <xdr:cNvPr id="2" name="Picture 1">
          <a:extLst>
            <a:ext uri="{FF2B5EF4-FFF2-40B4-BE49-F238E27FC236}">
              <a16:creationId xmlns:a16="http://schemas.microsoft.com/office/drawing/2014/main" id="{C2DDFAC6-C50A-47EB-9A6D-DA921C410F94}"/>
            </a:ext>
          </a:extLst>
        </xdr:cNvPr>
        <xdr:cNvPicPr>
          <a:picLocks noChangeAspect="1"/>
        </xdr:cNvPicPr>
      </xdr:nvPicPr>
      <xdr:blipFill>
        <a:blip xmlns:r="http://schemas.openxmlformats.org/officeDocument/2006/relationships" r:embed="rId1"/>
        <a:stretch>
          <a:fillRect/>
        </a:stretch>
      </xdr:blipFill>
      <xdr:spPr>
        <a:xfrm>
          <a:off x="8572500" y="795617"/>
          <a:ext cx="6599403" cy="5199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324972</xdr:colOff>
      <xdr:row>20</xdr:row>
      <xdr:rowOff>22412</xdr:rowOff>
    </xdr:from>
    <xdr:to>
      <xdr:col>26</xdr:col>
      <xdr:colOff>181818</xdr:colOff>
      <xdr:row>39</xdr:row>
      <xdr:rowOff>136712</xdr:rowOff>
    </xdr:to>
    <xdr:graphicFrame macro="">
      <xdr:nvGraphicFramePr>
        <xdr:cNvPr id="3" name="Chart 2">
          <a:extLst>
            <a:ext uri="{FF2B5EF4-FFF2-40B4-BE49-F238E27FC236}">
              <a16:creationId xmlns:a16="http://schemas.microsoft.com/office/drawing/2014/main" id="{DA432875-3EB6-4B07-AF35-2A41C22E3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0.33893</cdr:x>
      <cdr:y>0.09742</cdr:y>
    </cdr:from>
    <cdr:to>
      <cdr:x>0.33893</cdr:x>
      <cdr:y>0.80323</cdr:y>
    </cdr:to>
    <cdr:cxnSp macro="">
      <cdr:nvCxnSpPr>
        <cdr:cNvPr id="6" name="Straight Connector 5">
          <a:extLst xmlns:a="http://schemas.openxmlformats.org/drawingml/2006/main">
            <a:ext uri="{FF2B5EF4-FFF2-40B4-BE49-F238E27FC236}">
              <a16:creationId xmlns:a16="http://schemas.microsoft.com/office/drawing/2014/main" id="{7C176432-6B6A-4A73-8C86-461B9EF97D14}"/>
            </a:ext>
          </a:extLst>
        </cdr:cNvPr>
        <cdr:cNvCxnSpPr/>
      </cdr:nvCxnSpPr>
      <cdr:spPr>
        <a:xfrm xmlns:a="http://schemas.openxmlformats.org/drawingml/2006/main">
          <a:off x="2051798" y="368113"/>
          <a:ext cx="0" cy="2667000"/>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0.51568</cdr:x>
      <cdr:y>0.10078</cdr:y>
    </cdr:from>
    <cdr:to>
      <cdr:x>0.51568</cdr:x>
      <cdr:y>0.80659</cdr:y>
    </cdr:to>
    <cdr:cxnSp macro="">
      <cdr:nvCxnSpPr>
        <cdr:cNvPr id="7" name="Straight Connector 6">
          <a:extLst xmlns:a="http://schemas.openxmlformats.org/drawingml/2006/main">
            <a:ext uri="{FF2B5EF4-FFF2-40B4-BE49-F238E27FC236}">
              <a16:creationId xmlns:a16="http://schemas.microsoft.com/office/drawing/2014/main" id="{3A30694B-5BAE-4FD0-B6B6-CC2363E1828B}"/>
            </a:ext>
          </a:extLst>
        </cdr:cNvPr>
        <cdr:cNvCxnSpPr/>
      </cdr:nvCxnSpPr>
      <cdr:spPr>
        <a:xfrm xmlns:a="http://schemas.openxmlformats.org/drawingml/2006/main">
          <a:off x="3121773" y="380813"/>
          <a:ext cx="0" cy="2667000"/>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0.68771</cdr:x>
      <cdr:y>0.0991</cdr:y>
    </cdr:from>
    <cdr:to>
      <cdr:x>0.68771</cdr:x>
      <cdr:y>0.80491</cdr:y>
    </cdr:to>
    <cdr:cxnSp macro="">
      <cdr:nvCxnSpPr>
        <cdr:cNvPr id="8" name="Straight Connector 7">
          <a:extLst xmlns:a="http://schemas.openxmlformats.org/drawingml/2006/main">
            <a:ext uri="{FF2B5EF4-FFF2-40B4-BE49-F238E27FC236}">
              <a16:creationId xmlns:a16="http://schemas.microsoft.com/office/drawing/2014/main" id="{AFFFA664-3A68-48FF-BC76-2D456510081E}"/>
            </a:ext>
          </a:extLst>
        </cdr:cNvPr>
        <cdr:cNvCxnSpPr/>
      </cdr:nvCxnSpPr>
      <cdr:spPr>
        <a:xfrm xmlns:a="http://schemas.openxmlformats.org/drawingml/2006/main">
          <a:off x="4163173" y="374463"/>
          <a:ext cx="0" cy="2667000"/>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0.12233</cdr:x>
      <cdr:y>0.15558</cdr:y>
    </cdr:from>
    <cdr:to>
      <cdr:x>0.14279</cdr:x>
      <cdr:y>0.15624</cdr:y>
    </cdr:to>
    <cdr:cxnSp macro="">
      <cdr:nvCxnSpPr>
        <cdr:cNvPr id="9" name="Straight Connector 8">
          <a:extLst xmlns:a="http://schemas.openxmlformats.org/drawingml/2006/main">
            <a:ext uri="{FF2B5EF4-FFF2-40B4-BE49-F238E27FC236}">
              <a16:creationId xmlns:a16="http://schemas.microsoft.com/office/drawing/2014/main" id="{988B49E2-8E3D-46BB-9D21-3700EF2AD90E}"/>
            </a:ext>
          </a:extLst>
        </cdr:cNvPr>
        <cdr:cNvCxnSpPr/>
      </cdr:nvCxnSpPr>
      <cdr:spPr>
        <a:xfrm xmlns:a="http://schemas.openxmlformats.org/drawingml/2006/main" flipH="1">
          <a:off x="738595" y="583246"/>
          <a:ext cx="123563" cy="2447"/>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0.13626</cdr:x>
      <cdr:y>0.12054</cdr:y>
    </cdr:from>
    <cdr:to>
      <cdr:x>0.28771</cdr:x>
      <cdr:y>0.22393</cdr:y>
    </cdr:to>
    <cdr:sp macro="" textlink="">
      <cdr:nvSpPr>
        <cdr:cNvPr id="13" name="TextBox 12">
          <a:extLst xmlns:a="http://schemas.openxmlformats.org/drawingml/2006/main">
            <a:ext uri="{FF2B5EF4-FFF2-40B4-BE49-F238E27FC236}">
              <a16:creationId xmlns:a16="http://schemas.microsoft.com/office/drawing/2014/main" id="{D0B302D0-411F-43B5-9A73-B44C769E33E5}"/>
            </a:ext>
          </a:extLst>
        </cdr:cNvPr>
        <cdr:cNvSpPr txBox="1"/>
      </cdr:nvSpPr>
      <cdr:spPr>
        <a:xfrm xmlns:a="http://schemas.openxmlformats.org/drawingml/2006/main">
          <a:off x="822745" y="451867"/>
          <a:ext cx="914400" cy="3875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solidFill>
                <a:srgbClr val="FF0000"/>
              </a:solidFill>
            </a:rPr>
            <a:t>Modeled hours</a:t>
          </a:r>
        </a:p>
      </cdr:txBody>
    </cdr:sp>
  </cdr:relSizeAnchor>
</c:userShapes>
</file>

<file path=xl/drawings/drawing4.xml><?xml version="1.0" encoding="utf-8"?>
<xdr:wsDr xmlns:xdr="http://schemas.openxmlformats.org/drawingml/2006/spreadsheetDrawing" xmlns:a="http://schemas.openxmlformats.org/drawingml/2006/main">
  <xdr:twoCellAnchor>
    <xdr:from>
      <xdr:col>13</xdr:col>
      <xdr:colOff>448235</xdr:colOff>
      <xdr:row>2</xdr:row>
      <xdr:rowOff>0</xdr:rowOff>
    </xdr:from>
    <xdr:to>
      <xdr:col>17</xdr:col>
      <xdr:colOff>1019735</xdr:colOff>
      <xdr:row>9</xdr:row>
      <xdr:rowOff>168088</xdr:rowOff>
    </xdr:to>
    <xdr:sp macro="" textlink="">
      <xdr:nvSpPr>
        <xdr:cNvPr id="2" name="Oval 1">
          <a:extLst>
            <a:ext uri="{FF2B5EF4-FFF2-40B4-BE49-F238E27FC236}">
              <a16:creationId xmlns:a16="http://schemas.microsoft.com/office/drawing/2014/main" id="{13B49591-82E3-431E-B604-3B656EFC72B7}"/>
            </a:ext>
          </a:extLst>
        </xdr:cNvPr>
        <xdr:cNvSpPr/>
      </xdr:nvSpPr>
      <xdr:spPr>
        <a:xfrm>
          <a:off x="15497735" y="481853"/>
          <a:ext cx="4280647" cy="257735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Tarvel</a:t>
          </a:r>
          <a:r>
            <a:rPr lang="en-US" sz="2000" baseline="0"/>
            <a:t> time distance * [Vehicle Entry/AADT]</a:t>
          </a:r>
          <a:endParaRPr lang="en-US"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ns/Grant%20Applications/2018%20Grants/BUILD/Rochester/Rochester%20TH%2052%20B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Grant%20Applications/2020%20Grants/INFRA/TH%2010%20Rum%20River/BCA/Example%20Workbook/DRAFT_BCA%20Workbook%20-%20Bas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Grant%20Applications/2020%20Grants/INFRA/TH%2010%20Rum%20River/BCA/Copy%20of%20TH%2010%20Rum%20River%20BCA%20Workbook_updated%20cos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ns/Grant%20Applications/2020%20Grants/BUILD/US%2010/BCA/Example%20Workbook/DRAFT_BCA%20Workbook%20-%20Ba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Projects\09000\9228\TS\BCA\2016%20Update\Scott%20County%20BCA%20Workbook%20201604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Safety Benefits "/>
      <sheetName val="Safety Benefits - Lighting"/>
      <sheetName val="Safety Benefits - Shoulder"/>
      <sheetName val="Annualized Operations"/>
      <sheetName val="Operating Cost Savings"/>
      <sheetName val="Air Quality"/>
      <sheetName val="Capital Costs"/>
      <sheetName val="Operation and Maintenance"/>
      <sheetName val="RCV Calculator"/>
    </sheetNames>
    <sheetDataSet>
      <sheetData sheetId="0" refreshError="1">
        <row r="4">
          <cell r="D4">
            <v>2017</v>
          </cell>
        </row>
        <row r="14">
          <cell r="I14">
            <v>110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Annualized Operations"/>
      <sheetName val="User Benefits (VHT) - Network"/>
      <sheetName val="User Benefits (VHT) - Corridor"/>
      <sheetName val="User Benefits (VHT) - Nodal"/>
      <sheetName val="Operation Benefits (VMT) - Netw"/>
      <sheetName val="Operation Benefits (VMT) - Corr"/>
      <sheetName val="Safety Benefits"/>
      <sheetName val="Air Quality"/>
      <sheetName val="RCV Calc"/>
      <sheetName val="Operation and Maintenance"/>
      <sheetName val="WisDOT TT Tool Input - No Build"/>
      <sheetName val="WisDOT TT Tool Input - Build"/>
      <sheetName val="WisDOT Travel Time Tool Output"/>
      <sheetName val="GDP Defl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Safety Benefits"/>
      <sheetName val="Travel Time Savings (Summary)"/>
      <sheetName val="Travel Time Savings (Ferry St)"/>
      <sheetName val="Travel Time Savings (TH 10)"/>
      <sheetName val="Travel Time Savings (4th Ave)"/>
      <sheetName val="Capital Cost and RCV Calc"/>
      <sheetName val="Operation and Maintenance"/>
      <sheetName val="RCV Calculator"/>
    </sheetNames>
    <sheetDataSet>
      <sheetData sheetId="0">
        <row r="5">
          <cell r="D5">
            <v>2020</v>
          </cell>
        </row>
      </sheetData>
      <sheetData sheetId="1"/>
      <sheetData sheetId="2"/>
      <sheetData sheetId="3"/>
      <sheetData sheetId="4"/>
      <sheetData sheetId="5"/>
      <sheetData sheetId="6"/>
      <sheetData sheetId="7"/>
      <sheetData sheetId="8"/>
      <sheetData sheetId="9">
        <row r="15">
          <cell r="N15">
            <v>0.99668901533542642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Annualized Operations"/>
      <sheetName val="User Benefits (VHT) - Network"/>
      <sheetName val="User Benefits (VHT) - Corridor"/>
      <sheetName val="User Benefits (VHT) - Nodal"/>
      <sheetName val="Operation Benefits (VMT) - Netw"/>
      <sheetName val="Operation Benefits (VMT) - Corr"/>
      <sheetName val="Safety Benefits"/>
      <sheetName val="Air Quality"/>
      <sheetName val="RCV Calc"/>
      <sheetName val="Operation and Maintenance"/>
      <sheetName val="WisDOT TT Tool Input - No Build"/>
      <sheetName val="WisDOT TT Tool Input - Build"/>
      <sheetName val="WisDOT Travel Time Tool Output"/>
      <sheetName val="GDP Defl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Annualized Operations"/>
      <sheetName val="User Benefits (VHT) - Network"/>
      <sheetName val="User Benefits (VHT) - Nodal"/>
      <sheetName val="Operation Benefits (VMT)"/>
      <sheetName val="Safety Benefits"/>
      <sheetName val="Air Quality"/>
      <sheetName val="RCV Calc"/>
      <sheetName val="Operation and Maintenance"/>
      <sheetName val="RCV Calculat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59999389629810485"/>
    <pageSetUpPr fitToPage="1"/>
  </sheetPr>
  <dimension ref="B2:S344"/>
  <sheetViews>
    <sheetView view="pageBreakPreview" zoomScale="85" zoomScaleNormal="85" zoomScaleSheetLayoutView="85" workbookViewId="0">
      <selection activeCell="D25" sqref="D25"/>
    </sheetView>
  </sheetViews>
  <sheetFormatPr defaultColWidth="10.7109375" defaultRowHeight="15" customHeight="1" x14ac:dyDescent="0.2"/>
  <cols>
    <col min="1" max="1" width="10.7109375" style="57"/>
    <col min="2" max="2" width="5.7109375" style="57" customWidth="1"/>
    <col min="3" max="3" width="39.140625" style="57" bestFit="1" customWidth="1"/>
    <col min="4" max="5" width="15.7109375" style="57" customWidth="1"/>
    <col min="6" max="6" width="10.7109375" style="57"/>
    <col min="7" max="7" width="20.7109375" style="57" bestFit="1" customWidth="1"/>
    <col min="8" max="10" width="10.7109375" style="57"/>
    <col min="11" max="11" width="14.28515625" style="57" customWidth="1"/>
    <col min="12" max="12" width="11.7109375" style="59" bestFit="1" customWidth="1"/>
    <col min="13" max="18" width="10.7109375" style="59"/>
    <col min="19" max="16384" width="10.7109375" style="57"/>
  </cols>
  <sheetData>
    <row r="2" spans="2:19" ht="15" customHeight="1" x14ac:dyDescent="0.2">
      <c r="B2" s="74"/>
      <c r="L2" s="57"/>
      <c r="M2" s="57"/>
      <c r="N2" s="57"/>
      <c r="O2" s="57"/>
      <c r="P2" s="57"/>
      <c r="Q2" s="57"/>
      <c r="R2" s="57"/>
    </row>
    <row r="3" spans="2:19" ht="15" customHeight="1" x14ac:dyDescent="0.35">
      <c r="C3" s="5" t="s">
        <v>50</v>
      </c>
      <c r="F3" s="211"/>
      <c r="L3" s="57"/>
      <c r="M3" s="57"/>
      <c r="N3" s="57"/>
      <c r="O3" s="57"/>
      <c r="P3" s="57"/>
      <c r="Q3" s="57"/>
      <c r="R3" s="57"/>
    </row>
    <row r="4" spans="2:19" ht="15" customHeight="1" x14ac:dyDescent="0.35">
      <c r="C4" s="75" t="s">
        <v>105</v>
      </c>
      <c r="D4" s="195">
        <v>2019</v>
      </c>
      <c r="F4" s="211"/>
      <c r="I4" s="60" t="s">
        <v>205</v>
      </c>
      <c r="L4" s="57"/>
      <c r="M4" s="57"/>
      <c r="N4" s="57"/>
      <c r="O4" s="57"/>
      <c r="P4" s="57"/>
      <c r="Q4" s="57"/>
      <c r="R4" s="57"/>
    </row>
    <row r="5" spans="2:19" ht="15" customHeight="1" x14ac:dyDescent="0.2">
      <c r="B5" s="58"/>
      <c r="C5" s="75" t="s">
        <v>51</v>
      </c>
      <c r="D5" s="195">
        <v>2023</v>
      </c>
      <c r="E5" s="58"/>
      <c r="G5" s="74"/>
      <c r="H5" s="58"/>
      <c r="I5" s="58"/>
      <c r="J5" s="58"/>
      <c r="K5" s="58"/>
      <c r="L5" s="58"/>
      <c r="M5" s="58"/>
      <c r="N5" s="58"/>
      <c r="P5" s="58"/>
    </row>
    <row r="6" spans="2:19" ht="15" customHeight="1" x14ac:dyDescent="0.2">
      <c r="B6" s="58"/>
      <c r="C6" s="75" t="s">
        <v>52</v>
      </c>
      <c r="D6" s="195">
        <v>3</v>
      </c>
      <c r="E6" s="58"/>
      <c r="G6" s="74"/>
      <c r="H6" s="74"/>
      <c r="I6" s="74"/>
      <c r="J6" s="74"/>
      <c r="K6" s="74"/>
      <c r="L6" s="151"/>
      <c r="M6" s="74"/>
      <c r="N6" s="58"/>
      <c r="P6" s="58"/>
    </row>
    <row r="7" spans="2:19" ht="15" customHeight="1" x14ac:dyDescent="0.2">
      <c r="B7" s="58"/>
      <c r="C7" s="75" t="s">
        <v>76</v>
      </c>
      <c r="D7" s="195">
        <v>30</v>
      </c>
      <c r="E7" s="58"/>
      <c r="G7" s="74"/>
      <c r="H7" s="58"/>
      <c r="I7" s="58"/>
      <c r="J7" s="58"/>
      <c r="K7" s="74"/>
      <c r="L7" s="58"/>
      <c r="M7" s="58"/>
      <c r="N7" s="58"/>
      <c r="O7" s="58"/>
      <c r="P7" s="58"/>
      <c r="Q7" s="58"/>
    </row>
    <row r="8" spans="2:19" ht="15" customHeight="1" x14ac:dyDescent="0.2">
      <c r="B8" s="58"/>
      <c r="C8" s="75" t="s">
        <v>53</v>
      </c>
      <c r="D8" s="195">
        <f>D5+D6</f>
        <v>2026</v>
      </c>
      <c r="E8" s="58"/>
      <c r="G8" s="60"/>
      <c r="H8" s="58"/>
      <c r="L8" s="57"/>
      <c r="M8" s="58"/>
      <c r="N8" s="58"/>
      <c r="O8" s="58"/>
      <c r="P8" s="58"/>
      <c r="Q8" s="58"/>
      <c r="R8" s="57"/>
    </row>
    <row r="9" spans="2:19" ht="15" customHeight="1" x14ac:dyDescent="0.2">
      <c r="C9" s="75" t="s">
        <v>54</v>
      </c>
      <c r="D9" s="195">
        <f>D8+D7-1</f>
        <v>2055</v>
      </c>
      <c r="E9" s="58"/>
      <c r="G9" s="74"/>
      <c r="L9" s="57"/>
      <c r="M9" s="57"/>
      <c r="N9" s="57"/>
      <c r="O9" s="57"/>
      <c r="P9" s="57"/>
      <c r="Q9" s="57"/>
      <c r="R9" s="57"/>
    </row>
    <row r="10" spans="2:19" ht="15" customHeight="1" x14ac:dyDescent="0.2">
      <c r="C10" s="75" t="s">
        <v>95</v>
      </c>
      <c r="D10" s="195">
        <v>2040</v>
      </c>
      <c r="E10" s="58"/>
      <c r="G10" s="60"/>
      <c r="L10" s="57"/>
      <c r="M10" s="57"/>
      <c r="N10" s="57"/>
      <c r="O10" s="57"/>
      <c r="P10" s="57"/>
      <c r="Q10" s="57"/>
      <c r="R10" s="57"/>
    </row>
    <row r="11" spans="2:19" ht="15" customHeight="1" x14ac:dyDescent="0.2">
      <c r="D11" s="76"/>
      <c r="F11" s="58"/>
      <c r="L11" s="57"/>
      <c r="M11" s="57"/>
      <c r="N11" s="57"/>
      <c r="O11" s="57"/>
      <c r="P11" s="57"/>
      <c r="Q11" s="57"/>
      <c r="R11" s="57"/>
    </row>
    <row r="12" spans="2:19" ht="15" customHeight="1" x14ac:dyDescent="0.2">
      <c r="C12" s="5" t="s">
        <v>55</v>
      </c>
      <c r="E12" s="58"/>
      <c r="F12" s="58"/>
      <c r="L12" s="57"/>
      <c r="M12" s="57"/>
      <c r="N12" s="57"/>
      <c r="O12" s="57"/>
      <c r="P12" s="57"/>
      <c r="Q12" s="57"/>
      <c r="R12" s="57"/>
    </row>
    <row r="13" spans="2:19" ht="15" customHeight="1" x14ac:dyDescent="0.2">
      <c r="C13" s="75"/>
      <c r="D13" s="77" t="s">
        <v>47</v>
      </c>
      <c r="E13" s="77" t="s">
        <v>48</v>
      </c>
      <c r="F13" s="58"/>
      <c r="L13" s="57"/>
      <c r="M13" s="57"/>
      <c r="N13" s="57"/>
      <c r="O13" s="57"/>
      <c r="P13" s="57"/>
      <c r="Q13" s="57"/>
      <c r="R13" s="57"/>
    </row>
    <row r="14" spans="2:19" ht="15" customHeight="1" x14ac:dyDescent="0.2">
      <c r="C14" s="75" t="s">
        <v>96</v>
      </c>
      <c r="D14" s="347">
        <f>(21200+27000-1900-2100)/(27000+21200)</f>
        <v>0.91701244813278004</v>
      </c>
      <c r="E14" s="347">
        <f>(21200+27000-1900-2100)/(27000+21200)</f>
        <v>0.91701244813278004</v>
      </c>
      <c r="F14" s="58"/>
      <c r="J14" s="101"/>
      <c r="K14" s="101"/>
      <c r="L14" s="57"/>
      <c r="M14" s="57"/>
      <c r="N14" s="57"/>
      <c r="O14" s="57"/>
      <c r="P14" s="57"/>
      <c r="Q14" s="57"/>
      <c r="R14" s="57"/>
    </row>
    <row r="15" spans="2:19" ht="15" customHeight="1" x14ac:dyDescent="0.2">
      <c r="C15" s="75" t="s">
        <v>97</v>
      </c>
      <c r="D15" s="347">
        <f>1-D14</f>
        <v>8.2987551867219955E-2</v>
      </c>
      <c r="E15" s="347">
        <f>1-E14</f>
        <v>8.2987551867219955E-2</v>
      </c>
      <c r="L15" s="57"/>
      <c r="M15" s="57"/>
      <c r="N15" s="57"/>
      <c r="O15" s="57"/>
      <c r="P15" s="57"/>
      <c r="Q15" s="57"/>
      <c r="R15" s="57"/>
    </row>
    <row r="16" spans="2:19" ht="15" customHeight="1" x14ac:dyDescent="0.2">
      <c r="C16" s="75" t="s">
        <v>98</v>
      </c>
      <c r="D16" s="195">
        <v>1.67</v>
      </c>
      <c r="E16" s="195">
        <v>1.67</v>
      </c>
      <c r="L16" s="57"/>
      <c r="M16" s="57"/>
      <c r="N16" s="57"/>
      <c r="O16" s="57"/>
      <c r="P16" s="57"/>
      <c r="Q16" s="57"/>
      <c r="R16" s="57"/>
      <c r="S16" s="58"/>
    </row>
    <row r="17" spans="2:18" ht="15" customHeight="1" x14ac:dyDescent="0.2">
      <c r="C17" s="75" t="s">
        <v>99</v>
      </c>
      <c r="D17" s="196">
        <v>1</v>
      </c>
      <c r="E17" s="196">
        <v>1</v>
      </c>
      <c r="L17" s="57"/>
      <c r="M17" s="57"/>
      <c r="N17" s="57"/>
      <c r="O17" s="57"/>
      <c r="P17" s="57"/>
      <c r="Q17" s="57"/>
      <c r="R17" s="57"/>
    </row>
    <row r="18" spans="2:18" ht="15" customHeight="1" x14ac:dyDescent="0.2">
      <c r="C18" s="58"/>
      <c r="D18" s="58"/>
      <c r="E18" s="58"/>
      <c r="L18" s="57"/>
      <c r="M18" s="57"/>
      <c r="N18" s="57"/>
      <c r="O18" s="57"/>
      <c r="P18" s="57"/>
      <c r="Q18" s="57"/>
      <c r="R18" s="57"/>
    </row>
    <row r="19" spans="2:18" ht="15" customHeight="1" x14ac:dyDescent="0.2">
      <c r="C19" s="5" t="s">
        <v>56</v>
      </c>
      <c r="D19" s="76"/>
      <c r="F19" s="58"/>
      <c r="L19" s="57"/>
      <c r="M19" s="57"/>
      <c r="N19" s="57"/>
      <c r="O19" s="57"/>
      <c r="P19" s="57"/>
      <c r="Q19" s="57"/>
      <c r="R19" s="57"/>
    </row>
    <row r="20" spans="2:18" ht="15" customHeight="1" x14ac:dyDescent="0.2">
      <c r="C20" s="75" t="s">
        <v>100</v>
      </c>
      <c r="D20" s="75">
        <v>365</v>
      </c>
      <c r="F20" s="58"/>
      <c r="L20" s="57"/>
      <c r="M20" s="57"/>
      <c r="N20" s="57"/>
      <c r="O20" s="57"/>
      <c r="P20" s="57"/>
      <c r="Q20" s="57"/>
      <c r="R20" s="57"/>
    </row>
    <row r="21" spans="2:18" ht="15" customHeight="1" x14ac:dyDescent="0.2">
      <c r="C21" s="75" t="s">
        <v>103</v>
      </c>
      <c r="D21" s="212">
        <v>17.899999999999999</v>
      </c>
      <c r="L21" s="57"/>
      <c r="M21" s="57"/>
      <c r="N21" s="57"/>
      <c r="O21" s="57"/>
      <c r="P21" s="57"/>
      <c r="Q21" s="57"/>
      <c r="R21" s="57"/>
    </row>
    <row r="22" spans="2:18" ht="15" customHeight="1" x14ac:dyDescent="0.2">
      <c r="C22" s="75" t="s">
        <v>104</v>
      </c>
      <c r="D22" s="212">
        <v>30.8</v>
      </c>
      <c r="L22" s="57"/>
      <c r="M22" s="57"/>
      <c r="N22" s="57"/>
      <c r="O22" s="57"/>
      <c r="P22" s="57"/>
      <c r="Q22" s="57"/>
      <c r="R22" s="57"/>
    </row>
    <row r="23" spans="2:18" ht="15" customHeight="1" x14ac:dyDescent="0.2">
      <c r="C23" s="75" t="s">
        <v>75</v>
      </c>
      <c r="D23" s="212">
        <f>(D21*D14*D16+D22*D15*D17)</f>
        <v>29.968269709543563</v>
      </c>
      <c r="F23" s="58"/>
      <c r="L23" s="57"/>
      <c r="M23" s="57"/>
      <c r="N23" s="57"/>
      <c r="O23" s="57"/>
      <c r="P23" s="57"/>
      <c r="Q23" s="57"/>
      <c r="R23" s="57"/>
    </row>
    <row r="24" spans="2:18" ht="15" customHeight="1" x14ac:dyDescent="0.2">
      <c r="C24" s="192" t="s">
        <v>119</v>
      </c>
      <c r="D24" s="193">
        <v>0.43</v>
      </c>
      <c r="L24" s="57"/>
      <c r="M24" s="57"/>
      <c r="N24" s="57"/>
      <c r="O24" s="57"/>
      <c r="P24" s="57"/>
      <c r="Q24" s="57"/>
      <c r="R24" s="57"/>
    </row>
    <row r="25" spans="2:18" ht="15" customHeight="1" x14ac:dyDescent="0.2">
      <c r="C25" s="192" t="s">
        <v>120</v>
      </c>
      <c r="D25" s="193">
        <v>0.93</v>
      </c>
      <c r="L25" s="57"/>
      <c r="M25" s="57"/>
      <c r="N25" s="57"/>
      <c r="O25" s="57"/>
      <c r="P25" s="57"/>
      <c r="Q25" s="57"/>
      <c r="R25" s="57"/>
    </row>
    <row r="26" spans="2:18" ht="15" customHeight="1" x14ac:dyDescent="0.2">
      <c r="C26" s="58"/>
      <c r="D26" s="176"/>
      <c r="F26" s="58"/>
      <c r="L26" s="57"/>
      <c r="M26" s="57"/>
      <c r="N26" s="57"/>
      <c r="O26" s="57"/>
      <c r="P26" s="57"/>
      <c r="Q26" s="57"/>
      <c r="R26" s="57"/>
    </row>
    <row r="27" spans="2:18" ht="15" customHeight="1" x14ac:dyDescent="0.2">
      <c r="L27" s="57"/>
      <c r="M27" s="57"/>
      <c r="N27" s="57"/>
      <c r="O27" s="57"/>
      <c r="P27" s="57"/>
      <c r="Q27" s="57"/>
      <c r="R27" s="57"/>
    </row>
    <row r="28" spans="2:18" ht="15" customHeight="1" x14ac:dyDescent="0.2">
      <c r="B28" s="17" t="s">
        <v>3</v>
      </c>
      <c r="C28" s="17"/>
      <c r="D28" s="17"/>
      <c r="L28" s="57"/>
      <c r="M28" s="57"/>
      <c r="N28" s="57"/>
      <c r="O28" s="57"/>
      <c r="P28" s="57"/>
      <c r="Q28" s="57"/>
      <c r="R28" s="57"/>
    </row>
    <row r="29" spans="2:18" ht="15" customHeight="1" x14ac:dyDescent="0.25">
      <c r="B29" s="89" t="s">
        <v>57</v>
      </c>
      <c r="C29" s="439" t="s">
        <v>238</v>
      </c>
      <c r="D29" s="439"/>
      <c r="E29" s="439"/>
      <c r="F29" s="439"/>
      <c r="G29" s="439"/>
      <c r="L29" s="57"/>
      <c r="M29" s="57"/>
      <c r="N29" s="57"/>
      <c r="O29" s="57"/>
      <c r="P29" s="57"/>
      <c r="Q29" s="57"/>
      <c r="R29" s="57"/>
    </row>
    <row r="30" spans="2:18" ht="15" customHeight="1" x14ac:dyDescent="0.25">
      <c r="B30" s="90"/>
      <c r="C30" s="439"/>
      <c r="D30" s="439"/>
      <c r="E30" s="439"/>
      <c r="F30" s="439"/>
      <c r="G30" s="439"/>
      <c r="L30" s="57"/>
      <c r="M30" s="57"/>
      <c r="N30" s="57"/>
      <c r="O30" s="57"/>
      <c r="P30" s="57"/>
      <c r="Q30" s="57"/>
      <c r="R30" s="57"/>
    </row>
    <row r="31" spans="2:18" ht="15" customHeight="1" x14ac:dyDescent="0.25">
      <c r="B31" s="90"/>
      <c r="C31" s="439"/>
      <c r="D31" s="439"/>
      <c r="E31" s="439"/>
      <c r="F31" s="439"/>
      <c r="G31" s="439"/>
      <c r="L31" s="57"/>
      <c r="M31" s="57"/>
      <c r="N31" s="57"/>
      <c r="O31" s="57"/>
      <c r="P31" s="57"/>
      <c r="Q31" s="57"/>
      <c r="R31" s="57"/>
    </row>
    <row r="32" spans="2:18" ht="15" customHeight="1" x14ac:dyDescent="0.25">
      <c r="B32" s="90"/>
      <c r="C32" s="78"/>
      <c r="D32" s="78"/>
      <c r="E32" s="78"/>
      <c r="F32" s="78"/>
      <c r="G32" s="78"/>
      <c r="L32" s="57"/>
      <c r="M32" s="57"/>
      <c r="N32" s="57"/>
      <c r="O32" s="57"/>
      <c r="P32" s="57"/>
      <c r="Q32" s="57"/>
      <c r="R32" s="57"/>
    </row>
    <row r="33" spans="2:18" ht="15" customHeight="1" x14ac:dyDescent="0.25">
      <c r="B33" s="89" t="s">
        <v>71</v>
      </c>
      <c r="C33" s="439" t="s">
        <v>200</v>
      </c>
      <c r="D33" s="439"/>
      <c r="E33" s="439"/>
      <c r="F33" s="439"/>
      <c r="G33" s="439"/>
      <c r="L33" s="57"/>
      <c r="M33" s="57"/>
      <c r="N33" s="57"/>
      <c r="O33" s="57"/>
      <c r="P33" s="57"/>
      <c r="Q33" s="57"/>
      <c r="R33" s="57"/>
    </row>
    <row r="34" spans="2:18" ht="15" customHeight="1" x14ac:dyDescent="0.25">
      <c r="B34" s="89"/>
      <c r="C34" s="439"/>
      <c r="D34" s="439"/>
      <c r="E34" s="439"/>
      <c r="F34" s="439"/>
      <c r="G34" s="439"/>
      <c r="L34" s="57"/>
      <c r="M34" s="57"/>
      <c r="N34" s="57"/>
      <c r="O34" s="57"/>
      <c r="P34" s="57"/>
      <c r="Q34" s="57"/>
      <c r="R34" s="57"/>
    </row>
    <row r="35" spans="2:18" ht="15" customHeight="1" x14ac:dyDescent="0.25">
      <c r="B35" s="89"/>
      <c r="C35" s="439"/>
      <c r="D35" s="439"/>
      <c r="E35" s="439"/>
      <c r="F35" s="439"/>
      <c r="G35" s="439"/>
      <c r="L35" s="57"/>
      <c r="M35" s="57"/>
      <c r="N35" s="57"/>
      <c r="O35" s="57"/>
      <c r="P35" s="57"/>
      <c r="Q35" s="57"/>
      <c r="R35" s="57"/>
    </row>
    <row r="36" spans="2:18" ht="15" customHeight="1" x14ac:dyDescent="0.25">
      <c r="B36" s="89"/>
      <c r="C36" s="146"/>
      <c r="D36" s="146"/>
      <c r="E36" s="146"/>
      <c r="F36" s="146"/>
      <c r="G36" s="146"/>
      <c r="L36" s="57"/>
      <c r="M36" s="57"/>
      <c r="N36" s="57"/>
      <c r="O36" s="57"/>
      <c r="P36" s="57"/>
      <c r="Q36" s="57"/>
      <c r="R36" s="57"/>
    </row>
    <row r="37" spans="2:18" ht="15" customHeight="1" x14ac:dyDescent="0.25">
      <c r="B37" s="89" t="s">
        <v>72</v>
      </c>
      <c r="C37" s="439" t="s">
        <v>239</v>
      </c>
      <c r="D37" s="439"/>
      <c r="E37" s="439"/>
      <c r="F37" s="439"/>
      <c r="G37" s="439"/>
      <c r="L37" s="57"/>
      <c r="M37" s="57"/>
      <c r="N37" s="57"/>
      <c r="O37" s="57"/>
      <c r="P37" s="57"/>
      <c r="Q37" s="57"/>
      <c r="R37" s="57"/>
    </row>
    <row r="38" spans="2:18" ht="15" customHeight="1" x14ac:dyDescent="0.2">
      <c r="C38" s="439"/>
      <c r="D38" s="439"/>
      <c r="E38" s="439"/>
      <c r="F38" s="439"/>
      <c r="G38" s="439"/>
      <c r="L38" s="57"/>
      <c r="M38" s="57"/>
      <c r="N38" s="57"/>
      <c r="O38" s="57"/>
      <c r="P38" s="57"/>
      <c r="Q38" s="57"/>
      <c r="R38" s="57"/>
    </row>
    <row r="39" spans="2:18" ht="15" customHeight="1" x14ac:dyDescent="0.2">
      <c r="C39" s="439"/>
      <c r="D39" s="439"/>
      <c r="E39" s="439"/>
      <c r="F39" s="439"/>
      <c r="G39" s="439"/>
      <c r="L39" s="57"/>
      <c r="M39" s="57"/>
      <c r="N39" s="57"/>
      <c r="O39" s="57"/>
      <c r="P39" s="57"/>
      <c r="Q39" s="57"/>
      <c r="R39" s="57"/>
    </row>
    <row r="40" spans="2:18" ht="15" customHeight="1" x14ac:dyDescent="0.2">
      <c r="D40" s="95"/>
      <c r="E40" s="95"/>
      <c r="F40" s="95"/>
      <c r="G40" s="95"/>
      <c r="L40" s="57"/>
      <c r="M40" s="57"/>
      <c r="N40" s="57"/>
      <c r="O40" s="57"/>
      <c r="P40" s="57"/>
      <c r="Q40" s="57"/>
      <c r="R40" s="57"/>
    </row>
    <row r="41" spans="2:18" ht="15" customHeight="1" x14ac:dyDescent="0.25">
      <c r="B41" s="91" t="s">
        <v>73</v>
      </c>
      <c r="C41" s="440" t="s">
        <v>207</v>
      </c>
      <c r="D41" s="440"/>
      <c r="E41" s="440"/>
      <c r="F41" s="440"/>
      <c r="G41" s="440"/>
      <c r="L41" s="57"/>
      <c r="M41" s="57"/>
      <c r="N41" s="57"/>
      <c r="O41" s="57"/>
      <c r="P41" s="57"/>
      <c r="Q41" s="57"/>
      <c r="R41" s="57"/>
    </row>
    <row r="42" spans="2:18" ht="15" customHeight="1" x14ac:dyDescent="0.2">
      <c r="C42" s="440"/>
      <c r="D42" s="440"/>
      <c r="E42" s="440"/>
      <c r="F42" s="440"/>
      <c r="G42" s="440"/>
      <c r="L42" s="57"/>
      <c r="M42" s="57"/>
      <c r="N42" s="57"/>
      <c r="O42" s="57"/>
      <c r="P42" s="57"/>
      <c r="Q42" s="57"/>
      <c r="R42" s="57"/>
    </row>
    <row r="43" spans="2:18" x14ac:dyDescent="0.25">
      <c r="B43" s="91"/>
      <c r="C43" s="93"/>
      <c r="D43" s="94"/>
      <c r="E43" s="93"/>
      <c r="F43" s="93"/>
      <c r="G43" s="93"/>
      <c r="L43" s="57"/>
      <c r="M43" s="57"/>
      <c r="N43" s="57"/>
      <c r="O43" s="57"/>
      <c r="P43" s="57"/>
      <c r="Q43" s="57"/>
      <c r="R43" s="57"/>
    </row>
    <row r="44" spans="2:18" ht="15" customHeight="1" x14ac:dyDescent="0.25">
      <c r="B44" s="91" t="s">
        <v>74</v>
      </c>
      <c r="C44" s="440" t="s">
        <v>240</v>
      </c>
      <c r="D44" s="440"/>
      <c r="E44" s="440"/>
      <c r="F44" s="440"/>
      <c r="G44" s="440"/>
    </row>
    <row r="45" spans="2:18" ht="15" customHeight="1" x14ac:dyDescent="0.25">
      <c r="B45" s="91"/>
      <c r="C45" s="440"/>
      <c r="D45" s="440"/>
      <c r="E45" s="440"/>
      <c r="F45" s="440"/>
      <c r="G45" s="440"/>
      <c r="L45" s="57"/>
      <c r="M45" s="57"/>
      <c r="N45" s="57"/>
      <c r="O45" s="57"/>
      <c r="P45" s="57"/>
      <c r="Q45" s="57"/>
      <c r="R45" s="57"/>
    </row>
    <row r="46" spans="2:18" ht="15" customHeight="1" x14ac:dyDescent="0.2">
      <c r="B46" s="92"/>
      <c r="C46" s="95"/>
      <c r="D46" s="95"/>
      <c r="E46" s="95"/>
      <c r="F46" s="95"/>
      <c r="G46" s="95"/>
      <c r="L46" s="57"/>
      <c r="M46" s="57"/>
      <c r="N46" s="57"/>
      <c r="O46" s="57"/>
      <c r="P46" s="57"/>
      <c r="Q46" s="57"/>
      <c r="R46" s="57"/>
    </row>
    <row r="47" spans="2:18" ht="15" customHeight="1" x14ac:dyDescent="0.25">
      <c r="B47" s="91" t="s">
        <v>118</v>
      </c>
      <c r="C47" s="440" t="s">
        <v>241</v>
      </c>
      <c r="D47" s="440"/>
      <c r="E47" s="440"/>
      <c r="F47" s="440"/>
      <c r="G47" s="440"/>
      <c r="L47" s="57"/>
      <c r="M47" s="57"/>
      <c r="N47" s="57"/>
      <c r="O47" s="57"/>
      <c r="P47" s="57"/>
      <c r="Q47" s="57"/>
      <c r="R47" s="57"/>
    </row>
    <row r="48" spans="2:18" ht="15" customHeight="1" x14ac:dyDescent="0.25">
      <c r="B48" s="91"/>
      <c r="C48" s="440"/>
      <c r="D48" s="440"/>
      <c r="E48" s="440"/>
      <c r="F48" s="440"/>
      <c r="G48" s="440"/>
      <c r="L48" s="57"/>
      <c r="M48" s="57"/>
      <c r="N48" s="57"/>
      <c r="O48" s="57"/>
      <c r="P48" s="57"/>
      <c r="Q48" s="57"/>
      <c r="R48" s="57"/>
    </row>
    <row r="49" spans="2:19" ht="15" customHeight="1" x14ac:dyDescent="0.25">
      <c r="B49" s="91"/>
      <c r="C49" s="440"/>
      <c r="D49" s="440"/>
      <c r="E49" s="440"/>
      <c r="F49" s="440"/>
      <c r="G49" s="440"/>
      <c r="L49" s="57"/>
      <c r="M49" s="57"/>
      <c r="N49" s="57"/>
      <c r="O49" s="57"/>
      <c r="P49" s="57"/>
      <c r="Q49" s="57"/>
      <c r="R49" s="57"/>
    </row>
    <row r="50" spans="2:19" ht="15" customHeight="1" x14ac:dyDescent="0.2">
      <c r="B50" s="92"/>
      <c r="C50" s="95"/>
      <c r="D50" s="95"/>
      <c r="E50" s="95"/>
      <c r="F50" s="95"/>
      <c r="G50" s="95"/>
      <c r="H50" s="97"/>
      <c r="I50" s="56"/>
      <c r="J50" s="56"/>
      <c r="L50" s="57"/>
      <c r="M50" s="57"/>
      <c r="N50" s="57"/>
      <c r="O50" s="57"/>
      <c r="P50" s="57"/>
      <c r="Q50" s="57"/>
      <c r="R50" s="57"/>
    </row>
    <row r="51" spans="2:19" ht="15" customHeight="1" x14ac:dyDescent="0.2">
      <c r="C51" s="95"/>
      <c r="D51" s="95"/>
      <c r="E51" s="95"/>
      <c r="F51" s="95"/>
      <c r="G51" s="95"/>
      <c r="H51" s="97"/>
      <c r="I51" s="56"/>
      <c r="J51" s="56"/>
      <c r="L51" s="57"/>
      <c r="M51" s="57"/>
      <c r="N51" s="57"/>
      <c r="O51" s="57"/>
      <c r="P51" s="57"/>
      <c r="Q51" s="57"/>
      <c r="R51" s="57"/>
    </row>
    <row r="52" spans="2:19" ht="15" customHeight="1" x14ac:dyDescent="0.2">
      <c r="B52" s="92"/>
      <c r="H52" s="56"/>
      <c r="L52" s="57"/>
      <c r="M52" s="57"/>
      <c r="N52" s="57"/>
      <c r="O52" s="57"/>
      <c r="P52" s="57"/>
      <c r="Q52" s="57"/>
      <c r="R52" s="57"/>
    </row>
    <row r="53" spans="2:19" ht="15" customHeight="1" x14ac:dyDescent="0.2">
      <c r="B53" s="92"/>
      <c r="H53" s="56"/>
      <c r="L53" s="57"/>
      <c r="M53" s="57"/>
      <c r="N53" s="57"/>
      <c r="O53" s="57"/>
      <c r="P53" s="57"/>
      <c r="Q53" s="57"/>
      <c r="R53" s="57"/>
    </row>
    <row r="54" spans="2:19" ht="15" customHeight="1" x14ac:dyDescent="0.2">
      <c r="B54" s="92"/>
      <c r="H54" s="56"/>
      <c r="L54" s="57"/>
      <c r="M54" s="57"/>
      <c r="N54" s="57"/>
      <c r="O54" s="57"/>
      <c r="P54" s="57"/>
      <c r="Q54" s="57"/>
      <c r="R54" s="57"/>
    </row>
    <row r="55" spans="2:19" ht="15" customHeight="1" x14ac:dyDescent="0.2">
      <c r="B55" s="92"/>
      <c r="C55" s="96"/>
      <c r="D55" s="96"/>
      <c r="E55" s="96"/>
      <c r="F55" s="96"/>
      <c r="G55" s="96"/>
      <c r="H55" s="56"/>
      <c r="L55" s="57"/>
      <c r="M55" s="57"/>
      <c r="N55" s="57"/>
      <c r="O55" s="57"/>
      <c r="P55" s="57"/>
      <c r="Q55" s="57"/>
      <c r="R55" s="57"/>
    </row>
    <row r="56" spans="2:19" ht="15" customHeight="1" x14ac:dyDescent="0.2">
      <c r="B56" s="92"/>
      <c r="C56" s="440"/>
      <c r="D56" s="440"/>
      <c r="E56" s="440"/>
      <c r="F56" s="440"/>
      <c r="G56" s="440"/>
      <c r="L56" s="57"/>
      <c r="M56" s="57"/>
      <c r="N56" s="57"/>
      <c r="O56" s="57"/>
      <c r="P56" s="56"/>
      <c r="Q56" s="56"/>
      <c r="R56" s="56"/>
      <c r="S56" s="56"/>
    </row>
    <row r="57" spans="2:19" ht="15" customHeight="1" x14ac:dyDescent="0.2">
      <c r="B57" s="92"/>
      <c r="C57" s="440"/>
      <c r="D57" s="440"/>
      <c r="E57" s="440"/>
      <c r="F57" s="440"/>
      <c r="G57" s="440"/>
      <c r="K57" s="56"/>
      <c r="L57" s="56"/>
      <c r="M57" s="56"/>
      <c r="N57" s="56"/>
      <c r="O57" s="56"/>
      <c r="P57" s="57"/>
      <c r="Q57" s="57"/>
      <c r="R57" s="57"/>
    </row>
    <row r="58" spans="2:19" ht="15" customHeight="1" x14ac:dyDescent="0.2">
      <c r="B58" s="92"/>
      <c r="C58" s="96"/>
      <c r="D58" s="96"/>
      <c r="E58" s="96"/>
      <c r="F58" s="96"/>
      <c r="G58" s="96"/>
      <c r="L58" s="57"/>
      <c r="M58" s="57"/>
      <c r="N58" s="57"/>
      <c r="O58" s="57"/>
      <c r="P58" s="57"/>
      <c r="Q58" s="57"/>
      <c r="R58" s="57"/>
    </row>
    <row r="59" spans="2:19" ht="15" customHeight="1" x14ac:dyDescent="0.2">
      <c r="B59" s="92"/>
      <c r="C59" s="440"/>
      <c r="D59" s="440"/>
      <c r="E59" s="440"/>
      <c r="F59" s="440"/>
      <c r="G59" s="440"/>
      <c r="H59" s="56"/>
      <c r="L59" s="56"/>
      <c r="O59" s="57"/>
      <c r="P59" s="57"/>
      <c r="Q59" s="57"/>
      <c r="R59" s="57"/>
    </row>
    <row r="60" spans="2:19" ht="15" customHeight="1" x14ac:dyDescent="0.2">
      <c r="B60" s="56"/>
      <c r="C60" s="440"/>
      <c r="D60" s="440"/>
      <c r="E60" s="440"/>
      <c r="F60" s="440"/>
      <c r="G60" s="440"/>
      <c r="L60" s="56"/>
      <c r="M60" s="57"/>
      <c r="N60" s="57"/>
      <c r="O60" s="57"/>
      <c r="P60" s="56"/>
      <c r="Q60" s="56"/>
      <c r="R60" s="56"/>
    </row>
    <row r="61" spans="2:19" ht="15" customHeight="1" x14ac:dyDescent="0.2">
      <c r="B61" s="56"/>
      <c r="C61" s="440"/>
      <c r="D61" s="440"/>
      <c r="E61" s="440"/>
      <c r="F61" s="440"/>
      <c r="G61" s="440"/>
      <c r="K61" s="56"/>
      <c r="L61" s="56"/>
      <c r="M61" s="56"/>
      <c r="N61" s="56"/>
      <c r="O61" s="56"/>
      <c r="P61" s="57"/>
      <c r="Q61" s="57"/>
      <c r="R61" s="57"/>
    </row>
    <row r="62" spans="2:19" ht="15" customHeight="1" x14ac:dyDescent="0.2">
      <c r="B62" s="56"/>
      <c r="C62" s="440"/>
      <c r="D62" s="440"/>
      <c r="E62" s="440"/>
      <c r="F62" s="440"/>
      <c r="G62" s="440"/>
      <c r="L62" s="56"/>
      <c r="M62" s="57"/>
      <c r="N62" s="57"/>
      <c r="O62" s="57"/>
      <c r="P62" s="57"/>
      <c r="Q62" s="57"/>
      <c r="R62" s="57"/>
    </row>
    <row r="63" spans="2:19" ht="15" customHeight="1" x14ac:dyDescent="0.2">
      <c r="B63" s="98"/>
      <c r="C63" s="440"/>
      <c r="D63" s="440"/>
      <c r="E63" s="440"/>
      <c r="F63" s="440"/>
      <c r="G63" s="440"/>
      <c r="L63" s="57"/>
      <c r="M63" s="57"/>
      <c r="N63" s="57"/>
      <c r="O63" s="57"/>
      <c r="P63" s="57"/>
      <c r="Q63" s="57"/>
      <c r="R63" s="57"/>
    </row>
    <row r="64" spans="2:19" ht="15" customHeight="1" x14ac:dyDescent="0.2">
      <c r="B64" s="56"/>
      <c r="L64" s="57"/>
      <c r="M64" s="57"/>
      <c r="N64" s="57"/>
      <c r="O64" s="57"/>
      <c r="P64" s="57"/>
      <c r="Q64" s="57"/>
      <c r="R64" s="57"/>
    </row>
    <row r="65" spans="2:18" ht="15" customHeight="1" x14ac:dyDescent="0.2">
      <c r="B65" s="56"/>
      <c r="E65" s="59"/>
      <c r="F65" s="59"/>
      <c r="G65" s="59"/>
      <c r="L65" s="57"/>
      <c r="M65" s="57"/>
      <c r="N65" s="57"/>
      <c r="O65" s="57"/>
      <c r="P65" s="57"/>
      <c r="Q65" s="57"/>
      <c r="R65" s="57"/>
    </row>
    <row r="66" spans="2:18" ht="15" customHeight="1" x14ac:dyDescent="0.2">
      <c r="B66" s="56"/>
      <c r="E66" s="59"/>
      <c r="F66" s="59"/>
      <c r="G66" s="59"/>
      <c r="L66" s="57"/>
      <c r="M66" s="57"/>
      <c r="N66" s="57"/>
      <c r="O66" s="57"/>
      <c r="P66" s="57"/>
      <c r="Q66" s="57"/>
      <c r="R66" s="57"/>
    </row>
    <row r="67" spans="2:18" ht="15" customHeight="1" x14ac:dyDescent="0.2">
      <c r="B67" s="56"/>
      <c r="L67" s="57"/>
      <c r="M67" s="57"/>
      <c r="N67" s="57"/>
      <c r="O67" s="57"/>
      <c r="P67" s="57"/>
      <c r="Q67" s="57"/>
      <c r="R67" s="57"/>
    </row>
    <row r="68" spans="2:18" ht="15" customHeight="1" x14ac:dyDescent="0.2">
      <c r="L68" s="57"/>
      <c r="M68" s="57"/>
      <c r="N68" s="57"/>
      <c r="O68" s="57"/>
      <c r="P68" s="57"/>
      <c r="Q68" s="57"/>
      <c r="R68" s="57"/>
    </row>
    <row r="69" spans="2:18" ht="15" customHeight="1" x14ac:dyDescent="0.2">
      <c r="L69" s="57"/>
      <c r="M69" s="57"/>
      <c r="N69" s="57"/>
      <c r="O69" s="57"/>
      <c r="P69" s="57"/>
      <c r="Q69" s="57"/>
      <c r="R69" s="57"/>
    </row>
    <row r="70" spans="2:18" ht="15" customHeight="1" x14ac:dyDescent="0.2">
      <c r="L70" s="57"/>
      <c r="M70" s="57"/>
      <c r="N70" s="57"/>
      <c r="O70" s="57"/>
      <c r="P70" s="57"/>
      <c r="Q70" s="57"/>
      <c r="R70" s="57"/>
    </row>
    <row r="71" spans="2:18" ht="15" customHeight="1" x14ac:dyDescent="0.2">
      <c r="L71" s="57"/>
      <c r="M71" s="57"/>
      <c r="N71" s="57"/>
      <c r="O71" s="57"/>
      <c r="P71" s="57"/>
      <c r="Q71" s="57"/>
      <c r="R71" s="57"/>
    </row>
    <row r="72" spans="2:18" ht="15" customHeight="1" x14ac:dyDescent="0.2">
      <c r="L72" s="57"/>
      <c r="M72" s="57"/>
      <c r="N72" s="57"/>
      <c r="O72" s="57"/>
      <c r="P72" s="57"/>
      <c r="Q72" s="57"/>
      <c r="R72" s="57"/>
    </row>
    <row r="73" spans="2:18" ht="15" customHeight="1" x14ac:dyDescent="0.2">
      <c r="L73" s="57"/>
      <c r="M73" s="57"/>
      <c r="N73" s="57"/>
      <c r="O73" s="57"/>
      <c r="P73" s="57"/>
      <c r="Q73" s="57"/>
      <c r="R73" s="57"/>
    </row>
    <row r="74" spans="2:18" ht="15" customHeight="1" x14ac:dyDescent="0.2">
      <c r="I74" s="60"/>
      <c r="L74" s="57"/>
      <c r="M74" s="57"/>
      <c r="N74" s="57"/>
      <c r="O74" s="57"/>
      <c r="P74" s="57"/>
      <c r="Q74" s="57"/>
      <c r="R74" s="57"/>
    </row>
    <row r="75" spans="2:18" ht="15" customHeight="1" x14ac:dyDescent="0.2">
      <c r="L75" s="57"/>
      <c r="M75" s="57"/>
      <c r="N75" s="57"/>
      <c r="O75" s="57"/>
      <c r="P75" s="57"/>
      <c r="Q75" s="57"/>
      <c r="R75" s="57"/>
    </row>
    <row r="76" spans="2:18" ht="15" customHeight="1" x14ac:dyDescent="0.2">
      <c r="I76" s="60"/>
      <c r="L76" s="57"/>
      <c r="M76" s="57"/>
      <c r="N76" s="57"/>
      <c r="O76" s="57"/>
      <c r="P76" s="57"/>
      <c r="Q76" s="57"/>
      <c r="R76" s="57"/>
    </row>
    <row r="77" spans="2:18" ht="15" customHeight="1" x14ac:dyDescent="0.2">
      <c r="I77" s="60"/>
      <c r="L77" s="57"/>
      <c r="M77" s="57"/>
      <c r="N77" s="57"/>
      <c r="O77" s="57"/>
      <c r="P77" s="57"/>
      <c r="Q77" s="57"/>
      <c r="R77" s="57"/>
    </row>
    <row r="78" spans="2:18" ht="15" customHeight="1" x14ac:dyDescent="0.2">
      <c r="H78" s="59"/>
      <c r="L78" s="57"/>
      <c r="M78" s="57"/>
      <c r="N78" s="57"/>
      <c r="O78" s="57"/>
      <c r="P78" s="57"/>
      <c r="Q78" s="57"/>
      <c r="R78" s="57"/>
    </row>
    <row r="79" spans="2:18" ht="15" customHeight="1" x14ac:dyDescent="0.2">
      <c r="H79" s="59"/>
      <c r="L79" s="57"/>
      <c r="M79" s="57"/>
      <c r="N79" s="57"/>
      <c r="O79" s="57"/>
      <c r="P79" s="57"/>
      <c r="Q79" s="57"/>
      <c r="R79" s="57"/>
    </row>
    <row r="80" spans="2:18" ht="15" customHeight="1" x14ac:dyDescent="0.2">
      <c r="L80" s="57"/>
      <c r="M80" s="57"/>
      <c r="N80" s="57"/>
      <c r="O80" s="57"/>
      <c r="P80" s="57"/>
      <c r="Q80" s="57"/>
      <c r="R80" s="57"/>
    </row>
    <row r="81" spans="12:18" ht="15" customHeight="1" x14ac:dyDescent="0.2">
      <c r="L81" s="57"/>
      <c r="M81" s="57"/>
      <c r="N81" s="57"/>
      <c r="O81" s="57"/>
      <c r="P81" s="57"/>
      <c r="Q81" s="57"/>
      <c r="R81" s="57"/>
    </row>
    <row r="82" spans="12:18" ht="15" customHeight="1" x14ac:dyDescent="0.2">
      <c r="L82" s="57"/>
      <c r="M82" s="57"/>
      <c r="N82" s="57"/>
      <c r="O82" s="57"/>
      <c r="P82" s="57"/>
      <c r="Q82" s="57"/>
      <c r="R82" s="57"/>
    </row>
    <row r="83" spans="12:18" ht="15" customHeight="1" x14ac:dyDescent="0.2">
      <c r="L83" s="57"/>
      <c r="M83" s="57"/>
      <c r="N83" s="57"/>
      <c r="O83" s="57"/>
      <c r="P83" s="57"/>
      <c r="Q83" s="57"/>
      <c r="R83" s="57"/>
    </row>
    <row r="84" spans="12:18" ht="15" customHeight="1" x14ac:dyDescent="0.2">
      <c r="L84" s="57"/>
      <c r="M84" s="57"/>
      <c r="N84" s="57"/>
      <c r="O84" s="57"/>
      <c r="P84" s="57"/>
      <c r="Q84" s="57"/>
      <c r="R84" s="57"/>
    </row>
    <row r="85" spans="12:18" ht="15" customHeight="1" x14ac:dyDescent="0.2">
      <c r="L85" s="57"/>
      <c r="M85" s="57"/>
      <c r="N85" s="57"/>
      <c r="O85" s="57"/>
      <c r="P85" s="57"/>
      <c r="Q85" s="57"/>
      <c r="R85" s="57"/>
    </row>
    <row r="86" spans="12:18" ht="15" customHeight="1" x14ac:dyDescent="0.2">
      <c r="L86" s="57"/>
      <c r="M86" s="56"/>
      <c r="N86" s="57"/>
      <c r="O86" s="57"/>
      <c r="R86" s="57"/>
    </row>
    <row r="87" spans="12:18" ht="15" customHeight="1" x14ac:dyDescent="0.2">
      <c r="L87" s="57"/>
      <c r="M87" s="57"/>
      <c r="N87" s="57"/>
      <c r="P87" s="57"/>
      <c r="Q87" s="57"/>
      <c r="R87" s="57"/>
    </row>
    <row r="88" spans="12:18" ht="15" customHeight="1" x14ac:dyDescent="0.2">
      <c r="L88" s="56"/>
      <c r="M88" s="57"/>
      <c r="N88" s="56"/>
      <c r="O88" s="57"/>
      <c r="P88" s="57"/>
      <c r="Q88" s="57"/>
      <c r="R88" s="60"/>
    </row>
    <row r="89" spans="12:18" ht="15" customHeight="1" x14ac:dyDescent="0.2">
      <c r="L89" s="56"/>
      <c r="M89" s="56"/>
      <c r="N89" s="57"/>
      <c r="O89" s="57"/>
      <c r="R89" s="60"/>
    </row>
    <row r="90" spans="12:18" ht="15" customHeight="1" x14ac:dyDescent="0.2">
      <c r="N90" s="57"/>
      <c r="P90" s="57"/>
      <c r="Q90" s="57"/>
    </row>
    <row r="91" spans="12:18" ht="15" customHeight="1" x14ac:dyDescent="0.2">
      <c r="N91" s="56"/>
      <c r="O91" s="57"/>
    </row>
    <row r="95" spans="12:18" ht="15" customHeight="1" x14ac:dyDescent="0.2">
      <c r="L95" s="57"/>
      <c r="M95" s="57"/>
      <c r="R95" s="57"/>
    </row>
    <row r="96" spans="12:18" ht="15" customHeight="1" x14ac:dyDescent="0.2">
      <c r="L96" s="56"/>
      <c r="M96" s="57"/>
      <c r="P96" s="57"/>
      <c r="Q96" s="57"/>
      <c r="R96" s="57"/>
    </row>
    <row r="97" spans="12:18" ht="15" customHeight="1" x14ac:dyDescent="0.2">
      <c r="L97" s="56"/>
      <c r="M97" s="56"/>
      <c r="N97" s="57"/>
      <c r="O97" s="57"/>
      <c r="P97" s="57"/>
      <c r="Q97" s="57"/>
      <c r="R97" s="57"/>
    </row>
    <row r="98" spans="12:18" ht="15" customHeight="1" x14ac:dyDescent="0.2">
      <c r="L98" s="56"/>
      <c r="M98" s="56"/>
      <c r="N98" s="57"/>
      <c r="O98" s="57"/>
      <c r="P98" s="57"/>
      <c r="Q98" s="57"/>
      <c r="R98" s="57"/>
    </row>
    <row r="99" spans="12:18" ht="15" customHeight="1" x14ac:dyDescent="0.2">
      <c r="L99" s="56"/>
      <c r="M99" s="57"/>
      <c r="N99" s="56"/>
      <c r="O99" s="57"/>
      <c r="P99" s="57"/>
      <c r="Q99" s="57"/>
      <c r="R99" s="57"/>
    </row>
    <row r="100" spans="12:18" ht="15" customHeight="1" x14ac:dyDescent="0.2">
      <c r="L100" s="56"/>
      <c r="M100" s="57"/>
      <c r="N100" s="56"/>
      <c r="O100" s="57"/>
      <c r="P100" s="57"/>
      <c r="Q100" s="57"/>
      <c r="R100" s="57"/>
    </row>
    <row r="101" spans="12:18" ht="15" customHeight="1" x14ac:dyDescent="0.2">
      <c r="N101" s="57"/>
      <c r="O101" s="57"/>
      <c r="P101" s="57"/>
      <c r="Q101" s="57"/>
      <c r="R101" s="57"/>
    </row>
    <row r="102" spans="12:18" ht="15" customHeight="1" x14ac:dyDescent="0.2">
      <c r="N102" s="57"/>
      <c r="O102" s="57"/>
      <c r="R102" s="57"/>
    </row>
    <row r="103" spans="12:18" ht="15" customHeight="1" x14ac:dyDescent="0.2">
      <c r="P103" s="57"/>
      <c r="Q103" s="57"/>
      <c r="R103" s="57"/>
    </row>
    <row r="104" spans="12:18" ht="15" customHeight="1" x14ac:dyDescent="0.2">
      <c r="L104" s="57"/>
      <c r="M104" s="57"/>
      <c r="O104" s="57"/>
      <c r="P104" s="57"/>
      <c r="Q104" s="57"/>
      <c r="R104" s="57"/>
    </row>
    <row r="105" spans="12:18" ht="15" customHeight="1" x14ac:dyDescent="0.2">
      <c r="L105" s="57"/>
      <c r="M105" s="57"/>
      <c r="O105" s="57"/>
      <c r="P105" s="57"/>
      <c r="Q105" s="57"/>
      <c r="R105" s="57"/>
    </row>
    <row r="106" spans="12:18" ht="15" customHeight="1" x14ac:dyDescent="0.2">
      <c r="L106" s="57"/>
      <c r="M106" s="57"/>
      <c r="N106" s="57"/>
      <c r="O106" s="57"/>
      <c r="P106" s="57"/>
      <c r="Q106" s="57"/>
      <c r="R106" s="57"/>
    </row>
    <row r="107" spans="12:18" ht="15" customHeight="1" x14ac:dyDescent="0.2">
      <c r="L107" s="56"/>
      <c r="N107" s="57"/>
      <c r="O107" s="57"/>
      <c r="P107" s="57"/>
      <c r="Q107" s="57"/>
      <c r="R107" s="57"/>
    </row>
    <row r="108" spans="12:18" ht="15" customHeight="1" x14ac:dyDescent="0.2">
      <c r="L108" s="56"/>
      <c r="N108" s="57"/>
      <c r="O108" s="57"/>
      <c r="R108" s="57"/>
    </row>
    <row r="109" spans="12:18" ht="15" customHeight="1" x14ac:dyDescent="0.2">
      <c r="R109" s="57"/>
    </row>
    <row r="110" spans="12:18" ht="15" customHeight="1" x14ac:dyDescent="0.2">
      <c r="L110" s="57"/>
      <c r="M110" s="57"/>
      <c r="R110" s="57"/>
    </row>
    <row r="111" spans="12:18" ht="15" customHeight="1" x14ac:dyDescent="0.2">
      <c r="L111" s="57"/>
      <c r="M111" s="57"/>
      <c r="P111" s="57"/>
      <c r="Q111" s="57"/>
      <c r="R111" s="57"/>
    </row>
    <row r="112" spans="12:18" ht="15" customHeight="1" x14ac:dyDescent="0.2">
      <c r="L112" s="57"/>
      <c r="M112" s="57"/>
      <c r="N112" s="57"/>
      <c r="O112" s="57"/>
      <c r="P112" s="57"/>
      <c r="Q112" s="57"/>
      <c r="R112" s="57"/>
    </row>
    <row r="113" s="57" customFormat="1" ht="15" customHeight="1" x14ac:dyDescent="0.2"/>
    <row r="114" s="57" customFormat="1" ht="15" customHeight="1" x14ac:dyDescent="0.2"/>
    <row r="115" s="57" customFormat="1" ht="15" customHeight="1" x14ac:dyDescent="0.2"/>
    <row r="116" s="57" customFormat="1" ht="15" customHeight="1" x14ac:dyDescent="0.2"/>
    <row r="117" s="57" customFormat="1" ht="15" customHeight="1" x14ac:dyDescent="0.2"/>
    <row r="118" s="57" customFormat="1" ht="15" customHeight="1" x14ac:dyDescent="0.2"/>
    <row r="119" s="57" customFormat="1" ht="15" customHeight="1" x14ac:dyDescent="0.2"/>
    <row r="120" s="57" customFormat="1" ht="15" customHeight="1" x14ac:dyDescent="0.2"/>
    <row r="121" s="57" customFormat="1" ht="15" customHeight="1" x14ac:dyDescent="0.2"/>
    <row r="122" s="57" customFormat="1" ht="15" customHeight="1" x14ac:dyDescent="0.2"/>
    <row r="123" s="57" customFormat="1" ht="15" customHeight="1" x14ac:dyDescent="0.2"/>
    <row r="124" s="57" customFormat="1" ht="15" customHeight="1" x14ac:dyDescent="0.2"/>
    <row r="125" s="57" customFormat="1" ht="15" customHeight="1" x14ac:dyDescent="0.2"/>
    <row r="126" s="57" customFormat="1" ht="15" customHeight="1" x14ac:dyDescent="0.2"/>
    <row r="127" s="57" customFormat="1" ht="15" customHeight="1" x14ac:dyDescent="0.2"/>
    <row r="128" s="57" customFormat="1" ht="15" customHeight="1" x14ac:dyDescent="0.2"/>
    <row r="129" s="57" customFormat="1" ht="15" customHeight="1" x14ac:dyDescent="0.2"/>
    <row r="130" s="57" customFormat="1" ht="15" customHeight="1" x14ac:dyDescent="0.2"/>
    <row r="131" s="57" customFormat="1" ht="15" customHeight="1" x14ac:dyDescent="0.2"/>
    <row r="132" s="57" customFormat="1" ht="15" customHeight="1" x14ac:dyDescent="0.2"/>
    <row r="133" s="57" customFormat="1" ht="15" customHeight="1" x14ac:dyDescent="0.2"/>
    <row r="134" s="57" customFormat="1" ht="15" customHeight="1" x14ac:dyDescent="0.2"/>
    <row r="135" s="57" customFormat="1" ht="15" customHeight="1" x14ac:dyDescent="0.2"/>
    <row r="136" s="57" customFormat="1" ht="15" customHeight="1" x14ac:dyDescent="0.2"/>
    <row r="137" s="57" customFormat="1" ht="15" customHeight="1" x14ac:dyDescent="0.2"/>
    <row r="138" s="57" customFormat="1" ht="15" customHeight="1" x14ac:dyDescent="0.2"/>
    <row r="139" s="57" customFormat="1" ht="15" customHeight="1" x14ac:dyDescent="0.2"/>
    <row r="140" s="57" customFormat="1" ht="15" customHeight="1" x14ac:dyDescent="0.2"/>
    <row r="141" s="57" customFormat="1" ht="15" customHeight="1" x14ac:dyDescent="0.2"/>
    <row r="142" s="57" customFormat="1" ht="15" customHeight="1" x14ac:dyDescent="0.2"/>
    <row r="143" s="57" customFormat="1" ht="15" customHeight="1" x14ac:dyDescent="0.2"/>
    <row r="144" s="57" customFormat="1" ht="15" customHeight="1" x14ac:dyDescent="0.2"/>
    <row r="145" s="57" customFormat="1" ht="15" customHeight="1" x14ac:dyDescent="0.2"/>
    <row r="146" s="57" customFormat="1" ht="15" customHeight="1" x14ac:dyDescent="0.2"/>
    <row r="147" s="57" customFormat="1" ht="15" customHeight="1" x14ac:dyDescent="0.2"/>
    <row r="148" s="57" customFormat="1" ht="15" customHeight="1" x14ac:dyDescent="0.2"/>
    <row r="149" s="57" customFormat="1" ht="15" customHeight="1" x14ac:dyDescent="0.2"/>
    <row r="150" s="57" customFormat="1" ht="15" customHeight="1" x14ac:dyDescent="0.2"/>
    <row r="151" s="57" customFormat="1" ht="15" customHeight="1" x14ac:dyDescent="0.2"/>
    <row r="152" s="57" customFormat="1" ht="15" customHeight="1" x14ac:dyDescent="0.2"/>
    <row r="153" s="57" customFormat="1" ht="15" customHeight="1" x14ac:dyDescent="0.2"/>
    <row r="154" s="57" customFormat="1" ht="15" customHeight="1" x14ac:dyDescent="0.2"/>
    <row r="155" s="57" customFormat="1" ht="15" customHeight="1" x14ac:dyDescent="0.2"/>
    <row r="156" s="57" customFormat="1" ht="15" customHeight="1" x14ac:dyDescent="0.2"/>
    <row r="157" s="57" customFormat="1" ht="15" customHeight="1" x14ac:dyDescent="0.2"/>
    <row r="158" s="57" customFormat="1" ht="15" customHeight="1" x14ac:dyDescent="0.2"/>
    <row r="159" s="57" customFormat="1" ht="15" customHeight="1" x14ac:dyDescent="0.2"/>
    <row r="160" s="57" customFormat="1" ht="15" customHeight="1" x14ac:dyDescent="0.2"/>
    <row r="161" s="57" customFormat="1" ht="15" customHeight="1" x14ac:dyDescent="0.2"/>
    <row r="162" s="57" customFormat="1" ht="15" customHeight="1" x14ac:dyDescent="0.2"/>
    <row r="163" s="57" customFormat="1" ht="15" customHeight="1" x14ac:dyDescent="0.2"/>
    <row r="164" s="57" customFormat="1" ht="15" customHeight="1" x14ac:dyDescent="0.2"/>
    <row r="165" s="57" customFormat="1" ht="15" customHeight="1" x14ac:dyDescent="0.2"/>
    <row r="166" s="57" customFormat="1" ht="15" customHeight="1" x14ac:dyDescent="0.2"/>
    <row r="167" s="57" customFormat="1" ht="15" customHeight="1" x14ac:dyDescent="0.2"/>
    <row r="168" s="57" customFormat="1" ht="15" customHeight="1" x14ac:dyDescent="0.2"/>
    <row r="169" s="57" customFormat="1" ht="15" customHeight="1" x14ac:dyDescent="0.2"/>
    <row r="170" s="57" customFormat="1" ht="15" customHeight="1" x14ac:dyDescent="0.2"/>
    <row r="171" s="57" customFormat="1" ht="15" customHeight="1" x14ac:dyDescent="0.2"/>
    <row r="172" s="57" customFormat="1" ht="15" customHeight="1" x14ac:dyDescent="0.2"/>
    <row r="173" s="57" customFormat="1" ht="15" customHeight="1" x14ac:dyDescent="0.2"/>
    <row r="174" s="57" customFormat="1" ht="15" customHeight="1" x14ac:dyDescent="0.2"/>
    <row r="175" s="57" customFormat="1" ht="15" customHeight="1" x14ac:dyDescent="0.2"/>
    <row r="176" s="57" customFormat="1" ht="15" customHeight="1" x14ac:dyDescent="0.2"/>
    <row r="177" s="57" customFormat="1" ht="15" customHeight="1" x14ac:dyDescent="0.2"/>
    <row r="178" s="57" customFormat="1" ht="15" customHeight="1" x14ac:dyDescent="0.2"/>
    <row r="179" s="57" customFormat="1" ht="15" customHeight="1" x14ac:dyDescent="0.2"/>
    <row r="180" s="57" customFormat="1" ht="15" customHeight="1" x14ac:dyDescent="0.2"/>
    <row r="181" s="57" customFormat="1" ht="15" customHeight="1" x14ac:dyDescent="0.2"/>
    <row r="182" s="57" customFormat="1" ht="15" customHeight="1" x14ac:dyDescent="0.2"/>
    <row r="183" s="57" customFormat="1" ht="15" customHeight="1" x14ac:dyDescent="0.2"/>
    <row r="184" s="57" customFormat="1" ht="15" customHeight="1" x14ac:dyDescent="0.2"/>
    <row r="185" s="57" customFormat="1" ht="15" customHeight="1" x14ac:dyDescent="0.2"/>
    <row r="186" s="57" customFormat="1" ht="15" customHeight="1" x14ac:dyDescent="0.2"/>
    <row r="187" s="57" customFormat="1" ht="15" customHeight="1" x14ac:dyDescent="0.2"/>
    <row r="188" s="57" customFormat="1" ht="15" customHeight="1" x14ac:dyDescent="0.2"/>
    <row r="189" s="57" customFormat="1" ht="15" customHeight="1" x14ac:dyDescent="0.2"/>
    <row r="190" s="57" customFormat="1" ht="15" customHeight="1" x14ac:dyDescent="0.2"/>
    <row r="191" s="57" customFormat="1" ht="15" customHeight="1" x14ac:dyDescent="0.2"/>
    <row r="192" s="57" customFormat="1" ht="15" customHeight="1" x14ac:dyDescent="0.2"/>
    <row r="193" s="57" customFormat="1" ht="15" customHeight="1" x14ac:dyDescent="0.2"/>
    <row r="194" s="57" customFormat="1" ht="15" customHeight="1" x14ac:dyDescent="0.2"/>
    <row r="195" s="57" customFormat="1" ht="15" customHeight="1" x14ac:dyDescent="0.2"/>
    <row r="196" s="57" customFormat="1" ht="15" customHeight="1" x14ac:dyDescent="0.2"/>
    <row r="197" s="57" customFormat="1" ht="15" customHeight="1" x14ac:dyDescent="0.2"/>
    <row r="198" s="57" customFormat="1" ht="15" customHeight="1" x14ac:dyDescent="0.2"/>
    <row r="199" s="57" customFormat="1" ht="15" customHeight="1" x14ac:dyDescent="0.2"/>
    <row r="200" s="57" customFormat="1" ht="15" customHeight="1" x14ac:dyDescent="0.2"/>
    <row r="201" s="57" customFormat="1" ht="15" customHeight="1" x14ac:dyDescent="0.2"/>
    <row r="202" s="57" customFormat="1" ht="15" customHeight="1" x14ac:dyDescent="0.2"/>
    <row r="203" s="57" customFormat="1" ht="15" customHeight="1" x14ac:dyDescent="0.2"/>
    <row r="204" s="57" customFormat="1" ht="15" customHeight="1" x14ac:dyDescent="0.2"/>
    <row r="205" s="57" customFormat="1" ht="15" customHeight="1" x14ac:dyDescent="0.2"/>
    <row r="206" s="57" customFormat="1" ht="15" customHeight="1" x14ac:dyDescent="0.2"/>
    <row r="207" s="57" customFormat="1" ht="15" customHeight="1" x14ac:dyDescent="0.2"/>
    <row r="208" s="57" customFormat="1" ht="15" customHeight="1" x14ac:dyDescent="0.2"/>
    <row r="209" s="57" customFormat="1" ht="15" customHeight="1" x14ac:dyDescent="0.2"/>
    <row r="210" s="57" customFormat="1" ht="15" customHeight="1" x14ac:dyDescent="0.2"/>
    <row r="211" s="57" customFormat="1" ht="15" customHeight="1" x14ac:dyDescent="0.2"/>
    <row r="212" s="57" customFormat="1" ht="15" customHeight="1" x14ac:dyDescent="0.2"/>
    <row r="213" s="57" customFormat="1" ht="15" customHeight="1" x14ac:dyDescent="0.2"/>
    <row r="214" s="57" customFormat="1" ht="15" customHeight="1" x14ac:dyDescent="0.2"/>
    <row r="215" s="57" customFormat="1" ht="15" customHeight="1" x14ac:dyDescent="0.2"/>
    <row r="216" s="57" customFormat="1" ht="15" customHeight="1" x14ac:dyDescent="0.2"/>
    <row r="217" s="57" customFormat="1" ht="15" customHeight="1" x14ac:dyDescent="0.2"/>
    <row r="218" s="57" customFormat="1" ht="15" customHeight="1" x14ac:dyDescent="0.2"/>
    <row r="219" s="57" customFormat="1" ht="15" customHeight="1" x14ac:dyDescent="0.2"/>
    <row r="220" s="57" customFormat="1" ht="15" customHeight="1" x14ac:dyDescent="0.2"/>
    <row r="221" s="57" customFormat="1" ht="15" customHeight="1" x14ac:dyDescent="0.2"/>
    <row r="222" s="57" customFormat="1" ht="15" customHeight="1" x14ac:dyDescent="0.2"/>
    <row r="223" s="57" customFormat="1" ht="15" customHeight="1" x14ac:dyDescent="0.2"/>
    <row r="224" s="57" customFormat="1" ht="15" customHeight="1" x14ac:dyDescent="0.2"/>
    <row r="225" s="57" customFormat="1" ht="15" customHeight="1" x14ac:dyDescent="0.2"/>
    <row r="226" s="57" customFormat="1" ht="15" customHeight="1" x14ac:dyDescent="0.2"/>
    <row r="227" s="57" customFormat="1" ht="15" customHeight="1" x14ac:dyDescent="0.2"/>
    <row r="228" s="57" customFormat="1" ht="15" customHeight="1" x14ac:dyDescent="0.2"/>
    <row r="229" s="57" customFormat="1" ht="15" customHeight="1" x14ac:dyDescent="0.2"/>
    <row r="230" s="57" customFormat="1" ht="15" customHeight="1" x14ac:dyDescent="0.2"/>
    <row r="231" s="57" customFormat="1" ht="15" customHeight="1" x14ac:dyDescent="0.2"/>
    <row r="232" s="57" customFormat="1" ht="15" customHeight="1" x14ac:dyDescent="0.2"/>
    <row r="233" s="57" customFormat="1" ht="15" customHeight="1" x14ac:dyDescent="0.2"/>
    <row r="234" s="57" customFormat="1" ht="15" customHeight="1" x14ac:dyDescent="0.2"/>
    <row r="235" s="57" customFormat="1" ht="15" customHeight="1" x14ac:dyDescent="0.2"/>
    <row r="236" s="57" customFormat="1" ht="15" customHeight="1" x14ac:dyDescent="0.2"/>
    <row r="237" s="57" customFormat="1" ht="15" customHeight="1" x14ac:dyDescent="0.2"/>
    <row r="238" s="57" customFormat="1" ht="15" customHeight="1" x14ac:dyDescent="0.2"/>
    <row r="239" s="57" customFormat="1" ht="15" customHeight="1" x14ac:dyDescent="0.2"/>
    <row r="240" s="57" customFormat="1" ht="15" customHeight="1" x14ac:dyDescent="0.2"/>
    <row r="241" s="57" customFormat="1" ht="15" customHeight="1" x14ac:dyDescent="0.2"/>
    <row r="242" s="57" customFormat="1" ht="15" customHeight="1" x14ac:dyDescent="0.2"/>
    <row r="243" s="57" customFormat="1" ht="15" customHeight="1" x14ac:dyDescent="0.2"/>
    <row r="244" s="57" customFormat="1" ht="15" customHeight="1" x14ac:dyDescent="0.2"/>
    <row r="245" s="57" customFormat="1" ht="15" customHeight="1" x14ac:dyDescent="0.2"/>
    <row r="246" s="57" customFormat="1" ht="15" customHeight="1" x14ac:dyDescent="0.2"/>
    <row r="247" s="57" customFormat="1" ht="15" customHeight="1" x14ac:dyDescent="0.2"/>
    <row r="248" s="57" customFormat="1" ht="15" customHeight="1" x14ac:dyDescent="0.2"/>
    <row r="249" s="57" customFormat="1" ht="15" customHeight="1" x14ac:dyDescent="0.2"/>
    <row r="250" s="57" customFormat="1" ht="15" customHeight="1" x14ac:dyDescent="0.2"/>
    <row r="251" s="57" customFormat="1" ht="15" customHeight="1" x14ac:dyDescent="0.2"/>
    <row r="252" s="57" customFormat="1" ht="15" customHeight="1" x14ac:dyDescent="0.2"/>
    <row r="253" s="57" customFormat="1" ht="15" customHeight="1" x14ac:dyDescent="0.2"/>
    <row r="254" s="57" customFormat="1" ht="15" customHeight="1" x14ac:dyDescent="0.2"/>
    <row r="255" s="57" customFormat="1" ht="15" customHeight="1" x14ac:dyDescent="0.2"/>
    <row r="256" s="57" customFormat="1" ht="15" customHeight="1" x14ac:dyDescent="0.2"/>
    <row r="257" s="57" customFormat="1" ht="15" customHeight="1" x14ac:dyDescent="0.2"/>
    <row r="258" s="57" customFormat="1" ht="15" customHeight="1" x14ac:dyDescent="0.2"/>
    <row r="259" s="57" customFormat="1" ht="15" customHeight="1" x14ac:dyDescent="0.2"/>
    <row r="260" s="57" customFormat="1" ht="15" customHeight="1" x14ac:dyDescent="0.2"/>
    <row r="261" s="57" customFormat="1" ht="15" customHeight="1" x14ac:dyDescent="0.2"/>
    <row r="262" s="57" customFormat="1" ht="15" customHeight="1" x14ac:dyDescent="0.2"/>
    <row r="263" s="57" customFormat="1" ht="15" customHeight="1" x14ac:dyDescent="0.2"/>
    <row r="264" s="57" customFormat="1" ht="15" customHeight="1" x14ac:dyDescent="0.2"/>
    <row r="265" s="57" customFormat="1" ht="15" customHeight="1" x14ac:dyDescent="0.2"/>
    <row r="266" s="57" customFormat="1" ht="15" customHeight="1" x14ac:dyDescent="0.2"/>
    <row r="267" s="57" customFormat="1" ht="15" customHeight="1" x14ac:dyDescent="0.2"/>
    <row r="268" s="57" customFormat="1" ht="15" customHeight="1" x14ac:dyDescent="0.2"/>
    <row r="269" s="57" customFormat="1" ht="15" customHeight="1" x14ac:dyDescent="0.2"/>
    <row r="270" s="57" customFormat="1" ht="15" customHeight="1" x14ac:dyDescent="0.2"/>
    <row r="271" s="57" customFormat="1" ht="15" customHeight="1" x14ac:dyDescent="0.2"/>
    <row r="272" s="57" customFormat="1" ht="15" customHeight="1" x14ac:dyDescent="0.2"/>
    <row r="273" s="57" customFormat="1" ht="15" customHeight="1" x14ac:dyDescent="0.2"/>
    <row r="274" s="57" customFormat="1" ht="15" customHeight="1" x14ac:dyDescent="0.2"/>
    <row r="275" s="57" customFormat="1" ht="15" customHeight="1" x14ac:dyDescent="0.2"/>
    <row r="276" s="57" customFormat="1" ht="15" customHeight="1" x14ac:dyDescent="0.2"/>
    <row r="277" s="57" customFormat="1" ht="15" customHeight="1" x14ac:dyDescent="0.2"/>
    <row r="278" s="57" customFormat="1" ht="15" customHeight="1" x14ac:dyDescent="0.2"/>
    <row r="279" s="57" customFormat="1" ht="15" customHeight="1" x14ac:dyDescent="0.2"/>
    <row r="280" s="57" customFormat="1" ht="15" customHeight="1" x14ac:dyDescent="0.2"/>
    <row r="281" s="57" customFormat="1" ht="15" customHeight="1" x14ac:dyDescent="0.2"/>
    <row r="282" s="57" customFormat="1" ht="15" customHeight="1" x14ac:dyDescent="0.2"/>
    <row r="283" s="57" customFormat="1" ht="15" customHeight="1" x14ac:dyDescent="0.2"/>
    <row r="284" s="57" customFormat="1" ht="15" customHeight="1" x14ac:dyDescent="0.2"/>
    <row r="285" s="57" customFormat="1" ht="15" customHeight="1" x14ac:dyDescent="0.2"/>
    <row r="286" s="57" customFormat="1" ht="15" customHeight="1" x14ac:dyDescent="0.2"/>
    <row r="287" s="57" customFormat="1" ht="15" customHeight="1" x14ac:dyDescent="0.2"/>
    <row r="288" s="57" customFormat="1" ht="15" customHeight="1" x14ac:dyDescent="0.2"/>
    <row r="289" s="57" customFormat="1" ht="15" customHeight="1" x14ac:dyDescent="0.2"/>
    <row r="290" s="57" customFormat="1" ht="15" customHeight="1" x14ac:dyDescent="0.2"/>
    <row r="291" s="57" customFormat="1" ht="15" customHeight="1" x14ac:dyDescent="0.2"/>
    <row r="292" s="57" customFormat="1" ht="15" customHeight="1" x14ac:dyDescent="0.2"/>
    <row r="293" s="57" customFormat="1" ht="15" customHeight="1" x14ac:dyDescent="0.2"/>
    <row r="294" s="57" customFormat="1" ht="15" customHeight="1" x14ac:dyDescent="0.2"/>
    <row r="295" s="57" customFormat="1" ht="15" customHeight="1" x14ac:dyDescent="0.2"/>
    <row r="296" s="57" customFormat="1" ht="15" customHeight="1" x14ac:dyDescent="0.2"/>
    <row r="297" s="57" customFormat="1" ht="15" customHeight="1" x14ac:dyDescent="0.2"/>
    <row r="298" s="57" customFormat="1" ht="15" customHeight="1" x14ac:dyDescent="0.2"/>
    <row r="299" s="57" customFormat="1" ht="15" customHeight="1" x14ac:dyDescent="0.2"/>
    <row r="300" s="57" customFormat="1" ht="15" customHeight="1" x14ac:dyDescent="0.2"/>
    <row r="301" s="57" customFormat="1" ht="15" customHeight="1" x14ac:dyDescent="0.2"/>
    <row r="302" s="57" customFormat="1" ht="15" customHeight="1" x14ac:dyDescent="0.2"/>
    <row r="303" s="57" customFormat="1" ht="15" customHeight="1" x14ac:dyDescent="0.2"/>
    <row r="304" s="57" customFormat="1" ht="15" customHeight="1" x14ac:dyDescent="0.2"/>
    <row r="305" s="57" customFormat="1" ht="15" customHeight="1" x14ac:dyDescent="0.2"/>
    <row r="306" s="57" customFormat="1" ht="15" customHeight="1" x14ac:dyDescent="0.2"/>
    <row r="307" s="57" customFormat="1" ht="15" customHeight="1" x14ac:dyDescent="0.2"/>
    <row r="308" s="57" customFormat="1" ht="15" customHeight="1" x14ac:dyDescent="0.2"/>
    <row r="309" s="57" customFormat="1" ht="15" customHeight="1" x14ac:dyDescent="0.2"/>
    <row r="310" s="57" customFormat="1" ht="15" customHeight="1" x14ac:dyDescent="0.2"/>
    <row r="311" s="57" customFormat="1" ht="15" customHeight="1" x14ac:dyDescent="0.2"/>
    <row r="312" s="57" customFormat="1" ht="15" customHeight="1" x14ac:dyDescent="0.2"/>
    <row r="313" s="57" customFormat="1" ht="15" customHeight="1" x14ac:dyDescent="0.2"/>
    <row r="314" s="57" customFormat="1" ht="15" customHeight="1" x14ac:dyDescent="0.2"/>
    <row r="315" s="57" customFormat="1" ht="15" customHeight="1" x14ac:dyDescent="0.2"/>
    <row r="316" s="57" customFormat="1" ht="15" customHeight="1" x14ac:dyDescent="0.2"/>
    <row r="317" s="57" customFormat="1" ht="15" customHeight="1" x14ac:dyDescent="0.2"/>
    <row r="318" s="57" customFormat="1" ht="15" customHeight="1" x14ac:dyDescent="0.2"/>
    <row r="319" s="57" customFormat="1" ht="15" customHeight="1" x14ac:dyDescent="0.2"/>
    <row r="320" s="57" customFormat="1" ht="15" customHeight="1" x14ac:dyDescent="0.2"/>
    <row r="321" s="57" customFormat="1" ht="15" customHeight="1" x14ac:dyDescent="0.2"/>
    <row r="322" s="57" customFormat="1" ht="15" customHeight="1" x14ac:dyDescent="0.2"/>
    <row r="323" s="57" customFormat="1" ht="15" customHeight="1" x14ac:dyDescent="0.2"/>
    <row r="324" s="57" customFormat="1" ht="15" customHeight="1" x14ac:dyDescent="0.2"/>
    <row r="325" s="57" customFormat="1" ht="15" customHeight="1" x14ac:dyDescent="0.2"/>
    <row r="326" s="57" customFormat="1" ht="15" customHeight="1" x14ac:dyDescent="0.2"/>
    <row r="327" s="57" customFormat="1" ht="15" customHeight="1" x14ac:dyDescent="0.2"/>
    <row r="328" s="57" customFormat="1" ht="15" customHeight="1" x14ac:dyDescent="0.2"/>
    <row r="329" s="57" customFormat="1" ht="15" customHeight="1" x14ac:dyDescent="0.2"/>
    <row r="330" s="57" customFormat="1" ht="15" customHeight="1" x14ac:dyDescent="0.2"/>
    <row r="331" s="57" customFormat="1" ht="15" customHeight="1" x14ac:dyDescent="0.2"/>
    <row r="332" s="57" customFormat="1" ht="15" customHeight="1" x14ac:dyDescent="0.2"/>
    <row r="333" s="57" customFormat="1" ht="15" customHeight="1" x14ac:dyDescent="0.2"/>
    <row r="334" s="57" customFormat="1" ht="15" customHeight="1" x14ac:dyDescent="0.2"/>
    <row r="335" s="57" customFormat="1" ht="15" customHeight="1" x14ac:dyDescent="0.2"/>
    <row r="336" s="57" customFormat="1" ht="15" customHeight="1" x14ac:dyDescent="0.2"/>
    <row r="337" spans="12:18" ht="15" customHeight="1" x14ac:dyDescent="0.2">
      <c r="N337" s="57"/>
      <c r="O337" s="57"/>
      <c r="P337" s="57"/>
      <c r="Q337" s="57"/>
      <c r="R337" s="57"/>
    </row>
    <row r="338" spans="12:18" ht="15" customHeight="1" x14ac:dyDescent="0.2">
      <c r="N338" s="57"/>
      <c r="O338" s="57"/>
    </row>
    <row r="341" spans="12:18" ht="15" customHeight="1" x14ac:dyDescent="0.2">
      <c r="L341" s="57"/>
      <c r="M341" s="57"/>
    </row>
    <row r="342" spans="12:18" ht="15" customHeight="1" x14ac:dyDescent="0.2">
      <c r="L342" s="57"/>
      <c r="M342" s="57"/>
      <c r="P342" s="57"/>
      <c r="Q342" s="57"/>
      <c r="R342" s="57"/>
    </row>
    <row r="343" spans="12:18" ht="15" customHeight="1" x14ac:dyDescent="0.2">
      <c r="N343" s="57"/>
      <c r="O343" s="57"/>
      <c r="P343" s="57"/>
      <c r="Q343" s="57"/>
      <c r="R343" s="57"/>
    </row>
    <row r="344" spans="12:18" ht="15" customHeight="1" x14ac:dyDescent="0.2">
      <c r="N344" s="57"/>
      <c r="O344" s="57"/>
    </row>
  </sheetData>
  <mergeCells count="8">
    <mergeCell ref="C29:G31"/>
    <mergeCell ref="C37:G39"/>
    <mergeCell ref="C56:G57"/>
    <mergeCell ref="C59:G63"/>
    <mergeCell ref="C41:G42"/>
    <mergeCell ref="C47:G49"/>
    <mergeCell ref="C33:G35"/>
    <mergeCell ref="C44:G45"/>
  </mergeCells>
  <printOptions horizontalCentered="1"/>
  <pageMargins left="0.25" right="0.25" top="0.75" bottom="0.75" header="0.3" footer="0.3"/>
  <pageSetup paperSize="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52C0-21B7-47D1-A47C-8593551B6954}">
  <sheetPr>
    <tabColor rgb="FF0070C0"/>
    <pageSetUpPr fitToPage="1"/>
  </sheetPr>
  <dimension ref="A1:P91"/>
  <sheetViews>
    <sheetView tabSelected="1" view="pageBreakPreview" zoomScale="85" zoomScaleNormal="100" zoomScaleSheetLayoutView="85" workbookViewId="0">
      <selection activeCell="G21" sqref="G21"/>
    </sheetView>
  </sheetViews>
  <sheetFormatPr defaultRowHeight="15" x14ac:dyDescent="0.25"/>
  <cols>
    <col min="1" max="1" width="9.140625" style="147"/>
    <col min="2" max="2" width="15.7109375" style="147" customWidth="1"/>
    <col min="3" max="7" width="17" style="147" customWidth="1"/>
    <col min="8" max="16" width="15.7109375" style="147" customWidth="1"/>
    <col min="17" max="16384" width="9.140625" style="147"/>
  </cols>
  <sheetData>
    <row r="1" spans="2:16" ht="23.25" x14ac:dyDescent="0.35">
      <c r="B1" s="55" t="s">
        <v>215</v>
      </c>
      <c r="L1" s="37"/>
      <c r="M1" s="37"/>
      <c r="O1" s="109"/>
      <c r="P1" s="37"/>
    </row>
    <row r="2" spans="2:16" x14ac:dyDescent="0.25">
      <c r="J2" s="82"/>
      <c r="K2" s="82"/>
      <c r="L2" s="109"/>
      <c r="M2" s="37"/>
    </row>
    <row r="3" spans="2:16" ht="16.5" thickBot="1" x14ac:dyDescent="0.3">
      <c r="B3" s="30" t="s">
        <v>33</v>
      </c>
      <c r="D3" s="65"/>
      <c r="E3" s="65"/>
      <c r="F3" s="65"/>
    </row>
    <row r="4" spans="2:16" ht="25.5" customHeight="1" thickBot="1" x14ac:dyDescent="0.3">
      <c r="B4" s="30"/>
      <c r="C4" s="453" t="s">
        <v>35</v>
      </c>
      <c r="D4" s="454"/>
      <c r="E4" s="453" t="s">
        <v>116</v>
      </c>
      <c r="F4" s="454"/>
      <c r="G4" s="140" t="s">
        <v>36</v>
      </c>
      <c r="H4" s="368"/>
    </row>
    <row r="5" spans="2:16" ht="35.1" customHeight="1" x14ac:dyDescent="0.25">
      <c r="B5" s="451" t="s">
        <v>0</v>
      </c>
      <c r="C5" s="451" t="s">
        <v>117</v>
      </c>
      <c r="D5" s="445" t="s">
        <v>70</v>
      </c>
      <c r="E5" s="445" t="s">
        <v>236</v>
      </c>
      <c r="F5" s="455" t="s">
        <v>237</v>
      </c>
      <c r="G5" s="451" t="s">
        <v>37</v>
      </c>
      <c r="H5" s="451" t="s">
        <v>171</v>
      </c>
      <c r="I5" s="449" t="s">
        <v>91</v>
      </c>
      <c r="J5" s="441" t="s">
        <v>41</v>
      </c>
    </row>
    <row r="6" spans="2:16" ht="35.1" customHeight="1" thickBot="1" x14ac:dyDescent="0.3">
      <c r="B6" s="452"/>
      <c r="C6" s="452"/>
      <c r="D6" s="446"/>
      <c r="E6" s="446"/>
      <c r="F6" s="456"/>
      <c r="G6" s="452"/>
      <c r="H6" s="452"/>
      <c r="I6" s="450"/>
      <c r="J6" s="442"/>
      <c r="K6" s="99"/>
    </row>
    <row r="7" spans="2:16" ht="15" customHeight="1" x14ac:dyDescent="0.25">
      <c r="B7" s="382">
        <f t="shared" ref="B7:B8" si="0">B8-1</f>
        <v>2023</v>
      </c>
      <c r="C7" s="175"/>
      <c r="D7" s="67"/>
      <c r="E7" s="194"/>
      <c r="F7" s="194"/>
      <c r="G7" s="66"/>
      <c r="H7" s="66"/>
      <c r="I7" s="399" t="s">
        <v>27</v>
      </c>
      <c r="J7" s="217">
        <f>SUM(C7:I7)*(1+0.07)^-($B7-Assumptions!$D$4)</f>
        <v>0</v>
      </c>
    </row>
    <row r="8" spans="2:16" ht="15" customHeight="1" x14ac:dyDescent="0.25">
      <c r="B8" s="389">
        <f t="shared" si="0"/>
        <v>2024</v>
      </c>
      <c r="C8" s="390"/>
      <c r="D8" s="391"/>
      <c r="E8" s="392"/>
      <c r="F8" s="392"/>
      <c r="G8" s="400"/>
      <c r="H8" s="400"/>
      <c r="I8" s="401" t="s">
        <v>27</v>
      </c>
      <c r="J8" s="393">
        <f>SUM(C8:I8)*(1+0.07)^-($B8-Assumptions!$D$4)</f>
        <v>0</v>
      </c>
    </row>
    <row r="9" spans="2:16" ht="15" customHeight="1" thickBot="1" x14ac:dyDescent="0.3">
      <c r="B9" s="394">
        <f>B10-1</f>
        <v>2025</v>
      </c>
      <c r="C9" s="395"/>
      <c r="D9" s="396"/>
      <c r="E9" s="397"/>
      <c r="F9" s="397"/>
      <c r="G9" s="402"/>
      <c r="H9" s="402"/>
      <c r="I9" s="403" t="s">
        <v>27</v>
      </c>
      <c r="J9" s="398">
        <f>SUM(C9:I9)*(1+0.07)^-($B9-Assumptions!$D$4)</f>
        <v>0</v>
      </c>
      <c r="L9" s="437" cm="1">
        <f t="array" ref="L9">TREND(J10:J11,B10:B11,B9)</f>
        <v>1872829.2191793025</v>
      </c>
      <c r="M9" s="437">
        <f>L9/2</f>
        <v>936414.60958965123</v>
      </c>
      <c r="N9" s="147" t="s">
        <v>267</v>
      </c>
    </row>
    <row r="10" spans="2:16" ht="15" customHeight="1" x14ac:dyDescent="0.25">
      <c r="B10" s="216">
        <f>Assumptions!D8</f>
        <v>2026</v>
      </c>
      <c r="C10" s="230">
        <f>'Operation Benefits'!F6</f>
        <v>269592.38712357188</v>
      </c>
      <c r="D10" s="230">
        <f>'Travel Time Savings '!G6</f>
        <v>2328551.3867334798</v>
      </c>
      <c r="E10" s="230">
        <f>'Air Quality'!M5</f>
        <v>8509.9515334944517</v>
      </c>
      <c r="F10" s="230">
        <f>'Air Quality'!E5</f>
        <v>10433.006221380332</v>
      </c>
      <c r="G10" s="230">
        <f>SafetyBenefits!C7</f>
        <v>305554.91802432761</v>
      </c>
      <c r="H10" s="230">
        <f>-SUM('Operating and Maintenance Costs'!C5:D5)</f>
        <v>-29799.242424242424</v>
      </c>
      <c r="I10" s="230" t="str">
        <f>'Capital Cost and RCV Calc'!E7</f>
        <v>N/A</v>
      </c>
      <c r="J10" s="217">
        <f>SUM(C10:E10,G10:I10)*(1+0.07)^-($B10-Assumptions!$D$4)+F10</f>
        <v>1805452.7166940148</v>
      </c>
      <c r="L10" s="437">
        <f>J10/2</f>
        <v>902726.35834700742</v>
      </c>
    </row>
    <row r="11" spans="2:16" ht="15" customHeight="1" x14ac:dyDescent="0.25">
      <c r="B11" s="41">
        <f t="shared" ref="B11:B39" si="1">+B10+1</f>
        <v>2027</v>
      </c>
      <c r="C11" s="197">
        <f>'Operation Benefits'!F7</f>
        <v>284821.52953606576</v>
      </c>
      <c r="D11" s="197">
        <f>'Travel Time Savings '!G7</f>
        <v>2393807.9084667675</v>
      </c>
      <c r="E11" s="197">
        <f>'Air Quality'!M6</f>
        <v>9144.9658914499469</v>
      </c>
      <c r="F11" s="197">
        <f>'Air Quality'!E6</f>
        <v>10889.06448380427</v>
      </c>
      <c r="G11" s="197">
        <f>SafetyBenefits!C8</f>
        <v>309653.92917065881</v>
      </c>
      <c r="H11" s="197">
        <f>-SUM('Operating and Maintenance Costs'!C6:D6)</f>
        <v>-29799.242424242424</v>
      </c>
      <c r="I11" s="197" t="str">
        <f>'Capital Cost and RCV Calc'!E8</f>
        <v>N/A</v>
      </c>
      <c r="J11" s="218">
        <f>SUM(C11:E11,G11:I11)*(1+0.07)^-($B11-Assumptions!$D$4)+F11</f>
        <v>1738076.214208757</v>
      </c>
    </row>
    <row r="12" spans="2:16" ht="15" customHeight="1" x14ac:dyDescent="0.25">
      <c r="B12" s="41">
        <f t="shared" si="1"/>
        <v>2028</v>
      </c>
      <c r="C12" s="197">
        <f>'Operation Benefits'!F8</f>
        <v>300050.67194855964</v>
      </c>
      <c r="D12" s="197">
        <f>'Travel Time Savings '!G8</f>
        <v>2459064.430200059</v>
      </c>
      <c r="E12" s="197">
        <f>'Air Quality'!M7</f>
        <v>9747.8500816250653</v>
      </c>
      <c r="F12" s="197">
        <f>'Air Quality'!E7</f>
        <v>11329.197618239203</v>
      </c>
      <c r="G12" s="197">
        <f>SafetyBenefits!C9</f>
        <v>313752.94031699374</v>
      </c>
      <c r="H12" s="197">
        <f>-SUM('Operating and Maintenance Costs'!C7:D7)</f>
        <v>-29799.242424242424</v>
      </c>
      <c r="I12" s="197" t="str">
        <f>'Capital Cost and RCV Calc'!E9</f>
        <v>N/A</v>
      </c>
      <c r="J12" s="218">
        <f>SUM(C12:E12,G12:I12)*(1+0.07)^-($B12-Assumptions!$D$4)+F12</f>
        <v>1671859.1835428416</v>
      </c>
    </row>
    <row r="13" spans="2:16" ht="15" customHeight="1" x14ac:dyDescent="0.25">
      <c r="B13" s="41">
        <f t="shared" si="1"/>
        <v>2029</v>
      </c>
      <c r="C13" s="197">
        <f>'Operation Benefits'!F9</f>
        <v>315279.81436105352</v>
      </c>
      <c r="D13" s="197">
        <f>'Travel Time Savings '!G9</f>
        <v>2524320.9519334584</v>
      </c>
      <c r="E13" s="197">
        <f>'Air Quality'!M8</f>
        <v>10362.604431812531</v>
      </c>
      <c r="F13" s="197">
        <f>'Air Quality'!E8</f>
        <v>11753.378681038404</v>
      </c>
      <c r="G13" s="197">
        <f>SafetyBenefits!C10</f>
        <v>317851.95146332495</v>
      </c>
      <c r="H13" s="197">
        <f>-SUM('Operating and Maintenance Costs'!C8:D8)</f>
        <v>-29799.242424242424</v>
      </c>
      <c r="I13" s="197" t="str">
        <f>'Capital Cost and RCV Calc'!E10</f>
        <v>N/A</v>
      </c>
      <c r="J13" s="218">
        <f>SUM(C13:E13,G13:I13)*(1+0.07)^-($B13-Assumptions!$D$4)+F13</f>
        <v>1606961.6315371455</v>
      </c>
    </row>
    <row r="14" spans="2:16" ht="15" customHeight="1" x14ac:dyDescent="0.25">
      <c r="B14" s="41">
        <f t="shared" si="1"/>
        <v>2030</v>
      </c>
      <c r="C14" s="197">
        <f>'Operation Benefits'!F10</f>
        <v>330508.95677354746</v>
      </c>
      <c r="D14" s="197">
        <f>'Travel Time Savings '!G10</f>
        <v>2589577.4736668579</v>
      </c>
      <c r="E14" s="197">
        <f>'Air Quality'!M9</f>
        <v>11042.839655650016</v>
      </c>
      <c r="F14" s="197">
        <f>'Air Quality'!E9</f>
        <v>12161.612343783998</v>
      </c>
      <c r="G14" s="197">
        <f>SafetyBenefits!C11</f>
        <v>321950.96260965988</v>
      </c>
      <c r="H14" s="197">
        <f>-SUM('Operating and Maintenance Costs'!C9:D9)</f>
        <v>-29799.242424242424</v>
      </c>
      <c r="I14" s="197" t="str">
        <f>'Capital Cost and RCV Calc'!E11</f>
        <v>N/A</v>
      </c>
      <c r="J14" s="218">
        <f>SUM(C14:E14,G14:I14)*(1+0.07)^-($B14-Assumptions!$D$4)+F14</f>
        <v>1543519.1915595585</v>
      </c>
    </row>
    <row r="15" spans="2:16" ht="15" customHeight="1" x14ac:dyDescent="0.25">
      <c r="B15" s="41">
        <f t="shared" si="1"/>
        <v>2031</v>
      </c>
      <c r="C15" s="197">
        <f>'Operation Benefits'!F11</f>
        <v>345738.09918604133</v>
      </c>
      <c r="D15" s="197">
        <f>'Travel Time Savings '!G11</f>
        <v>2654833.9954002537</v>
      </c>
      <c r="E15" s="197">
        <f>'Air Quality'!M10</f>
        <v>11551.669974186452</v>
      </c>
      <c r="F15" s="197">
        <f>'Air Quality'!E10</f>
        <v>12553.932592854282</v>
      </c>
      <c r="G15" s="197">
        <f>SafetyBenefits!C12</f>
        <v>326049.97375598922</v>
      </c>
      <c r="H15" s="197">
        <f>-SUM('Operating and Maintenance Costs'!C10:D10)</f>
        <v>-29799.242424242424</v>
      </c>
      <c r="I15" s="197" t="str">
        <f>'Capital Cost and RCV Calc'!E12</f>
        <v>N/A</v>
      </c>
      <c r="J15" s="218">
        <f>SUM(C15:E15,G15:I15)*(1+0.07)^-($B15-Assumptions!$D$4)+F15</f>
        <v>1481511.7744160427</v>
      </c>
    </row>
    <row r="16" spans="2:16" ht="15" customHeight="1" x14ac:dyDescent="0.25">
      <c r="B16" s="41">
        <f t="shared" si="1"/>
        <v>2032</v>
      </c>
      <c r="C16" s="197">
        <f>'Operation Benefits'!F12</f>
        <v>360967.24159853515</v>
      </c>
      <c r="D16" s="197">
        <f>'Travel Time Savings '!G12</f>
        <v>2720090.5171335414</v>
      </c>
      <c r="E16" s="197">
        <f>'Air Quality'!M11</f>
        <v>12060.500292722889</v>
      </c>
      <c r="F16" s="197">
        <f>'Air Quality'!E11</f>
        <v>12930.400550204349</v>
      </c>
      <c r="G16" s="197">
        <f>SafetyBenefits!C13</f>
        <v>330148.98490232043</v>
      </c>
      <c r="H16" s="197">
        <f>-SUM('Operating and Maintenance Costs'!C11:D11)</f>
        <v>-29799.242424242424</v>
      </c>
      <c r="I16" s="197" t="str">
        <f>'Capital Cost and RCV Calc'!E13</f>
        <v>N/A</v>
      </c>
      <c r="J16" s="218">
        <f>SUM(C16:E16,G16:I16)*(1+0.07)^-($B16-Assumptions!$D$4)+F16</f>
        <v>1421098.9762212653</v>
      </c>
    </row>
    <row r="17" spans="2:10" ht="15" customHeight="1" x14ac:dyDescent="0.25">
      <c r="B17" s="41">
        <f t="shared" si="1"/>
        <v>2033</v>
      </c>
      <c r="C17" s="197">
        <f>'Operation Benefits'!F13</f>
        <v>376196.38401102909</v>
      </c>
      <c r="D17" s="197">
        <f>'Travel Time Savings '!G13</f>
        <v>2785347.0388669409</v>
      </c>
      <c r="E17" s="197">
        <f>'Air Quality'!M12</f>
        <v>12569.330611259322</v>
      </c>
      <c r="F17" s="197">
        <f>'Air Quality'!E12</f>
        <v>13291.102409842226</v>
      </c>
      <c r="G17" s="197">
        <f>SafetyBenefits!C14</f>
        <v>334247.99604865536</v>
      </c>
      <c r="H17" s="197">
        <f>-SUM('Operating and Maintenance Costs'!C12:D12)</f>
        <v>-29799.242424242424</v>
      </c>
      <c r="I17" s="197" t="str">
        <f>'Capital Cost and RCV Calc'!E14</f>
        <v>N/A</v>
      </c>
      <c r="J17" s="218">
        <f>SUM(C17:E17,G17:I17)*(1+0.07)^-($B17-Assumptions!$D$4)+F17</f>
        <v>1362337.2288077227</v>
      </c>
    </row>
    <row r="18" spans="2:10" ht="15" customHeight="1" x14ac:dyDescent="0.25">
      <c r="B18" s="41">
        <f t="shared" si="1"/>
        <v>2034</v>
      </c>
      <c r="C18" s="197">
        <f>'Operation Benefits'!F14</f>
        <v>391425.52642352291</v>
      </c>
      <c r="D18" s="197">
        <f>'Travel Time Savings '!G14</f>
        <v>2850603.5606002286</v>
      </c>
      <c r="E18" s="197">
        <f>'Air Quality'!M13</f>
        <v>13078.160929795758</v>
      </c>
      <c r="F18" s="197">
        <f>'Air Quality'!E13</f>
        <v>13845.934369092929</v>
      </c>
      <c r="G18" s="197">
        <f>SafetyBenefits!C15</f>
        <v>338347.00719498657</v>
      </c>
      <c r="H18" s="197">
        <f>-SUM('Operating and Maintenance Costs'!C13:D13)</f>
        <v>-29799.242424242424</v>
      </c>
      <c r="I18" s="197" t="str">
        <f>'Capital Cost and RCV Calc'!E15</f>
        <v>N/A</v>
      </c>
      <c r="J18" s="218">
        <f>SUM(C18:E18,G18:I18)*(1+0.07)^-($B18-Assumptions!$D$4)+F18</f>
        <v>1305478.509109555</v>
      </c>
    </row>
    <row r="19" spans="2:10" ht="15" customHeight="1" x14ac:dyDescent="0.25">
      <c r="B19" s="41">
        <f t="shared" si="1"/>
        <v>2035</v>
      </c>
      <c r="C19" s="197">
        <f>'Operation Benefits'!F15</f>
        <v>406654.66883601691</v>
      </c>
      <c r="D19" s="197">
        <f>'Travel Time Savings '!G15</f>
        <v>2915860.0823336281</v>
      </c>
      <c r="E19" s="197">
        <f>'Air Quality'!M14</f>
        <v>13586.991248332195</v>
      </c>
      <c r="F19" s="197">
        <f>'Air Quality'!E14</f>
        <v>14177.267364361449</v>
      </c>
      <c r="G19" s="197">
        <f>SafetyBenefits!C16</f>
        <v>342446.0183413215</v>
      </c>
      <c r="H19" s="197">
        <f>-SUM('Operating and Maintenance Costs'!C14:D14)</f>
        <v>-29799.242424242424</v>
      </c>
      <c r="I19" s="197" t="str">
        <f>'Capital Cost and RCV Calc'!E16</f>
        <v>N/A</v>
      </c>
      <c r="J19" s="218">
        <f>SUM(C19:E19,G19:I19)*(1+0.07)^-($B19-Assumptions!$D$4)+F19</f>
        <v>1250134.6291835194</v>
      </c>
    </row>
    <row r="20" spans="2:10" ht="15" customHeight="1" x14ac:dyDescent="0.25">
      <c r="B20" s="41">
        <f t="shared" si="1"/>
        <v>2036</v>
      </c>
      <c r="C20" s="197">
        <f>'Operation Benefits'!F16</f>
        <v>421883.81124851073</v>
      </c>
      <c r="D20" s="197">
        <f>'Travel Time Savings '!G16</f>
        <v>2981116.6040670276</v>
      </c>
      <c r="E20" s="197">
        <f>'Air Quality'!M15</f>
        <v>14095.82156686863</v>
      </c>
      <c r="F20" s="197">
        <f>'Air Quality'!E15</f>
        <v>14492.940620165913</v>
      </c>
      <c r="G20" s="197">
        <f>SafetyBenefits!C17</f>
        <v>346545.0294876527</v>
      </c>
      <c r="H20" s="197">
        <f>-SUM('Operating and Maintenance Costs'!C15:D15)</f>
        <v>-29799.242424242424</v>
      </c>
      <c r="I20" s="197" t="str">
        <f>'Capital Cost and RCV Calc'!E17</f>
        <v>N/A</v>
      </c>
      <c r="J20" s="218">
        <f>SUM(C20:E20,G20:I20)*(1+0.07)^-($B20-Assumptions!$D$4)+F20</f>
        <v>1196531.7034400925</v>
      </c>
    </row>
    <row r="21" spans="2:10" ht="15" customHeight="1" x14ac:dyDescent="0.25">
      <c r="B21" s="41">
        <f t="shared" si="1"/>
        <v>2037</v>
      </c>
      <c r="C21" s="197">
        <f>'Operation Benefits'!F17</f>
        <v>437112.95366100461</v>
      </c>
      <c r="D21" s="197">
        <f>'Travel Time Savings '!G17</f>
        <v>3046373.125800319</v>
      </c>
      <c r="E21" s="197">
        <f>'Air Quality'!M16</f>
        <v>14604.651885405065</v>
      </c>
      <c r="F21" s="197">
        <f>'Air Quality'!E16</f>
        <v>14793.13710104912</v>
      </c>
      <c r="G21" s="197">
        <f>SafetyBenefits!C18</f>
        <v>350644.04063398391</v>
      </c>
      <c r="H21" s="197">
        <f>-SUM('Operating and Maintenance Costs'!C16:D16)</f>
        <v>-29799.242424242424</v>
      </c>
      <c r="I21" s="197" t="str">
        <f>'Capital Cost and RCV Calc'!E18</f>
        <v>N/A</v>
      </c>
      <c r="J21" s="218">
        <f>SUM(C21:E21,G21:I21)*(1+0.07)^-($B21-Assumptions!$D$4)+F21</f>
        <v>1144678.3590553231</v>
      </c>
    </row>
    <row r="22" spans="2:10" ht="15" customHeight="1" x14ac:dyDescent="0.25">
      <c r="B22" s="41">
        <f t="shared" si="1"/>
        <v>2038</v>
      </c>
      <c r="C22" s="197">
        <f>'Operation Benefits'!F18</f>
        <v>452342.09607349499</v>
      </c>
      <c r="D22" s="197">
        <f>'Travel Time Savings '!G18</f>
        <v>3111629.6475337148</v>
      </c>
      <c r="E22" s="197">
        <f>'Air Quality'!M17</f>
        <v>15113.482203941383</v>
      </c>
      <c r="F22" s="197">
        <f>'Air Quality'!E17</f>
        <v>15078.055451688931</v>
      </c>
      <c r="G22" s="197">
        <f>SafetyBenefits!C19</f>
        <v>354743.05178031698</v>
      </c>
      <c r="H22" s="197">
        <f>-SUM('Operating and Maintenance Costs'!C17:D17)</f>
        <v>-29799.242424242424</v>
      </c>
      <c r="I22" s="197" t="str">
        <f>'Capital Cost and RCV Calc'!E19</f>
        <v>N/A</v>
      </c>
      <c r="J22" s="218">
        <f>SUM(C22:E22,G22:I22)*(1+0.07)^-($B22-Assumptions!$D$4)+F22</f>
        <v>1094574.6159916946</v>
      </c>
    </row>
    <row r="23" spans="2:10" ht="15" customHeight="1" x14ac:dyDescent="0.25">
      <c r="B23" s="41">
        <f t="shared" si="1"/>
        <v>2039</v>
      </c>
      <c r="C23" s="197">
        <f>'Operation Benefits'!F19</f>
        <v>467571.23848598887</v>
      </c>
      <c r="D23" s="197">
        <f>'Travel Time Savings '!G19</f>
        <v>3176886.1692669988</v>
      </c>
      <c r="E23" s="197">
        <f>'Air Quality'!M18</f>
        <v>15622.312522477816</v>
      </c>
      <c r="F23" s="197">
        <f>'Air Quality'!E18</f>
        <v>15347.908548077183</v>
      </c>
      <c r="G23" s="197">
        <f>SafetyBenefits!C20</f>
        <v>358842.06292664818</v>
      </c>
      <c r="H23" s="197">
        <f>-SUM('Operating and Maintenance Costs'!C18:D18)</f>
        <v>-29799.242424242424</v>
      </c>
      <c r="I23" s="197" t="str">
        <f>'Capital Cost and RCV Calc'!E20</f>
        <v>N/A</v>
      </c>
      <c r="J23" s="218">
        <f>SUM(C23:E23,G23:I23)*(1+0.07)^-($B23-Assumptions!$D$4)+F23</f>
        <v>1046212.977638221</v>
      </c>
    </row>
    <row r="24" spans="2:10" ht="15" customHeight="1" x14ac:dyDescent="0.25">
      <c r="B24" s="41">
        <f t="shared" si="1"/>
        <v>2040</v>
      </c>
      <c r="C24" s="197">
        <f>'Operation Benefits'!F20</f>
        <v>482800.38089848275</v>
      </c>
      <c r="D24" s="197">
        <f>'Travel Time Savings '!G20</f>
        <v>3242142.6910003945</v>
      </c>
      <c r="E24" s="197">
        <f>'Air Quality'!M19</f>
        <v>16131.142841014253</v>
      </c>
      <c r="F24" s="197">
        <f>'Air Quality'!E19</f>
        <v>15602.922130866587</v>
      </c>
      <c r="G24" s="197">
        <f>SafetyBenefits!C21</f>
        <v>362941.07407298312</v>
      </c>
      <c r="H24" s="197">
        <f>-SUM('Operating and Maintenance Costs'!C19:D19)</f>
        <v>-29799.242424242424</v>
      </c>
      <c r="I24" s="197" t="str">
        <f>'Capital Cost and RCV Calc'!E21</f>
        <v>N/A</v>
      </c>
      <c r="J24" s="218">
        <f>SUM(C24:E24,G24:I24)*(1+0.07)^-($B24-Assumptions!$D$4)+F24</f>
        <v>999579.41554770106</v>
      </c>
    </row>
    <row r="25" spans="2:10" ht="15" customHeight="1" x14ac:dyDescent="0.25">
      <c r="B25" s="41">
        <f t="shared" si="1"/>
        <v>2041</v>
      </c>
      <c r="C25" s="197">
        <f>'Operation Benefits'!F21</f>
        <v>498029.52331097669</v>
      </c>
      <c r="D25" s="197">
        <f>'Travel Time Savings '!G21</f>
        <v>3307399.2127337977</v>
      </c>
      <c r="E25" s="197">
        <f>'Air Quality'!M20</f>
        <v>16639.973159550689</v>
      </c>
      <c r="F25" s="197">
        <f>'Air Quality'!E20</f>
        <v>15843.333517007932</v>
      </c>
      <c r="G25" s="197">
        <f>SafetyBenefits!C22</f>
        <v>367040.08521931432</v>
      </c>
      <c r="H25" s="197">
        <f>-SUM('Operating and Maintenance Costs'!C20:D20)</f>
        <v>-29799.242424242424</v>
      </c>
      <c r="I25" s="197" t="str">
        <f>'Capital Cost and RCV Calc'!E22</f>
        <v>N/A</v>
      </c>
      <c r="J25" s="218">
        <f>SUM(C25:E25,G25:I25)*(1+0.07)^-($B25-Assumptions!$D$4)+F25</f>
        <v>954654.25745960826</v>
      </c>
    </row>
    <row r="26" spans="2:10" ht="15" customHeight="1" x14ac:dyDescent="0.25">
      <c r="B26" s="41">
        <f t="shared" si="1"/>
        <v>2042</v>
      </c>
      <c r="C26" s="197">
        <f>'Operation Benefits'!F22</f>
        <v>513258.66572347056</v>
      </c>
      <c r="D26" s="197">
        <f>'Travel Time Savings '!G22</f>
        <v>3372655.7344670817</v>
      </c>
      <c r="E26" s="197">
        <f>'Air Quality'!M21</f>
        <v>17148.80347808712</v>
      </c>
      <c r="F26" s="197">
        <f>'Air Quality'!E21</f>
        <v>16286.544310096131</v>
      </c>
      <c r="G26" s="197">
        <f>SafetyBenefits!C23</f>
        <v>371139.09636564925</v>
      </c>
      <c r="H26" s="197">
        <f>-SUM('Operating and Maintenance Costs'!C21:D21)</f>
        <v>-29799.242424242424</v>
      </c>
      <c r="I26" s="197" t="str">
        <f>'Capital Cost and RCV Calc'!E23</f>
        <v>N/A</v>
      </c>
      <c r="J26" s="218">
        <f>SUM(C26:E26,G26:I26)*(1+0.07)^-($B26-Assumptions!$D$4)+F26</f>
        <v>911630.14097382419</v>
      </c>
    </row>
    <row r="27" spans="2:10" ht="15" customHeight="1" x14ac:dyDescent="0.25">
      <c r="B27" s="41">
        <f t="shared" si="1"/>
        <v>2043</v>
      </c>
      <c r="C27" s="197">
        <f>'Operation Benefits'!F23</f>
        <v>528487.80813596444</v>
      </c>
      <c r="D27" s="197">
        <f>'Travel Time Savings '!G23</f>
        <v>3437912.2562004849</v>
      </c>
      <c r="E27" s="197">
        <f>'Air Quality'!M22</f>
        <v>17657.633796623559</v>
      </c>
      <c r="F27" s="197">
        <f>'Air Quality'!E22</f>
        <v>16498.434298754051</v>
      </c>
      <c r="G27" s="197">
        <f>SafetyBenefits!C24</f>
        <v>375238.10751198046</v>
      </c>
      <c r="H27" s="197">
        <f>-SUM('Operating and Maintenance Costs'!C22:D22)</f>
        <v>-29799.242424242424</v>
      </c>
      <c r="I27" s="197" t="str">
        <f>'Capital Cost and RCV Calc'!E24</f>
        <v>N/A</v>
      </c>
      <c r="J27" s="218">
        <f>SUM(C27:E27,G27:I27)*(1+0.07)^-($B27-Assumptions!$D$4)+F27</f>
        <v>870044.04781766736</v>
      </c>
    </row>
    <row r="28" spans="2:10" ht="15" customHeight="1" x14ac:dyDescent="0.25">
      <c r="B28" s="41">
        <f t="shared" si="1"/>
        <v>2044</v>
      </c>
      <c r="C28" s="197">
        <f>'Operation Benefits'!F24</f>
        <v>543716.95054845838</v>
      </c>
      <c r="D28" s="197">
        <f>'Travel Time Savings '!G24</f>
        <v>3503168.7779337689</v>
      </c>
      <c r="E28" s="197">
        <f>'Air Quality'!M23</f>
        <v>18166.464115159994</v>
      </c>
      <c r="F28" s="197">
        <f>'Air Quality'!E23</f>
        <v>16696.3115283523</v>
      </c>
      <c r="G28" s="197">
        <f>SafetyBenefits!C25</f>
        <v>379337.11865831167</v>
      </c>
      <c r="H28" s="197">
        <f>-SUM('Operating and Maintenance Costs'!C23:D23)</f>
        <v>-29799.242424242424</v>
      </c>
      <c r="I28" s="197" t="str">
        <f>'Capital Cost and RCV Calc'!E25</f>
        <v>N/A</v>
      </c>
      <c r="J28" s="218">
        <f>SUM(C28:E28,G28:I28)*(1+0.07)^-($B28-Assumptions!$D$4)+F28</f>
        <v>830080.90080839524</v>
      </c>
    </row>
    <row r="29" spans="2:10" ht="15" customHeight="1" x14ac:dyDescent="0.25">
      <c r="B29" s="41">
        <f t="shared" si="1"/>
        <v>2045</v>
      </c>
      <c r="C29" s="197">
        <f>'Operation Benefits'!F25</f>
        <v>558946.0929609522</v>
      </c>
      <c r="D29" s="197">
        <f>'Travel Time Savings '!G25</f>
        <v>3568425.2996671721</v>
      </c>
      <c r="E29" s="197">
        <f>'Air Quality'!M24</f>
        <v>18675.294433696428</v>
      </c>
      <c r="F29" s="197">
        <f>'Air Quality'!E24</f>
        <v>16880.458731442497</v>
      </c>
      <c r="G29" s="197">
        <f>SafetyBenefits!C26</f>
        <v>383436.12980464473</v>
      </c>
      <c r="H29" s="197">
        <f>-SUM('Operating and Maintenance Costs'!C24:D24)</f>
        <v>-29799.242424242424</v>
      </c>
      <c r="I29" s="197" t="str">
        <f>'Capital Cost and RCV Calc'!E26</f>
        <v>N/A</v>
      </c>
      <c r="J29" s="218">
        <f>SUM(C29:E29,G29:I29)*(1+0.07)^-($B29-Assumptions!$D$4)+F29</f>
        <v>791705.6902279947</v>
      </c>
    </row>
    <row r="30" spans="2:10" ht="15" customHeight="1" x14ac:dyDescent="0.25">
      <c r="B30" s="41">
        <f t="shared" si="1"/>
        <v>2046</v>
      </c>
      <c r="C30" s="197">
        <f>'Operation Benefits'!F26</f>
        <v>574175.23537344602</v>
      </c>
      <c r="D30" s="197">
        <f>'Travel Time Savings '!G26</f>
        <v>3633681.8214005679</v>
      </c>
      <c r="E30" s="197">
        <f>'Air Quality'!M25</f>
        <v>19184.124752232859</v>
      </c>
      <c r="F30" s="197">
        <f>'Air Quality'!E25</f>
        <v>17051.164362834901</v>
      </c>
      <c r="G30" s="197">
        <f>SafetyBenefits!C27</f>
        <v>387535.14095097594</v>
      </c>
      <c r="H30" s="197">
        <f>-SUM('Operating and Maintenance Costs'!C25:D25)</f>
        <v>-29799.242424242424</v>
      </c>
      <c r="I30" s="197" t="str">
        <f>'Capital Cost and RCV Calc'!E27</f>
        <v>N/A</v>
      </c>
      <c r="J30" s="218">
        <f>SUM(C30:E30,G30:I30)*(1+0.07)^-($B30-Assumptions!$D$4)+F30</f>
        <v>754881.02384626283</v>
      </c>
    </row>
    <row r="31" spans="2:10" ht="15" customHeight="1" x14ac:dyDescent="0.25">
      <c r="B31" s="41">
        <f t="shared" si="1"/>
        <v>2047</v>
      </c>
      <c r="C31" s="197">
        <f>'Operation Benefits'!F27</f>
        <v>589404.37778593984</v>
      </c>
      <c r="D31" s="197">
        <f>'Travel Time Savings '!G27</f>
        <v>3698938.3431339711</v>
      </c>
      <c r="E31" s="197">
        <f>'Air Quality'!M26</f>
        <v>19692.955070769298</v>
      </c>
      <c r="F31" s="197">
        <f>'Air Quality'!E26</f>
        <v>17208.721726277119</v>
      </c>
      <c r="G31" s="197">
        <f>SafetyBenefits!C28</f>
        <v>391634.15209731087</v>
      </c>
      <c r="H31" s="197">
        <f>-SUM('Operating and Maintenance Costs'!C26:D26)</f>
        <v>-29799.242424242424</v>
      </c>
      <c r="I31" s="197" t="str">
        <f>'Capital Cost and RCV Calc'!E28</f>
        <v>N/A</v>
      </c>
      <c r="J31" s="218">
        <f>SUM(C31:E31,G31:I31)*(1+0.07)^-($B31-Assumptions!$D$4)+F31</f>
        <v>719567.58957323851</v>
      </c>
    </row>
    <row r="32" spans="2:10" ht="15" customHeight="1" x14ac:dyDescent="0.25">
      <c r="B32" s="41">
        <f t="shared" si="1"/>
        <v>2048</v>
      </c>
      <c r="C32" s="197">
        <f>'Operation Benefits'!F28</f>
        <v>604633.52019843389</v>
      </c>
      <c r="D32" s="197">
        <f>'Travel Time Savings '!G28</f>
        <v>3764194.8648672551</v>
      </c>
      <c r="E32" s="197">
        <f>'Air Quality'!M27</f>
        <v>20201.785389305733</v>
      </c>
      <c r="F32" s="197">
        <f>'Air Quality'!E27</f>
        <v>17353.428155893314</v>
      </c>
      <c r="G32" s="197">
        <f>SafetyBenefits!C29</f>
        <v>395733.16324364208</v>
      </c>
      <c r="H32" s="197">
        <f>-SUM('Operating and Maintenance Costs'!C27:D27)</f>
        <v>-29799.242424242424</v>
      </c>
      <c r="I32" s="197" t="str">
        <f>'Capital Cost and RCV Calc'!E29</f>
        <v>N/A</v>
      </c>
      <c r="J32" s="218">
        <f>SUM(C32:E32,G32:I32)*(1+0.07)^-($B32-Assumptions!$D$4)+F32</f>
        <v>685724.56773930625</v>
      </c>
    </row>
    <row r="33" spans="1:13" ht="15" customHeight="1" x14ac:dyDescent="0.25">
      <c r="B33" s="41">
        <f t="shared" si="1"/>
        <v>2049</v>
      </c>
      <c r="C33" s="197">
        <f>'Operation Benefits'!F29</f>
        <v>619862.66261092783</v>
      </c>
      <c r="D33" s="197">
        <f>'Travel Time Savings '!G29</f>
        <v>3829451.3866005465</v>
      </c>
      <c r="E33" s="197">
        <f>'Air Quality'!M28</f>
        <v>20710.615707842167</v>
      </c>
      <c r="F33" s="197">
        <f>'Air Quality'!E28</f>
        <v>17698.823081993349</v>
      </c>
      <c r="G33" s="197">
        <f>SafetyBenefits!C30</f>
        <v>399832.17438997328</v>
      </c>
      <c r="H33" s="197">
        <f>-SUM('Operating and Maintenance Costs'!C28:D28)</f>
        <v>-29799.242424242424</v>
      </c>
      <c r="I33" s="197" t="str">
        <f>'Capital Cost and RCV Calc'!E30</f>
        <v>N/A</v>
      </c>
      <c r="J33" s="218">
        <f>SUM(C33:E33,G33:I33)*(1+0.07)^-($B33-Assumptions!$D$4)+F33</f>
        <v>653523.23644695396</v>
      </c>
    </row>
    <row r="34" spans="1:13" ht="15" customHeight="1" x14ac:dyDescent="0.25">
      <c r="B34" s="41">
        <f t="shared" si="1"/>
        <v>2050</v>
      </c>
      <c r="C34" s="197">
        <f>'Operation Benefits'!F30</f>
        <v>635091.80502342153</v>
      </c>
      <c r="D34" s="197">
        <f>'Travel Time Savings '!G30</f>
        <v>3894707.9083339423</v>
      </c>
      <c r="E34" s="197">
        <f>'Air Quality'!M29</f>
        <v>21219.446026378606</v>
      </c>
      <c r="F34" s="197">
        <f>'Air Quality'!E29</f>
        <v>17817.607527805376</v>
      </c>
      <c r="G34" s="197">
        <f>SafetyBenefits!C31</f>
        <v>403931.18553630821</v>
      </c>
      <c r="H34" s="197">
        <f>-SUM('Operating and Maintenance Costs'!C29:D29)</f>
        <v>-29799.242424242424</v>
      </c>
      <c r="I34" s="197" t="str">
        <f>'Capital Cost and RCV Calc'!E31</f>
        <v>N/A</v>
      </c>
      <c r="J34" s="218">
        <f>SUM(C34:E34,G34:I34)*(1+0.07)^-($B34-Assumptions!$D$4)+F34</f>
        <v>622493.2167667062</v>
      </c>
    </row>
    <row r="35" spans="1:13" ht="15" customHeight="1" x14ac:dyDescent="0.25">
      <c r="B35" s="41">
        <f t="shared" si="1"/>
        <v>2051</v>
      </c>
      <c r="C35" s="197">
        <f>'Operation Benefits'!F31</f>
        <v>650320.94743591547</v>
      </c>
      <c r="D35" s="197">
        <f>'Travel Time Savings '!G31</f>
        <v>3959964.430067338</v>
      </c>
      <c r="E35" s="197">
        <f>'Air Quality'!M30</f>
        <v>21728.276344915041</v>
      </c>
      <c r="F35" s="197">
        <f>'Air Quality'!E30</f>
        <v>17713.459885920038</v>
      </c>
      <c r="G35" s="197">
        <f>SafetyBenefits!C32</f>
        <v>408030.19668263942</v>
      </c>
      <c r="H35" s="197">
        <f>-SUM('Operating and Maintenance Costs'!C30:D30)</f>
        <v>-29799.242424242424</v>
      </c>
      <c r="I35" s="197" t="str">
        <f>'Capital Cost and RCV Calc'!E32</f>
        <v>N/A</v>
      </c>
      <c r="J35" s="218">
        <f>SUM(C35:E35,G35:I35)*(1+0.07)^-($B35-Assumptions!$D$4)+F35</f>
        <v>592594.57649548166</v>
      </c>
    </row>
    <row r="36" spans="1:13" ht="15" customHeight="1" x14ac:dyDescent="0.25">
      <c r="B36" s="41">
        <f t="shared" si="1"/>
        <v>2052</v>
      </c>
      <c r="C36" s="197">
        <f>'Operation Benefits'!F32</f>
        <v>665550.08984840941</v>
      </c>
      <c r="D36" s="197">
        <f>'Travel Time Savings '!G32</f>
        <v>4025220.9518007413</v>
      </c>
      <c r="E36" s="197">
        <f>'Air Quality'!M31</f>
        <v>22237.106663451468</v>
      </c>
      <c r="F36" s="197">
        <f>'Air Quality'!E31</f>
        <v>17600.263773390416</v>
      </c>
      <c r="G36" s="197">
        <f>SafetyBenefits!C33</f>
        <v>412129.20782897249</v>
      </c>
      <c r="H36" s="197">
        <f>-SUM('Operating and Maintenance Costs'!C31:D31)</f>
        <v>-29799.242424242424</v>
      </c>
      <c r="I36" s="197" t="str">
        <f>'Capital Cost and RCV Calc'!E33</f>
        <v>N/A</v>
      </c>
      <c r="J36" s="218">
        <f>SUM(C36:E36,G36:I36)*(1+0.07)^-($B36-Assumptions!$D$4)+F36</f>
        <v>563997.31181737862</v>
      </c>
    </row>
    <row r="37" spans="1:13" ht="15" customHeight="1" x14ac:dyDescent="0.25">
      <c r="B37" s="41">
        <f t="shared" si="1"/>
        <v>2053</v>
      </c>
      <c r="C37" s="197">
        <f>'Operation Benefits'!F33</f>
        <v>680779.23226090311</v>
      </c>
      <c r="D37" s="197">
        <f>'Travel Time Savings '!G33</f>
        <v>4090477.4735340253</v>
      </c>
      <c r="E37" s="197">
        <f>'Air Quality'!M32</f>
        <v>22745.936981987914</v>
      </c>
      <c r="F37" s="197">
        <f>'Air Quality'!E32</f>
        <v>17478.634637820931</v>
      </c>
      <c r="G37" s="197">
        <f>SafetyBenefits!C34</f>
        <v>416228.21897530369</v>
      </c>
      <c r="H37" s="197">
        <f>-SUM('Operating and Maintenance Costs'!C32:D32)</f>
        <v>-29799.242424242424</v>
      </c>
      <c r="I37" s="197" t="str">
        <f>'Capital Cost and RCV Calc'!E35</f>
        <v>N/A</v>
      </c>
      <c r="J37" s="218">
        <f>SUM(C37:E37,G37:I37)*(1+0.07)^-($B37-Assumptions!$D$4)+F37</f>
        <v>536658.09677823423</v>
      </c>
    </row>
    <row r="38" spans="1:13" ht="15" customHeight="1" x14ac:dyDescent="0.25">
      <c r="B38" s="41">
        <f t="shared" si="1"/>
        <v>2054</v>
      </c>
      <c r="C38" s="197">
        <f>'Operation Benefits'!F34</f>
        <v>696008.37467339705</v>
      </c>
      <c r="D38" s="197">
        <f>'Travel Time Savings '!G34</f>
        <v>4155733.9952674285</v>
      </c>
      <c r="E38" s="197">
        <f>'Air Quality'!M33</f>
        <v>23254.767300524345</v>
      </c>
      <c r="F38" s="197">
        <f>'Air Quality'!E33</f>
        <v>17349.159751645486</v>
      </c>
      <c r="G38" s="197">
        <f>SafetyBenefits!C35</f>
        <v>420327.2301216349</v>
      </c>
      <c r="H38" s="197">
        <f>-SUM('Operating and Maintenance Costs'!C33:D33)</f>
        <v>-29799.242424242424</v>
      </c>
      <c r="I38" s="197" t="str">
        <f>'Capital Cost and RCV Calc'!E36</f>
        <v>N/A</v>
      </c>
      <c r="J38" s="218">
        <f>SUM(C38:E38,G38:I38)*(1+0.07)^-($B38-Assumptions!$D$4)+F38</f>
        <v>510533.71817291289</v>
      </c>
    </row>
    <row r="39" spans="1:13" ht="15" customHeight="1" thickBot="1" x14ac:dyDescent="0.3">
      <c r="B39" s="42">
        <f t="shared" si="1"/>
        <v>2055</v>
      </c>
      <c r="C39" s="199">
        <f>'Operation Benefits'!F35</f>
        <v>711237.5170858911</v>
      </c>
      <c r="D39" s="199">
        <f>'Travel Time Savings '!G35</f>
        <v>4220990.5170007125</v>
      </c>
      <c r="E39" s="199">
        <f>'Air Quality'!M34</f>
        <v>23763.597619060776</v>
      </c>
      <c r="F39" s="199">
        <f>'Air Quality'!E34</f>
        <v>17212.399331293022</v>
      </c>
      <c r="G39" s="199">
        <f>SafetyBenefits!C36</f>
        <v>424426.24126796983</v>
      </c>
      <c r="H39" s="199">
        <f>-SUM('Operating and Maintenance Costs'!C34:D34)</f>
        <v>-29799.242424242424</v>
      </c>
      <c r="I39" s="199">
        <f>'Capital Cost and RCV Calc'!E37</f>
        <v>19228278.009001166</v>
      </c>
      <c r="J39" s="296">
        <f>SUM(C39:E39,G39:I39)*(1+0.07)^-($B39-Assumptions!$D$4)+F39</f>
        <v>2168737.3487668941</v>
      </c>
      <c r="L39" s="437">
        <f>(SUM(C39:E39,G39:H39)*(1+0.07)^-($B39-Assumptions!$D$4)+F39)/2</f>
        <v>242790.62314415441</v>
      </c>
      <c r="M39" s="147" t="s">
        <v>266</v>
      </c>
    </row>
    <row r="40" spans="1:13" ht="15" customHeight="1" x14ac:dyDescent="0.25">
      <c r="B40" s="27"/>
      <c r="C40" s="28"/>
      <c r="E40" s="139"/>
      <c r="F40" s="139"/>
      <c r="G40" s="139"/>
      <c r="H40" s="139"/>
      <c r="I40" s="139" t="s">
        <v>2</v>
      </c>
      <c r="J40" s="24">
        <f>SUM(J7:J39)</f>
        <v>32834832.850644305</v>
      </c>
      <c r="K40" s="383">
        <f>'Travel Time Savings '!H36+'Operation Benefits'!G36+SafetyBenefits!D37+'Air Quality'!P35-'Operating and Maintenance Costs'!E35+'Capital Cost and RCV Calc'!F38</f>
        <v>32834832.850644313</v>
      </c>
    </row>
    <row r="41" spans="1:13" ht="15" customHeight="1" x14ac:dyDescent="0.25">
      <c r="B41" s="27"/>
      <c r="C41" s="28"/>
      <c r="L41" s="438">
        <f>M9-L39</f>
        <v>693623.98644549679</v>
      </c>
      <c r="M41" s="12" t="s">
        <v>268</v>
      </c>
    </row>
    <row r="42" spans="1:13" ht="15" customHeight="1" thickBot="1" x14ac:dyDescent="0.3">
      <c r="B42" s="29" t="s">
        <v>34</v>
      </c>
      <c r="C42" s="28"/>
      <c r="D42" s="24"/>
      <c r="E42" s="24"/>
      <c r="F42" s="24"/>
      <c r="G42" s="24"/>
      <c r="H42" s="31"/>
      <c r="I42" s="32"/>
      <c r="J42" s="32"/>
    </row>
    <row r="43" spans="1:13" x14ac:dyDescent="0.25">
      <c r="B43" s="443" t="s">
        <v>0</v>
      </c>
      <c r="C43" s="445" t="s">
        <v>146</v>
      </c>
      <c r="D43" s="447" t="s">
        <v>106</v>
      </c>
    </row>
    <row r="44" spans="1:13" ht="15" customHeight="1" thickBot="1" x14ac:dyDescent="0.3">
      <c r="B44" s="444"/>
      <c r="C44" s="446"/>
      <c r="D44" s="448"/>
    </row>
    <row r="45" spans="1:13" x14ac:dyDescent="0.25">
      <c r="A45" s="13"/>
      <c r="B45" s="201">
        <f>Assumptions!D5</f>
        <v>2023</v>
      </c>
      <c r="C45" s="220">
        <f>_xlfn.XLOOKUP($B45,'Capital Cost and RCV Calc'!$B$5:$B$37,'Capital Cost and RCV Calc'!$C$5:$C$37)</f>
        <v>7966073.8329545464</v>
      </c>
      <c r="D45" s="220">
        <f>C45*(1+0.07)^-($B45-Assumptions!$D$4)</f>
        <v>6077279.5859781001</v>
      </c>
    </row>
    <row r="46" spans="1:13" x14ac:dyDescent="0.25">
      <c r="B46" s="202">
        <f>+B45+1</f>
        <v>2024</v>
      </c>
      <c r="C46" s="231">
        <f>_xlfn.XLOOKUP($B46,'Capital Cost and RCV Calc'!$B$5:$B$37,'Capital Cost and RCV Calc'!$C$5:$C$37)</f>
        <v>23898221.498863637</v>
      </c>
      <c r="D46" s="231">
        <f>C46*(1+0.07)^-($B46-Assumptions!$D$4)</f>
        <v>17039101.642929252</v>
      </c>
    </row>
    <row r="47" spans="1:13" x14ac:dyDescent="0.25">
      <c r="B47" s="202">
        <f>+B46+1</f>
        <v>2025</v>
      </c>
      <c r="C47" s="221">
        <f>_xlfn.XLOOKUP($B47,'Capital Cost and RCV Calc'!$B$5:$B$37,'Capital Cost and RCV Calc'!$C$5:$C$37)</f>
        <v>11949110.749431819</v>
      </c>
      <c r="D47" s="221">
        <f>C47*(1+0.07)^-($B47-Assumptions!$D$4)</f>
        <v>7962197.0294061927</v>
      </c>
    </row>
    <row r="48" spans="1:13" x14ac:dyDescent="0.25">
      <c r="B48" s="202">
        <f t="shared" ref="B48:B77" si="2">+B47+1</f>
        <v>2026</v>
      </c>
      <c r="C48" s="221">
        <f>_xlfn.XLOOKUP($B48,'Capital Cost and RCV Calc'!$B$5:$B$37,'Capital Cost and RCV Calc'!$C$5:$C$37)</f>
        <v>0</v>
      </c>
      <c r="D48" s="221">
        <f>C48*(1+0.07)^-($B48-Assumptions!$D$4)</f>
        <v>0</v>
      </c>
    </row>
    <row r="49" spans="1:4" x14ac:dyDescent="0.25">
      <c r="B49" s="202">
        <f t="shared" si="2"/>
        <v>2027</v>
      </c>
      <c r="C49" s="221">
        <f>_xlfn.XLOOKUP($B49,'Capital Cost and RCV Calc'!$B$5:$B$37,'Capital Cost and RCV Calc'!$C$5:$C$37)</f>
        <v>0</v>
      </c>
      <c r="D49" s="221">
        <f>C49*(1+0.07)^-($B49-Assumptions!$D$4)</f>
        <v>0</v>
      </c>
    </row>
    <row r="50" spans="1:4" x14ac:dyDescent="0.25">
      <c r="B50" s="202">
        <f t="shared" si="2"/>
        <v>2028</v>
      </c>
      <c r="C50" s="221">
        <f>_xlfn.XLOOKUP($B50,'Capital Cost and RCV Calc'!$B$5:$B$37,'Capital Cost and RCV Calc'!$C$5:$C$37)</f>
        <v>0</v>
      </c>
      <c r="D50" s="221">
        <f>C50*(1+0.07)^-($B50-Assumptions!$D$4)</f>
        <v>0</v>
      </c>
    </row>
    <row r="51" spans="1:4" x14ac:dyDescent="0.25">
      <c r="B51" s="202">
        <f t="shared" si="2"/>
        <v>2029</v>
      </c>
      <c r="C51" s="221">
        <f>_xlfn.XLOOKUP($B51,'Capital Cost and RCV Calc'!$B$5:$B$37,'Capital Cost and RCV Calc'!$C$5:$C$37)</f>
        <v>0</v>
      </c>
      <c r="D51" s="221">
        <f>C51*(1+0.07)^-($B51-Assumptions!$D$4)</f>
        <v>0</v>
      </c>
    </row>
    <row r="52" spans="1:4" x14ac:dyDescent="0.25">
      <c r="B52" s="202">
        <f t="shared" si="2"/>
        <v>2030</v>
      </c>
      <c r="C52" s="221">
        <f>_xlfn.XLOOKUP($B52,'Capital Cost and RCV Calc'!$B$5:$B$37,'Capital Cost and RCV Calc'!$C$5:$C$37)</f>
        <v>0</v>
      </c>
      <c r="D52" s="221">
        <f>C52*(1+0.07)^-($B52-Assumptions!$D$4)</f>
        <v>0</v>
      </c>
    </row>
    <row r="53" spans="1:4" x14ac:dyDescent="0.25">
      <c r="B53" s="202">
        <f t="shared" si="2"/>
        <v>2031</v>
      </c>
      <c r="C53" s="221">
        <f>_xlfn.XLOOKUP($B53,'Capital Cost and RCV Calc'!$B$5:$B$37,'Capital Cost and RCV Calc'!$C$5:$C$37)</f>
        <v>0</v>
      </c>
      <c r="D53" s="221">
        <f>C53*(1+0.07)^-($B53-Assumptions!$D$4)</f>
        <v>0</v>
      </c>
    </row>
    <row r="54" spans="1:4" x14ac:dyDescent="0.25">
      <c r="B54" s="202">
        <f t="shared" si="2"/>
        <v>2032</v>
      </c>
      <c r="C54" s="221">
        <f>_xlfn.XLOOKUP($B54,'Capital Cost and RCV Calc'!$B$5:$B$37,'Capital Cost and RCV Calc'!$C$5:$C$37)</f>
        <v>0</v>
      </c>
      <c r="D54" s="221">
        <f>C54*(1+0.07)^-($B54-Assumptions!$D$4)</f>
        <v>0</v>
      </c>
    </row>
    <row r="55" spans="1:4" x14ac:dyDescent="0.25">
      <c r="B55" s="202">
        <f t="shared" si="2"/>
        <v>2033</v>
      </c>
      <c r="C55" s="221">
        <f>_xlfn.XLOOKUP($B55,'Capital Cost and RCV Calc'!$B$5:$B$37,'Capital Cost and RCV Calc'!$C$5:$C$37)</f>
        <v>0</v>
      </c>
      <c r="D55" s="221">
        <f>C55*(1+0.07)^-($B55-Assumptions!$D$4)</f>
        <v>0</v>
      </c>
    </row>
    <row r="56" spans="1:4" x14ac:dyDescent="0.25">
      <c r="B56" s="202">
        <f t="shared" si="2"/>
        <v>2034</v>
      </c>
      <c r="C56" s="221">
        <f>_xlfn.XLOOKUP($B56,'Capital Cost and RCV Calc'!$B$5:$B$37,'Capital Cost and RCV Calc'!$C$5:$C$37)</f>
        <v>0</v>
      </c>
      <c r="D56" s="221">
        <f>C56*(1+0.07)^-($B56-Assumptions!$D$4)</f>
        <v>0</v>
      </c>
    </row>
    <row r="57" spans="1:4" x14ac:dyDescent="0.25">
      <c r="B57" s="202">
        <f t="shared" si="2"/>
        <v>2035</v>
      </c>
      <c r="C57" s="221">
        <f>_xlfn.XLOOKUP($B57,'Capital Cost and RCV Calc'!$B$5:$B$37,'Capital Cost and RCV Calc'!$C$5:$C$37)</f>
        <v>0</v>
      </c>
      <c r="D57" s="221">
        <f>C57*(1+0.07)^-($B57-Assumptions!$D$4)</f>
        <v>0</v>
      </c>
    </row>
    <row r="58" spans="1:4" x14ac:dyDescent="0.25">
      <c r="B58" s="202">
        <f t="shared" si="2"/>
        <v>2036</v>
      </c>
      <c r="C58" s="221">
        <f>_xlfn.XLOOKUP($B58,'Capital Cost and RCV Calc'!$B$5:$B$37,'Capital Cost and RCV Calc'!$C$5:$C$37)</f>
        <v>0</v>
      </c>
      <c r="D58" s="221">
        <f>C58*(1+0.07)^-($B58-Assumptions!$D$4)</f>
        <v>0</v>
      </c>
    </row>
    <row r="59" spans="1:4" ht="15" customHeight="1" x14ac:dyDescent="0.25">
      <c r="B59" s="202">
        <f t="shared" si="2"/>
        <v>2037</v>
      </c>
      <c r="C59" s="221">
        <f>_xlfn.XLOOKUP($B59,'Capital Cost and RCV Calc'!$B$5:$B$37,'Capital Cost and RCV Calc'!$C$5:$C$37)</f>
        <v>0</v>
      </c>
      <c r="D59" s="221">
        <f>C59*(1+0.07)^-($B59-Assumptions!$D$4)</f>
        <v>0</v>
      </c>
    </row>
    <row r="60" spans="1:4" x14ac:dyDescent="0.25">
      <c r="B60" s="202">
        <f t="shared" si="2"/>
        <v>2038</v>
      </c>
      <c r="C60" s="221">
        <f>_xlfn.XLOOKUP($B60,'Capital Cost and RCV Calc'!$B$5:$B$37,'Capital Cost and RCV Calc'!$C$5:$C$37)</f>
        <v>0</v>
      </c>
      <c r="D60" s="221">
        <f>C60*(1+0.07)^-($B60-Assumptions!$D$4)</f>
        <v>0</v>
      </c>
    </row>
    <row r="61" spans="1:4" x14ac:dyDescent="0.25">
      <c r="A61" s="13"/>
      <c r="B61" s="202">
        <f t="shared" si="2"/>
        <v>2039</v>
      </c>
      <c r="C61" s="221">
        <f>_xlfn.XLOOKUP($B61,'Capital Cost and RCV Calc'!$B$5:$B$37,'Capital Cost and RCV Calc'!$C$5:$C$37)</f>
        <v>0</v>
      </c>
      <c r="D61" s="221">
        <f>C61*(1+0.07)^-($B61-Assumptions!$D$4)</f>
        <v>0</v>
      </c>
    </row>
    <row r="62" spans="1:4" x14ac:dyDescent="0.25">
      <c r="B62" s="202">
        <f t="shared" si="2"/>
        <v>2040</v>
      </c>
      <c r="C62" s="221">
        <f>_xlfn.XLOOKUP($B62,'Capital Cost and RCV Calc'!$B$5:$B$37,'Capital Cost and RCV Calc'!$C$5:$C$37)</f>
        <v>0</v>
      </c>
      <c r="D62" s="221">
        <f>C62*(1+0.07)^-($B62-Assumptions!$D$4)</f>
        <v>0</v>
      </c>
    </row>
    <row r="63" spans="1:4" x14ac:dyDescent="0.25">
      <c r="B63" s="202">
        <f t="shared" si="2"/>
        <v>2041</v>
      </c>
      <c r="C63" s="221">
        <f>_xlfn.XLOOKUP($B63,'Capital Cost and RCV Calc'!$B$5:$B$37,'Capital Cost and RCV Calc'!$C$5:$C$37)</f>
        <v>0</v>
      </c>
      <c r="D63" s="221">
        <f>C63*(1+0.07)^-($B63-Assumptions!$D$4)</f>
        <v>0</v>
      </c>
    </row>
    <row r="64" spans="1:4" x14ac:dyDescent="0.25">
      <c r="B64" s="202">
        <f t="shared" si="2"/>
        <v>2042</v>
      </c>
      <c r="C64" s="221">
        <f>_xlfn.XLOOKUP($B64,'Capital Cost and RCV Calc'!$B$5:$B$37,'Capital Cost and RCV Calc'!$C$5:$C$37)</f>
        <v>0</v>
      </c>
      <c r="D64" s="221">
        <f>C64*(1+0.07)^-($B64-Assumptions!$D$4)</f>
        <v>0</v>
      </c>
    </row>
    <row r="65" spans="2:5" x14ac:dyDescent="0.25">
      <c r="B65" s="202">
        <f t="shared" si="2"/>
        <v>2043</v>
      </c>
      <c r="C65" s="221">
        <f>_xlfn.XLOOKUP($B65,'Capital Cost and RCV Calc'!$B$5:$B$37,'Capital Cost and RCV Calc'!$C$5:$C$37)</f>
        <v>0</v>
      </c>
      <c r="D65" s="221">
        <f>C65*(1+0.07)^-($B65-Assumptions!$D$4)</f>
        <v>0</v>
      </c>
    </row>
    <row r="66" spans="2:5" x14ac:dyDescent="0.25">
      <c r="B66" s="202">
        <f t="shared" si="2"/>
        <v>2044</v>
      </c>
      <c r="C66" s="221">
        <f>_xlfn.XLOOKUP($B66,'Capital Cost and RCV Calc'!$B$5:$B$37,'Capital Cost and RCV Calc'!$C$5:$C$37)</f>
        <v>0</v>
      </c>
      <c r="D66" s="221">
        <f>C66*(1+0.07)^-($B66-Assumptions!$D$4)</f>
        <v>0</v>
      </c>
    </row>
    <row r="67" spans="2:5" x14ac:dyDescent="0.25">
      <c r="B67" s="202">
        <f t="shared" si="2"/>
        <v>2045</v>
      </c>
      <c r="C67" s="221">
        <f>_xlfn.XLOOKUP($B67,'Capital Cost and RCV Calc'!$B$5:$B$37,'Capital Cost and RCV Calc'!$C$5:$C$37)</f>
        <v>0</v>
      </c>
      <c r="D67" s="221">
        <f>C67*(1+0.07)^-($B67-Assumptions!$D$4)</f>
        <v>0</v>
      </c>
    </row>
    <row r="68" spans="2:5" x14ac:dyDescent="0.25">
      <c r="B68" s="202">
        <f t="shared" si="2"/>
        <v>2046</v>
      </c>
      <c r="C68" s="221">
        <f>_xlfn.XLOOKUP($B68,'Capital Cost and RCV Calc'!$B$5:$B$37,'Capital Cost and RCV Calc'!$C$5:$C$37)</f>
        <v>0</v>
      </c>
      <c r="D68" s="221">
        <f>C68*(1+0.07)^-($B68-Assumptions!$D$4)</f>
        <v>0</v>
      </c>
    </row>
    <row r="69" spans="2:5" x14ac:dyDescent="0.25">
      <c r="B69" s="202">
        <f t="shared" si="2"/>
        <v>2047</v>
      </c>
      <c r="C69" s="221">
        <f>_xlfn.XLOOKUP($B69,'Capital Cost and RCV Calc'!$B$5:$B$37,'Capital Cost and RCV Calc'!$C$5:$C$37)</f>
        <v>0</v>
      </c>
      <c r="D69" s="221">
        <f>C69*(1+0.07)^-($B69-Assumptions!$D$4)</f>
        <v>0</v>
      </c>
    </row>
    <row r="70" spans="2:5" x14ac:dyDescent="0.25">
      <c r="B70" s="202">
        <f t="shared" si="2"/>
        <v>2048</v>
      </c>
      <c r="C70" s="221">
        <f>_xlfn.XLOOKUP($B70,'Capital Cost and RCV Calc'!$B$5:$B$37,'Capital Cost and RCV Calc'!$C$5:$C$37)</f>
        <v>0</v>
      </c>
      <c r="D70" s="221">
        <f>C70*(1+0.07)^-($B70-Assumptions!$D$4)</f>
        <v>0</v>
      </c>
    </row>
    <row r="71" spans="2:5" x14ac:dyDescent="0.25">
      <c r="B71" s="202">
        <f t="shared" si="2"/>
        <v>2049</v>
      </c>
      <c r="C71" s="221">
        <f>_xlfn.XLOOKUP($B71,'Capital Cost and RCV Calc'!$B$5:$B$37,'Capital Cost and RCV Calc'!$C$5:$C$37)</f>
        <v>0</v>
      </c>
      <c r="D71" s="221">
        <f>C71*(1+0.07)^-($B71-Assumptions!$D$4)</f>
        <v>0</v>
      </c>
    </row>
    <row r="72" spans="2:5" x14ac:dyDescent="0.25">
      <c r="B72" s="202">
        <f t="shared" si="2"/>
        <v>2050</v>
      </c>
      <c r="C72" s="221">
        <f>_xlfn.XLOOKUP($B72,'Capital Cost and RCV Calc'!$B$5:$B$37,'Capital Cost and RCV Calc'!$C$5:$C$37)</f>
        <v>0</v>
      </c>
      <c r="D72" s="221">
        <f>C72*(1+0.07)^-($B72-Assumptions!$D$4)</f>
        <v>0</v>
      </c>
    </row>
    <row r="73" spans="2:5" x14ac:dyDescent="0.25">
      <c r="B73" s="202">
        <f t="shared" si="2"/>
        <v>2051</v>
      </c>
      <c r="C73" s="221">
        <f>_xlfn.XLOOKUP($B73,'Capital Cost and RCV Calc'!$B$5:$B$37,'Capital Cost and RCV Calc'!$C$5:$C$37)</f>
        <v>0</v>
      </c>
      <c r="D73" s="221">
        <f>C73*(1+0.07)^-($B73-Assumptions!$D$4)</f>
        <v>0</v>
      </c>
    </row>
    <row r="74" spans="2:5" x14ac:dyDescent="0.25">
      <c r="B74" s="202">
        <f t="shared" si="2"/>
        <v>2052</v>
      </c>
      <c r="C74" s="221">
        <f>_xlfn.XLOOKUP($B74,'Capital Cost and RCV Calc'!$B$5:$B$37,'Capital Cost and RCV Calc'!$C$5:$C$37)</f>
        <v>0</v>
      </c>
      <c r="D74" s="221">
        <f>C74*(1+0.07)^-($B74-Assumptions!$D$4)</f>
        <v>0</v>
      </c>
    </row>
    <row r="75" spans="2:5" x14ac:dyDescent="0.25">
      <c r="B75" s="202">
        <f t="shared" si="2"/>
        <v>2053</v>
      </c>
      <c r="C75" s="221">
        <f>_xlfn.XLOOKUP($B75,'Capital Cost and RCV Calc'!$B$5:$B$37,'Capital Cost and RCV Calc'!$C$5:$C$37)</f>
        <v>0</v>
      </c>
      <c r="D75" s="221">
        <f>C75*(1+0.07)^-($B75-Assumptions!$D$4)</f>
        <v>0</v>
      </c>
    </row>
    <row r="76" spans="2:5" x14ac:dyDescent="0.25">
      <c r="B76" s="202">
        <f t="shared" si="2"/>
        <v>2054</v>
      </c>
      <c r="C76" s="221">
        <f>_xlfn.XLOOKUP($B76,'Capital Cost and RCV Calc'!$B$5:$B$37,'Capital Cost and RCV Calc'!$C$5:$C$37)</f>
        <v>0</v>
      </c>
      <c r="D76" s="221">
        <f>C76*(1+0.07)^-($B76-Assumptions!$D$4)</f>
        <v>0</v>
      </c>
    </row>
    <row r="77" spans="2:5" ht="15.75" thickBot="1" x14ac:dyDescent="0.3">
      <c r="B77" s="203">
        <f t="shared" si="2"/>
        <v>2055</v>
      </c>
      <c r="C77" s="222">
        <f>_xlfn.XLOOKUP($B77,'Capital Cost and RCV Calc'!$B$5:$B$37,'Capital Cost and RCV Calc'!$C$5:$C$37)</f>
        <v>0</v>
      </c>
      <c r="D77" s="222">
        <f>C77*(1+0.07)^-($B77-Assumptions!$D$4)</f>
        <v>0</v>
      </c>
    </row>
    <row r="78" spans="2:5" x14ac:dyDescent="0.25">
      <c r="D78" s="6">
        <f>SUM(D45:D77)</f>
        <v>31078578.258313548</v>
      </c>
      <c r="E78" s="383">
        <f>'Capital Cost and RCV Calc'!D38</f>
        <v>31078578.258313548</v>
      </c>
    </row>
    <row r="79" spans="2:5" x14ac:dyDescent="0.25">
      <c r="D79" s="219"/>
    </row>
    <row r="80" spans="2:5" ht="16.5" thickBot="1" x14ac:dyDescent="0.3">
      <c r="B80" s="29" t="s">
        <v>46</v>
      </c>
      <c r="D80" s="219"/>
    </row>
    <row r="81" spans="2:8" ht="15.75" thickBot="1" x14ac:dyDescent="0.3">
      <c r="B81" s="33"/>
      <c r="C81" s="36">
        <v>7.0000000000000007E-2</v>
      </c>
      <c r="D81" s="219"/>
    </row>
    <row r="82" spans="2:8" x14ac:dyDescent="0.25">
      <c r="B82" s="34" t="s">
        <v>38</v>
      </c>
      <c r="C82" s="149">
        <f>J40</f>
        <v>32834832.850644305</v>
      </c>
      <c r="D82" s="32"/>
      <c r="E82" s="32"/>
      <c r="F82" s="32"/>
      <c r="G82" s="32"/>
    </row>
    <row r="83" spans="2:8" ht="15.75" thickBot="1" x14ac:dyDescent="0.3">
      <c r="B83" s="35" t="s">
        <v>39</v>
      </c>
      <c r="C83" s="150">
        <f>+D78</f>
        <v>31078578.258313548</v>
      </c>
      <c r="F83" s="31"/>
      <c r="G83" s="31"/>
      <c r="H83" s="32"/>
    </row>
    <row r="84" spans="2:8" ht="15.75" thickTop="1" x14ac:dyDescent="0.25">
      <c r="B84" s="292" t="s">
        <v>40</v>
      </c>
      <c r="C84" s="294">
        <f>+C82/C83</f>
        <v>1.0565101330483468</v>
      </c>
      <c r="E84" s="31"/>
      <c r="F84" s="32"/>
      <c r="G84" s="32"/>
    </row>
    <row r="85" spans="2:8" ht="15.75" thickBot="1" x14ac:dyDescent="0.3">
      <c r="B85" s="293" t="s">
        <v>128</v>
      </c>
      <c r="C85" s="295">
        <f>C82-C83</f>
        <v>1756254.5923307575</v>
      </c>
      <c r="E85" s="31"/>
      <c r="F85" s="32"/>
      <c r="G85" s="32"/>
    </row>
    <row r="86" spans="2:8" ht="15.75" thickBot="1" x14ac:dyDescent="0.3">
      <c r="E86" s="31"/>
      <c r="F86" s="32"/>
      <c r="G86" s="32"/>
    </row>
    <row r="87" spans="2:8" ht="15.75" thickBot="1" x14ac:dyDescent="0.3">
      <c r="B87" s="33"/>
      <c r="C87" s="36">
        <v>7.0000000000000007E-2</v>
      </c>
      <c r="E87" s="31"/>
      <c r="F87" s="32"/>
      <c r="G87" s="32"/>
    </row>
    <row r="88" spans="2:8" x14ac:dyDescent="0.25">
      <c r="B88" s="34" t="s">
        <v>38</v>
      </c>
      <c r="C88" s="404">
        <f>MROUND(C82,100000)/10^6</f>
        <v>32.799999999999997</v>
      </c>
    </row>
    <row r="89" spans="2:8" ht="15.75" thickBot="1" x14ac:dyDescent="0.3">
      <c r="B89" s="35" t="s">
        <v>39</v>
      </c>
      <c r="C89" s="407">
        <f>MROUND(C83,100000)/10^6</f>
        <v>31.1</v>
      </c>
    </row>
    <row r="90" spans="2:8" ht="15.75" thickTop="1" x14ac:dyDescent="0.25">
      <c r="B90" s="292" t="s">
        <v>40</v>
      </c>
      <c r="C90" s="406">
        <f>+C88/C89</f>
        <v>1.0546623794212218</v>
      </c>
    </row>
    <row r="91" spans="2:8" ht="15.75" thickBot="1" x14ac:dyDescent="0.3">
      <c r="B91" s="293" t="s">
        <v>128</v>
      </c>
      <c r="C91" s="405">
        <f>C88-C89</f>
        <v>1.6999999999999957</v>
      </c>
    </row>
  </sheetData>
  <mergeCells count="14">
    <mergeCell ref="C4:D4"/>
    <mergeCell ref="B5:B6"/>
    <mergeCell ref="C5:C6"/>
    <mergeCell ref="D5:D6"/>
    <mergeCell ref="E5:E6"/>
    <mergeCell ref="E4:F4"/>
    <mergeCell ref="F5:F6"/>
    <mergeCell ref="J5:J6"/>
    <mergeCell ref="B43:B44"/>
    <mergeCell ref="C43:C44"/>
    <mergeCell ref="D43:D44"/>
    <mergeCell ref="I5:I6"/>
    <mergeCell ref="G5:G6"/>
    <mergeCell ref="H5:H6"/>
  </mergeCells>
  <pageMargins left="0.25" right="0.25" top="0.75" bottom="0.75" header="0.3" footer="0.3"/>
  <pageSetup paperSize="3"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F8A7A-4267-4D6C-B8E4-AF642CBEC677}">
  <sheetPr>
    <tabColor rgb="FF00B050"/>
    <pageSetUpPr fitToPage="1"/>
  </sheetPr>
  <dimension ref="A1:X71"/>
  <sheetViews>
    <sheetView view="pageBreakPreview" topLeftCell="G1" zoomScale="85" zoomScaleNormal="85" zoomScaleSheetLayoutView="85" workbookViewId="0">
      <selection activeCell="P12" sqref="P12"/>
    </sheetView>
  </sheetViews>
  <sheetFormatPr defaultRowHeight="15" x14ac:dyDescent="0.25"/>
  <cols>
    <col min="1" max="1" width="3.7109375" style="147" customWidth="1"/>
    <col min="2" max="8" width="20.7109375" style="147" customWidth="1"/>
    <col min="9" max="10" width="5.7109375" style="147" customWidth="1"/>
    <col min="11" max="11" width="28.140625" style="147" customWidth="1"/>
    <col min="12" max="12" width="20.7109375" style="147" customWidth="1"/>
    <col min="13" max="13" width="18" style="147" customWidth="1"/>
    <col min="14" max="14" width="17.140625" style="147" customWidth="1"/>
    <col min="15" max="15" width="18.5703125" style="147" customWidth="1"/>
    <col min="16" max="16" width="16.42578125" style="147" customWidth="1"/>
    <col min="17" max="18" width="9.140625" style="147"/>
    <col min="19" max="19" width="12.28515625" style="147" customWidth="1"/>
    <col min="20" max="20" width="9.7109375" style="147" customWidth="1"/>
    <col min="21" max="24" width="10.85546875" style="147" customWidth="1"/>
    <col min="25" max="16384" width="9.140625" style="147"/>
  </cols>
  <sheetData>
    <row r="1" spans="1:24" x14ac:dyDescent="0.25">
      <c r="A1" s="37"/>
      <c r="B1" s="37"/>
      <c r="C1" s="37"/>
      <c r="G1" s="147">
        <v>6</v>
      </c>
    </row>
    <row r="2" spans="1:24" x14ac:dyDescent="0.25">
      <c r="B2" s="12" t="s">
        <v>129</v>
      </c>
      <c r="U2" s="460" t="s">
        <v>201</v>
      </c>
      <c r="V2" s="460"/>
      <c r="W2" s="460" t="s">
        <v>202</v>
      </c>
      <c r="X2" s="460"/>
    </row>
    <row r="3" spans="1:24" ht="15.75" thickBot="1" x14ac:dyDescent="0.3">
      <c r="C3" s="21"/>
      <c r="D3" s="21"/>
      <c r="K3" s="116"/>
      <c r="U3" s="297" t="s">
        <v>47</v>
      </c>
      <c r="V3" s="297" t="s">
        <v>48</v>
      </c>
      <c r="W3" s="297" t="s">
        <v>47</v>
      </c>
      <c r="X3" s="297" t="s">
        <v>48</v>
      </c>
    </row>
    <row r="4" spans="1:24" ht="35.1" customHeight="1" x14ac:dyDescent="0.25">
      <c r="B4" s="461" t="s">
        <v>0</v>
      </c>
      <c r="C4" s="463" t="s">
        <v>89</v>
      </c>
      <c r="D4" s="465" t="s">
        <v>88</v>
      </c>
      <c r="E4" s="463" t="s">
        <v>87</v>
      </c>
      <c r="F4" s="467" t="s">
        <v>86</v>
      </c>
      <c r="G4" s="467" t="s">
        <v>85</v>
      </c>
      <c r="H4" s="469" t="s">
        <v>1</v>
      </c>
      <c r="K4" s="116"/>
      <c r="M4" s="50"/>
      <c r="N4" s="50"/>
      <c r="T4" s="13" t="s">
        <v>197</v>
      </c>
      <c r="U4" s="410">
        <f>L22*365/12</f>
        <v>76199.150842888383</v>
      </c>
      <c r="V4" s="410">
        <f>M22*365/12</f>
        <v>103406.23780304416</v>
      </c>
      <c r="W4" s="410">
        <f>N22*365/12</f>
        <v>71142.040614152575</v>
      </c>
      <c r="X4" s="410">
        <f>O22*365/12</f>
        <v>94646.61566720852</v>
      </c>
    </row>
    <row r="5" spans="1:24" ht="30.75" thickBot="1" x14ac:dyDescent="0.3">
      <c r="B5" s="462"/>
      <c r="C5" s="464"/>
      <c r="D5" s="466"/>
      <c r="E5" s="464"/>
      <c r="F5" s="468"/>
      <c r="G5" s="468"/>
      <c r="H5" s="470"/>
      <c r="K5" s="471" t="s">
        <v>84</v>
      </c>
      <c r="L5" s="471"/>
      <c r="M5" s="281"/>
      <c r="N5" s="37"/>
      <c r="O5" s="37"/>
      <c r="P5" s="37"/>
      <c r="R5" s="21" t="s">
        <v>195</v>
      </c>
      <c r="S5" s="409" t="s">
        <v>196</v>
      </c>
      <c r="U5" s="369"/>
      <c r="V5" s="369"/>
      <c r="W5" s="369"/>
      <c r="X5" s="369"/>
    </row>
    <row r="6" spans="1:24" x14ac:dyDescent="0.25">
      <c r="B6" s="153">
        <f>Assumptions!$D$8</f>
        <v>2026</v>
      </c>
      <c r="C6" s="351" cm="1">
        <f t="array" ref="C6">TREND($L$27:$M$27,$L$26:$M$26,$B6)</f>
        <v>1053105.9735656604</v>
      </c>
      <c r="D6" s="242" cm="1">
        <f t="array" ref="D6">TREND($N$27:$O$27,$N$26:$O$26,$B6)</f>
        <v>975405.41196160018</v>
      </c>
      <c r="E6" s="243">
        <f>C6*$L$18</f>
        <v>31559763.848547164</v>
      </c>
      <c r="F6" s="244">
        <f>D6*$L$18</f>
        <v>29231212.461813685</v>
      </c>
      <c r="G6" s="244">
        <f>(E6-F6)</f>
        <v>2328551.3867334798</v>
      </c>
      <c r="H6" s="208">
        <f>G6*(1+0.07)^-(B6-Assumptions!$D$4)</f>
        <v>1450104.7750532811</v>
      </c>
      <c r="I6" s="37"/>
      <c r="K6" s="100" t="s">
        <v>101</v>
      </c>
      <c r="L6" s="206">
        <f>Assumptions!D21</f>
        <v>17.899999999999999</v>
      </c>
      <c r="M6" s="37"/>
      <c r="N6" s="37"/>
      <c r="O6" s="37"/>
      <c r="P6" s="37"/>
      <c r="R6" s="369" t="s">
        <v>183</v>
      </c>
      <c r="S6" s="297">
        <v>0.89</v>
      </c>
      <c r="U6" s="410">
        <f t="shared" ref="U6:X17" si="0">U$4*$S6/$S$8</f>
        <v>69914.684793990382</v>
      </c>
      <c r="V6" s="410">
        <f t="shared" si="0"/>
        <v>94877.888293514756</v>
      </c>
      <c r="W6" s="410">
        <f t="shared" si="0"/>
        <v>65274.65582123278</v>
      </c>
      <c r="X6" s="410">
        <f t="shared" si="0"/>
        <v>86840.709220428427</v>
      </c>
    </row>
    <row r="7" spans="1:24" x14ac:dyDescent="0.25">
      <c r="B7" s="154">
        <f t="shared" ref="B7:B35" si="1">B6+1</f>
        <v>2027</v>
      </c>
      <c r="C7" s="237" cm="1">
        <f t="array" ref="C7">TREND($L$27:$M$27,$L$26:$M$26,$B7)</f>
        <v>1069106.999671828</v>
      </c>
      <c r="D7" s="238" cm="1">
        <f t="array" ref="D7">TREND($N$27:$O$27,$N$26:$O$26,$B7)</f>
        <v>989228.91756472364</v>
      </c>
      <c r="E7" s="245">
        <f t="shared" ref="E7:F35" si="2">C7*$L$18</f>
        <v>32039286.914526243</v>
      </c>
      <c r="F7" s="236">
        <f t="shared" si="2"/>
        <v>29645479.006059475</v>
      </c>
      <c r="G7" s="236">
        <f t="shared" ref="G7:G35" si="3">(E7-F7)</f>
        <v>2393807.9084667675</v>
      </c>
      <c r="H7" s="209">
        <f>G7*(1+0.07)^-(B7-Assumptions!$D$4)</f>
        <v>1393217.9973074507</v>
      </c>
      <c r="I7" s="37"/>
      <c r="K7" s="100" t="s">
        <v>83</v>
      </c>
      <c r="L7" s="206">
        <f>Assumptions!D22</f>
        <v>30.8</v>
      </c>
      <c r="M7" s="223"/>
      <c r="N7" s="127"/>
      <c r="O7" s="37"/>
      <c r="P7" s="282"/>
      <c r="Q7" s="126"/>
      <c r="R7" s="369" t="s">
        <v>184</v>
      </c>
      <c r="S7" s="297">
        <v>0.92</v>
      </c>
      <c r="U7" s="410">
        <f t="shared" si="0"/>
        <v>72271.359562327125</v>
      </c>
      <c r="V7" s="410">
        <f t="shared" si="0"/>
        <v>98076.019359588288</v>
      </c>
      <c r="W7" s="410">
        <f t="shared" si="0"/>
        <v>67474.925118577696</v>
      </c>
      <c r="X7" s="410">
        <f t="shared" si="0"/>
        <v>89767.924137970971</v>
      </c>
    </row>
    <row r="8" spans="1:24" x14ac:dyDescent="0.25">
      <c r="B8" s="154">
        <f t="shared" si="1"/>
        <v>2028</v>
      </c>
      <c r="C8" s="237" cm="1">
        <f t="array" ref="C8">TREND($L$27:$M$27,$L$26:$M$26,$B8)</f>
        <v>1085108.0257779956</v>
      </c>
      <c r="D8" s="238" cm="1">
        <f t="array" ref="D8">TREND($N$27:$O$27,$N$26:$O$26,$B8)</f>
        <v>1003052.4231678471</v>
      </c>
      <c r="E8" s="245">
        <f t="shared" si="2"/>
        <v>32518809.980505321</v>
      </c>
      <c r="F8" s="236">
        <f t="shared" si="2"/>
        <v>30059745.550305262</v>
      </c>
      <c r="G8" s="236">
        <f t="shared" si="3"/>
        <v>2459064.430200059</v>
      </c>
      <c r="H8" s="209">
        <f>G8*(1+0.07)^-(B8-Assumptions!$D$4)</f>
        <v>1337568.1187742737</v>
      </c>
      <c r="J8" s="129"/>
      <c r="K8" s="119"/>
      <c r="L8" s="128"/>
      <c r="M8" s="223"/>
      <c r="N8" s="127"/>
      <c r="O8" s="37"/>
      <c r="P8" s="282"/>
      <c r="Q8" s="126"/>
      <c r="R8" s="369" t="s">
        <v>185</v>
      </c>
      <c r="S8" s="297">
        <v>0.97</v>
      </c>
      <c r="U8" s="410">
        <f t="shared" si="0"/>
        <v>76199.150842888383</v>
      </c>
      <c r="V8" s="410">
        <f t="shared" si="0"/>
        <v>103406.23780304418</v>
      </c>
      <c r="W8" s="410">
        <f t="shared" si="0"/>
        <v>71142.040614152575</v>
      </c>
      <c r="X8" s="410">
        <f t="shared" si="0"/>
        <v>94646.61566720852</v>
      </c>
    </row>
    <row r="9" spans="1:24" ht="14.25" customHeight="1" x14ac:dyDescent="0.25">
      <c r="B9" s="154">
        <f t="shared" si="1"/>
        <v>2029</v>
      </c>
      <c r="C9" s="237" cm="1">
        <f t="array" ref="C9">TREND($L$27:$M$27,$L$26:$M$26,$B9)</f>
        <v>1101109.0518841669</v>
      </c>
      <c r="D9" s="238" cm="1">
        <f t="array" ref="D9">TREND($N$27:$O$27,$N$26:$O$26,$B9)</f>
        <v>1016875.9287709706</v>
      </c>
      <c r="E9" s="245">
        <f t="shared" ref="E9:E23" si="4">C9*$L$18</f>
        <v>32998333.046484511</v>
      </c>
      <c r="F9" s="236">
        <f t="shared" ref="F9:F23" si="5">D9*$L$18</f>
        <v>30474012.094551053</v>
      </c>
      <c r="G9" s="236">
        <f t="shared" ref="G9:G23" si="6">(E9-F9)</f>
        <v>2524320.9519334584</v>
      </c>
      <c r="H9" s="209">
        <f>G9*(1+0.07)^-(B9-Assumptions!$D$4)</f>
        <v>1283236.7690362106</v>
      </c>
      <c r="K9" s="471" t="s">
        <v>82</v>
      </c>
      <c r="L9" s="471"/>
      <c r="M9" s="46"/>
      <c r="N9" s="46"/>
      <c r="O9" s="37"/>
      <c r="P9" s="37"/>
      <c r="R9" s="369" t="s">
        <v>186</v>
      </c>
      <c r="S9" s="297">
        <v>1.07</v>
      </c>
      <c r="U9" s="410">
        <f t="shared" si="0"/>
        <v>84054.733404010898</v>
      </c>
      <c r="V9" s="410">
        <f t="shared" si="0"/>
        <v>114066.67468995594</v>
      </c>
      <c r="W9" s="410">
        <f t="shared" si="0"/>
        <v>78476.271605302332</v>
      </c>
      <c r="X9" s="410">
        <f t="shared" si="0"/>
        <v>104403.99872568363</v>
      </c>
    </row>
    <row r="10" spans="1:24" x14ac:dyDescent="0.25">
      <c r="B10" s="154">
        <f t="shared" si="1"/>
        <v>2030</v>
      </c>
      <c r="C10" s="237" cm="1">
        <f t="array" ref="C10">TREND($L$27:$M$27,$L$26:$M$26,$B10)</f>
        <v>1117110.0779903345</v>
      </c>
      <c r="D10" s="238" cm="1">
        <f t="array" ref="D10">TREND($N$27:$O$27,$N$26:$O$26,$B10)</f>
        <v>1030699.4343740903</v>
      </c>
      <c r="E10" s="245">
        <f t="shared" si="4"/>
        <v>33477856.11246359</v>
      </c>
      <c r="F10" s="236">
        <f t="shared" si="5"/>
        <v>30888278.638796732</v>
      </c>
      <c r="G10" s="236">
        <f t="shared" si="6"/>
        <v>2589577.4736668579</v>
      </c>
      <c r="H10" s="209">
        <f>G10*(1+0.07)^-(B10-Assumptions!$D$4)</f>
        <v>1230289.6034266895</v>
      </c>
      <c r="K10" s="100" t="s">
        <v>81</v>
      </c>
      <c r="L10" s="207">
        <f>Assumptions!D14</f>
        <v>0.91701244813278004</v>
      </c>
      <c r="M10" s="46"/>
      <c r="N10" s="46"/>
      <c r="O10" s="37"/>
      <c r="P10" s="37"/>
      <c r="R10" s="369" t="s">
        <v>187</v>
      </c>
      <c r="S10" s="297">
        <v>1.03</v>
      </c>
      <c r="U10" s="410">
        <f t="shared" si="0"/>
        <v>80912.500379561898</v>
      </c>
      <c r="V10" s="410">
        <f t="shared" si="0"/>
        <v>109802.49993519123</v>
      </c>
      <c r="W10" s="410">
        <f t="shared" si="0"/>
        <v>75542.579208842435</v>
      </c>
      <c r="X10" s="410">
        <f t="shared" si="0"/>
        <v>100501.04550229358</v>
      </c>
    </row>
    <row r="11" spans="1:24" x14ac:dyDescent="0.25">
      <c r="B11" s="154">
        <f t="shared" si="1"/>
        <v>2031</v>
      </c>
      <c r="C11" s="237" cm="1">
        <f t="array" ref="C11">TREND($L$27:$M$27,$L$26:$M$26,$B11)</f>
        <v>1133111.1040965058</v>
      </c>
      <c r="D11" s="238" cm="1">
        <f t="array" ref="D11">TREND($N$27:$O$27,$N$26:$O$26,$B11)</f>
        <v>1044522.9399772137</v>
      </c>
      <c r="E11" s="245">
        <f t="shared" si="4"/>
        <v>33957379.178442776</v>
      </c>
      <c r="F11" s="236">
        <f t="shared" si="5"/>
        <v>31302545.183042523</v>
      </c>
      <c r="G11" s="236">
        <f t="shared" si="6"/>
        <v>2654833.9954002537</v>
      </c>
      <c r="H11" s="209">
        <f>G11*(1+0.07)^-(B11-Assumptions!$D$4)</f>
        <v>1178778.0437565758</v>
      </c>
      <c r="K11" s="100" t="s">
        <v>80</v>
      </c>
      <c r="L11" s="207">
        <f>Assumptions!D15</f>
        <v>8.2987551867219955E-2</v>
      </c>
      <c r="M11" s="119"/>
      <c r="N11" s="119"/>
      <c r="O11" s="119"/>
      <c r="P11" s="283"/>
      <c r="R11" s="369" t="s">
        <v>188</v>
      </c>
      <c r="S11" s="297">
        <v>1.04</v>
      </c>
      <c r="U11" s="410">
        <f t="shared" si="0"/>
        <v>81698.058635674141</v>
      </c>
      <c r="V11" s="410">
        <f t="shared" si="0"/>
        <v>110868.5436238824</v>
      </c>
      <c r="W11" s="410">
        <f t="shared" si="0"/>
        <v>76276.002307957402</v>
      </c>
      <c r="X11" s="410">
        <f t="shared" si="0"/>
        <v>101476.7838081411</v>
      </c>
    </row>
    <row r="12" spans="1:24" x14ac:dyDescent="0.25">
      <c r="B12" s="154">
        <f t="shared" si="1"/>
        <v>2032</v>
      </c>
      <c r="C12" s="237" cm="1">
        <f t="array" ref="C12">TREND($L$27:$M$27,$L$26:$M$26,$B12)</f>
        <v>1149112.1302026734</v>
      </c>
      <c r="D12" s="238" cm="1">
        <f t="array" ref="D12">TREND($N$27:$O$27,$N$26:$O$26,$B12)</f>
        <v>1058346.4455803372</v>
      </c>
      <c r="E12" s="245">
        <f t="shared" si="4"/>
        <v>34436902.244421855</v>
      </c>
      <c r="F12" s="236">
        <f t="shared" si="5"/>
        <v>31716811.727288313</v>
      </c>
      <c r="G12" s="236">
        <f t="shared" si="6"/>
        <v>2720090.5171335414</v>
      </c>
      <c r="H12" s="209">
        <f>G12*(1+0.07)^-(B12-Assumptions!$D$4)</f>
        <v>1128740.8596491667</v>
      </c>
      <c r="K12" s="119"/>
      <c r="L12" s="122"/>
      <c r="M12" s="46"/>
      <c r="N12" s="46"/>
      <c r="O12" s="46"/>
      <c r="P12" s="37"/>
      <c r="R12" s="369" t="s">
        <v>189</v>
      </c>
      <c r="S12" s="297">
        <v>0.96</v>
      </c>
      <c r="U12" s="410">
        <f t="shared" si="0"/>
        <v>75413.592586776125</v>
      </c>
      <c r="V12" s="410">
        <f t="shared" si="0"/>
        <v>102340.19411435298</v>
      </c>
      <c r="W12" s="410">
        <f t="shared" si="0"/>
        <v>70408.617515037608</v>
      </c>
      <c r="X12" s="410">
        <f t="shared" si="0"/>
        <v>93670.87736136101</v>
      </c>
    </row>
    <row r="13" spans="1:24" ht="15" customHeight="1" x14ac:dyDescent="0.25">
      <c r="B13" s="154">
        <f t="shared" si="1"/>
        <v>2033</v>
      </c>
      <c r="C13" s="237" cm="1">
        <f t="array" ref="C13">TREND($L$27:$M$27,$L$26:$M$26,$B13)</f>
        <v>1165113.1563088447</v>
      </c>
      <c r="D13" s="238" cm="1">
        <f t="array" ref="D13">TREND($N$27:$O$27,$N$26:$O$26,$B13)</f>
        <v>1072169.9511834607</v>
      </c>
      <c r="E13" s="245">
        <f t="shared" si="4"/>
        <v>34916425.310401045</v>
      </c>
      <c r="F13" s="236">
        <f t="shared" si="5"/>
        <v>32131078.271534104</v>
      </c>
      <c r="G13" s="236">
        <f t="shared" si="6"/>
        <v>2785347.0388669409</v>
      </c>
      <c r="H13" s="209">
        <f>G13*(1+0.07)^-(B13-Assumptions!$D$4)</f>
        <v>1080205.6038891526</v>
      </c>
      <c r="K13" s="471" t="s">
        <v>124</v>
      </c>
      <c r="L13" s="471"/>
      <c r="M13" s="46"/>
      <c r="N13" s="46"/>
      <c r="O13" s="46"/>
      <c r="P13" s="37"/>
      <c r="R13" s="369" t="s">
        <v>190</v>
      </c>
      <c r="S13" s="297">
        <v>0.93</v>
      </c>
      <c r="U13" s="410">
        <f t="shared" si="0"/>
        <v>73056.917818439382</v>
      </c>
      <c r="V13" s="410">
        <f t="shared" si="0"/>
        <v>99142.063048279466</v>
      </c>
      <c r="W13" s="410">
        <f t="shared" si="0"/>
        <v>68208.348217692677</v>
      </c>
      <c r="X13" s="410">
        <f t="shared" si="0"/>
        <v>90743.662443818481</v>
      </c>
    </row>
    <row r="14" spans="1:24" x14ac:dyDescent="0.25">
      <c r="B14" s="154">
        <f t="shared" si="1"/>
        <v>2034</v>
      </c>
      <c r="C14" s="237" cm="1">
        <f t="array" ref="C14">TREND($L$27:$M$27,$L$26:$M$26,$B14)</f>
        <v>1181114.1824150123</v>
      </c>
      <c r="D14" s="238" cm="1">
        <f t="array" ref="D14">TREND($N$27:$O$27,$N$26:$O$26,$B14)</f>
        <v>1085993.4567865841</v>
      </c>
      <c r="E14" s="245">
        <f t="shared" si="4"/>
        <v>35395948.376380123</v>
      </c>
      <c r="F14" s="236">
        <f t="shared" si="5"/>
        <v>32545344.815779895</v>
      </c>
      <c r="G14" s="236">
        <f t="shared" si="6"/>
        <v>2850603.5606002286</v>
      </c>
      <c r="H14" s="209">
        <f>G14*(1+0.07)^-(B14-Assumptions!$D$4)</f>
        <v>1033189.9141178909</v>
      </c>
      <c r="K14" s="100" t="s">
        <v>102</v>
      </c>
      <c r="L14" s="284">
        <f>Assumptions!D16</f>
        <v>1.67</v>
      </c>
      <c r="M14" s="83"/>
      <c r="N14" s="46"/>
      <c r="O14" s="223"/>
      <c r="P14" s="37"/>
      <c r="R14" s="369" t="s">
        <v>191</v>
      </c>
      <c r="S14" s="297">
        <v>1.06</v>
      </c>
      <c r="U14" s="410">
        <f t="shared" si="0"/>
        <v>83269.175147898655</v>
      </c>
      <c r="V14" s="410">
        <f t="shared" si="0"/>
        <v>113000.63100126476</v>
      </c>
      <c r="W14" s="410">
        <f t="shared" si="0"/>
        <v>77742.848506187365</v>
      </c>
      <c r="X14" s="410">
        <f t="shared" si="0"/>
        <v>103428.26041983612</v>
      </c>
    </row>
    <row r="15" spans="1:24" x14ac:dyDescent="0.25">
      <c r="B15" s="154">
        <f t="shared" si="1"/>
        <v>2035</v>
      </c>
      <c r="C15" s="237" cm="1">
        <f t="array" ref="C15">TREND($L$27:$M$27,$L$26:$M$26,$B15)</f>
        <v>1197115.2085211799</v>
      </c>
      <c r="D15" s="238" cm="1">
        <f t="array" ref="D15">TREND($N$27:$O$27,$N$26:$O$26,$B15)</f>
        <v>1099816.9623897038</v>
      </c>
      <c r="E15" s="245">
        <f t="shared" si="4"/>
        <v>35875471.442359202</v>
      </c>
      <c r="F15" s="236">
        <f t="shared" si="5"/>
        <v>32959611.360025574</v>
      </c>
      <c r="G15" s="236">
        <f t="shared" si="6"/>
        <v>2915860.0823336281</v>
      </c>
      <c r="H15" s="209">
        <f>G15*(1+0.07)^-(B15-Assumptions!$D$4)</f>
        <v>987702.69222043629</v>
      </c>
      <c r="K15" s="100" t="s">
        <v>79</v>
      </c>
      <c r="L15" s="284">
        <f>Assumptions!D17</f>
        <v>1</v>
      </c>
      <c r="M15" s="46"/>
      <c r="N15" s="46"/>
      <c r="O15" s="223"/>
      <c r="P15" s="37"/>
      <c r="R15" s="369" t="s">
        <v>192</v>
      </c>
      <c r="S15" s="297">
        <v>1.06</v>
      </c>
      <c r="U15" s="410">
        <f t="shared" si="0"/>
        <v>83269.175147898655</v>
      </c>
      <c r="V15" s="410">
        <f t="shared" si="0"/>
        <v>113000.63100126476</v>
      </c>
      <c r="W15" s="410">
        <f t="shared" si="0"/>
        <v>77742.848506187365</v>
      </c>
      <c r="X15" s="410">
        <f t="shared" si="0"/>
        <v>103428.26041983612</v>
      </c>
    </row>
    <row r="16" spans="1:24" x14ac:dyDescent="0.25">
      <c r="B16" s="154">
        <f t="shared" si="1"/>
        <v>2036</v>
      </c>
      <c r="C16" s="237" cm="1">
        <f t="array" ref="C16">TREND($L$27:$M$27,$L$26:$M$26,$B16)</f>
        <v>1213116.2346273512</v>
      </c>
      <c r="D16" s="238" cm="1">
        <f t="array" ref="D16">TREND($N$27:$O$27,$N$26:$O$26,$B16)</f>
        <v>1113640.4679928273</v>
      </c>
      <c r="E16" s="245">
        <f t="shared" si="4"/>
        <v>36354994.508338392</v>
      </c>
      <c r="F16" s="236">
        <f t="shared" si="5"/>
        <v>33373877.904271364</v>
      </c>
      <c r="G16" s="236">
        <f t="shared" si="6"/>
        <v>2981116.6040670276</v>
      </c>
      <c r="H16" s="209">
        <f>G16*(1+0.07)^-(B16-Assumptions!$D$4)</f>
        <v>943745.17183495732</v>
      </c>
      <c r="K16" s="119"/>
      <c r="L16" s="122"/>
      <c r="M16" s="223"/>
      <c r="N16" s="223"/>
      <c r="O16" s="223"/>
      <c r="P16" s="37"/>
      <c r="R16" s="369" t="s">
        <v>193</v>
      </c>
      <c r="S16" s="297">
        <v>1.03</v>
      </c>
      <c r="U16" s="410">
        <f t="shared" si="0"/>
        <v>80912.500379561898</v>
      </c>
      <c r="V16" s="410">
        <f t="shared" si="0"/>
        <v>109802.49993519123</v>
      </c>
      <c r="W16" s="410">
        <f t="shared" si="0"/>
        <v>75542.579208842435</v>
      </c>
      <c r="X16" s="410">
        <f t="shared" si="0"/>
        <v>100501.04550229358</v>
      </c>
    </row>
    <row r="17" spans="2:24" x14ac:dyDescent="0.25">
      <c r="B17" s="154">
        <f t="shared" si="1"/>
        <v>2037</v>
      </c>
      <c r="C17" s="237" cm="1">
        <f t="array" ref="C17">TREND($L$27:$M$27,$L$26:$M$26,$B17)</f>
        <v>1229117.2607335187</v>
      </c>
      <c r="D17" s="238" cm="1">
        <f t="array" ref="D17">TREND($N$27:$O$27,$N$26:$O$26,$B17)</f>
        <v>1127463.9735959508</v>
      </c>
      <c r="E17" s="245">
        <f t="shared" si="4"/>
        <v>36834517.57431747</v>
      </c>
      <c r="F17" s="236">
        <f t="shared" si="5"/>
        <v>33788144.448517151</v>
      </c>
      <c r="G17" s="236">
        <f t="shared" si="6"/>
        <v>3046373.125800319</v>
      </c>
      <c r="H17" s="209">
        <f>G17*(1+0.07)^-(B17-Assumptions!$D$4)</f>
        <v>901311.88357615133</v>
      </c>
      <c r="K17" s="111" t="s">
        <v>78</v>
      </c>
      <c r="L17" s="118"/>
      <c r="M17" s="223"/>
      <c r="N17" s="223"/>
      <c r="O17" s="223"/>
      <c r="P17" s="46"/>
      <c r="Q17" s="50"/>
      <c r="R17" s="369" t="s">
        <v>194</v>
      </c>
      <c r="S17" s="297">
        <v>1.02</v>
      </c>
      <c r="U17" s="410">
        <f t="shared" si="0"/>
        <v>80126.942123449655</v>
      </c>
      <c r="V17" s="410">
        <f t="shared" si="0"/>
        <v>108736.45624650005</v>
      </c>
      <c r="W17" s="410">
        <f t="shared" si="0"/>
        <v>74809.156109727453</v>
      </c>
      <c r="X17" s="410">
        <f t="shared" si="0"/>
        <v>99525.307196446069</v>
      </c>
    </row>
    <row r="18" spans="2:24" x14ac:dyDescent="0.25">
      <c r="B18" s="154">
        <f t="shared" si="1"/>
        <v>2038</v>
      </c>
      <c r="C18" s="237" cm="1">
        <f t="array" ref="C18">TREND($L$27:$M$27,$L$26:$M$26,$B18)</f>
        <v>1245118.2868396901</v>
      </c>
      <c r="D18" s="238" cm="1">
        <f t="array" ref="D18">TREND($N$27:$O$27,$N$26:$O$26,$B18)</f>
        <v>1141287.4791990742</v>
      </c>
      <c r="E18" s="245">
        <f t="shared" si="4"/>
        <v>37314040.64029666</v>
      </c>
      <c r="F18" s="236">
        <f t="shared" si="5"/>
        <v>34202410.992762946</v>
      </c>
      <c r="G18" s="236">
        <f t="shared" si="6"/>
        <v>3111629.6475337148</v>
      </c>
      <c r="H18" s="209">
        <f>G18*(1+0.07)^-(B18-Assumptions!$D$4)</f>
        <v>860391.52678665356</v>
      </c>
      <c r="K18" s="125" t="s">
        <v>77</v>
      </c>
      <c r="L18" s="285">
        <f>L10*L6*L14+L11*L7*L15</f>
        <v>29.968269709543563</v>
      </c>
      <c r="M18" s="124"/>
      <c r="N18" s="223"/>
      <c r="O18" s="123"/>
      <c r="P18" s="46"/>
      <c r="Q18" s="50"/>
      <c r="T18" s="139" t="s">
        <v>7</v>
      </c>
      <c r="U18" s="411">
        <f>SUM(U6:U17)</f>
        <v>941098.79082247708</v>
      </c>
      <c r="V18" s="411">
        <f t="shared" ref="V18:X18" si="7">SUM(V6:V17)</f>
        <v>1277120.3390520301</v>
      </c>
      <c r="W18" s="411">
        <f t="shared" si="7"/>
        <v>878640.87273974007</v>
      </c>
      <c r="X18" s="411">
        <f t="shared" si="7"/>
        <v>1168934.4904053176</v>
      </c>
    </row>
    <row r="19" spans="2:24" x14ac:dyDescent="0.25">
      <c r="B19" s="154">
        <f t="shared" si="1"/>
        <v>2039</v>
      </c>
      <c r="C19" s="237" cm="1">
        <f t="array" ref="C19">TREND($L$27:$M$27,$L$26:$M$26,$B19)</f>
        <v>1261119.3129458576</v>
      </c>
      <c r="D19" s="238" cm="1">
        <f t="array" ref="D19">TREND($N$27:$O$27,$N$26:$O$26,$B19)</f>
        <v>1155110.9848021977</v>
      </c>
      <c r="E19" s="245">
        <f t="shared" si="4"/>
        <v>37793563.706275731</v>
      </c>
      <c r="F19" s="236">
        <f t="shared" si="5"/>
        <v>34616677.537008733</v>
      </c>
      <c r="G19" s="236">
        <f t="shared" si="6"/>
        <v>3176886.1692669988</v>
      </c>
      <c r="H19" s="209">
        <f>G19*(1+0.07)^-(B19-Assumptions!$D$4)</f>
        <v>820967.75591514912</v>
      </c>
      <c r="K19" s="119"/>
      <c r="L19" s="122"/>
      <c r="M19" s="121"/>
      <c r="N19" s="120"/>
      <c r="O19" s="120"/>
      <c r="P19" s="46"/>
      <c r="Q19" s="50"/>
    </row>
    <row r="20" spans="2:24" ht="14.25" customHeight="1" x14ac:dyDescent="0.25">
      <c r="B20" s="154">
        <f t="shared" si="1"/>
        <v>2040</v>
      </c>
      <c r="C20" s="237" cm="1">
        <f t="array" ref="C20">TREND($L$27:$M$27,$L$26:$M$26,$B20)</f>
        <v>1277120.339052029</v>
      </c>
      <c r="D20" s="238" cm="1">
        <f t="array" ref="D20">TREND($N$27:$O$27,$N$26:$O$26,$B20)</f>
        <v>1168934.4904053211</v>
      </c>
      <c r="E20" s="245">
        <f t="shared" si="4"/>
        <v>38273086.772254921</v>
      </c>
      <c r="F20" s="236">
        <f t="shared" si="5"/>
        <v>35030944.081254527</v>
      </c>
      <c r="G20" s="236">
        <f t="shared" si="6"/>
        <v>3242142.6910003945</v>
      </c>
      <c r="H20" s="209">
        <f>G20*(1+0.07)^-(B20-Assumptions!$D$4)</f>
        <v>783019.88896130351</v>
      </c>
      <c r="J20" s="115"/>
      <c r="K20" s="40" t="s">
        <v>203</v>
      </c>
      <c r="L20" s="457" t="s">
        <v>47</v>
      </c>
      <c r="M20" s="458"/>
      <c r="N20" s="457" t="s">
        <v>48</v>
      </c>
      <c r="O20" s="458"/>
    </row>
    <row r="21" spans="2:24" x14ac:dyDescent="0.25">
      <c r="B21" s="154">
        <f t="shared" si="1"/>
        <v>2041</v>
      </c>
      <c r="C21" s="237" cm="1">
        <f t="array" ref="C21">TREND($L$27:$M$27,$L$26:$M$26,$B21)</f>
        <v>1293121.3651581965</v>
      </c>
      <c r="D21" s="238" cm="1">
        <f t="array" ref="D21">TREND($N$27:$O$27,$N$26:$O$26,$B21)</f>
        <v>1182757.9960084409</v>
      </c>
      <c r="E21" s="245">
        <f t="shared" si="4"/>
        <v>38752609.838234</v>
      </c>
      <c r="F21" s="236">
        <f t="shared" si="5"/>
        <v>35445210.625500202</v>
      </c>
      <c r="G21" s="236">
        <f t="shared" si="6"/>
        <v>3307399.2127337977</v>
      </c>
      <c r="H21" s="209">
        <f>G21*(1+0.07)^-(B21-Assumptions!$D$4)</f>
        <v>746523.54481792508</v>
      </c>
      <c r="I21" s="53"/>
      <c r="J21" s="115"/>
      <c r="K21" s="38" t="s">
        <v>90</v>
      </c>
      <c r="L21" s="79">
        <v>2019</v>
      </c>
      <c r="M21" s="79">
        <v>2040</v>
      </c>
      <c r="N21" s="79">
        <v>2019</v>
      </c>
      <c r="O21" s="79">
        <v>2040</v>
      </c>
    </row>
    <row r="22" spans="2:24" x14ac:dyDescent="0.25">
      <c r="B22" s="154">
        <f t="shared" si="1"/>
        <v>2042</v>
      </c>
      <c r="C22" s="237" cm="1">
        <f t="array" ref="C22">TREND($L$27:$M$27,$L$26:$M$26,$B22)</f>
        <v>1309122.3912643641</v>
      </c>
      <c r="D22" s="238" cm="1">
        <f t="array" ref="D22">TREND($N$27:$O$27,$N$26:$O$26,$B22)</f>
        <v>1196581.5016115643</v>
      </c>
      <c r="E22" s="245">
        <f t="shared" si="4"/>
        <v>39232132.904213078</v>
      </c>
      <c r="F22" s="236">
        <f t="shared" si="5"/>
        <v>35859477.169745997</v>
      </c>
      <c r="G22" s="236">
        <f t="shared" si="6"/>
        <v>3372655.7344670817</v>
      </c>
      <c r="H22" s="209">
        <f>G22*(1+0.07)^-(B22-Assumptions!$D$4)</f>
        <v>711451.21578218811</v>
      </c>
      <c r="I22" s="50"/>
      <c r="J22" s="115"/>
      <c r="K22" s="224" t="s">
        <v>123</v>
      </c>
      <c r="L22" s="341">
        <v>2505.1775619579744</v>
      </c>
      <c r="M22" s="341">
        <v>3399.6571332507669</v>
      </c>
      <c r="N22" s="159">
        <v>2338.9164037529613</v>
      </c>
      <c r="O22" s="159">
        <v>3111.669556182198</v>
      </c>
      <c r="P22" s="50"/>
      <c r="Q22" s="50"/>
    </row>
    <row r="23" spans="2:24" x14ac:dyDescent="0.25">
      <c r="B23" s="154">
        <f t="shared" si="1"/>
        <v>2043</v>
      </c>
      <c r="C23" s="237" cm="1">
        <f t="array" ref="C23">TREND($L$27:$M$27,$L$26:$M$26,$B23)</f>
        <v>1325123.4173705354</v>
      </c>
      <c r="D23" s="238" cm="1">
        <f t="array" ref="D23">TREND($N$27:$O$27,$N$26:$O$26,$B23)</f>
        <v>1210405.0072146878</v>
      </c>
      <c r="E23" s="245">
        <f t="shared" si="4"/>
        <v>39711655.970192268</v>
      </c>
      <c r="F23" s="236">
        <f t="shared" si="5"/>
        <v>36273743.713991784</v>
      </c>
      <c r="G23" s="236">
        <f t="shared" si="6"/>
        <v>3437912.2562004849</v>
      </c>
      <c r="H23" s="209">
        <f>G23*(1+0.07)^-(B23-Assumptions!$D$4)</f>
        <v>677772.78099046601</v>
      </c>
      <c r="I23" s="50"/>
      <c r="J23" s="115"/>
      <c r="K23" s="224" t="s">
        <v>7</v>
      </c>
      <c r="L23" s="342">
        <v>2505.1775619579744</v>
      </c>
      <c r="M23" s="342">
        <v>3399.6571332507669</v>
      </c>
      <c r="N23" s="342">
        <v>2338.9164037529613</v>
      </c>
      <c r="O23" s="342">
        <v>3111.669556182198</v>
      </c>
      <c r="P23" s="50"/>
      <c r="Q23" s="50"/>
    </row>
    <row r="24" spans="2:24" x14ac:dyDescent="0.25">
      <c r="B24" s="154">
        <f t="shared" si="1"/>
        <v>2044</v>
      </c>
      <c r="C24" s="237" cm="1">
        <f t="array" ref="C24">TREND($L$27:$M$27,$L$26:$M$26,$B24)</f>
        <v>1341124.443476703</v>
      </c>
      <c r="D24" s="238" cm="1">
        <f t="array" ref="D24">TREND($N$27:$O$27,$N$26:$O$26,$B24)</f>
        <v>1224228.5128178112</v>
      </c>
      <c r="E24" s="245">
        <f t="shared" si="2"/>
        <v>40191179.036171347</v>
      </c>
      <c r="F24" s="236">
        <f t="shared" si="2"/>
        <v>36688010.258237578</v>
      </c>
      <c r="G24" s="236">
        <f t="shared" si="3"/>
        <v>3503168.7779337689</v>
      </c>
      <c r="H24" s="209">
        <f>G24*(1+0.07)^-(B24-Assumptions!$D$4)</f>
        <v>645455.96605588601</v>
      </c>
      <c r="I24" s="115"/>
      <c r="J24" s="115"/>
      <c r="P24" s="50"/>
      <c r="Q24" s="50"/>
    </row>
    <row r="25" spans="2:24" ht="15" customHeight="1" x14ac:dyDescent="0.25">
      <c r="B25" s="154">
        <f t="shared" si="1"/>
        <v>2045</v>
      </c>
      <c r="C25" s="237" cm="1">
        <f t="array" ref="C25">TREND($L$27:$M$27,$L$26:$M$26,$B25)</f>
        <v>1357125.4695828743</v>
      </c>
      <c r="D25" s="238" cm="1">
        <f t="array" ref="D25">TREND($N$27:$O$27,$N$26:$O$26,$B25)</f>
        <v>1238052.0184209347</v>
      </c>
      <c r="E25" s="245">
        <f t="shared" si="2"/>
        <v>40670702.102150537</v>
      </c>
      <c r="F25" s="236">
        <f t="shared" si="2"/>
        <v>37102276.802483365</v>
      </c>
      <c r="G25" s="236">
        <f t="shared" si="3"/>
        <v>3568425.2996671721</v>
      </c>
      <c r="H25" s="209">
        <f>G25*(1+0.07)^-(B25-Assumptions!$D$4)</f>
        <v>614466.75375068025</v>
      </c>
      <c r="I25" s="115"/>
      <c r="K25" s="40" t="s">
        <v>204</v>
      </c>
      <c r="L25" s="457" t="s">
        <v>47</v>
      </c>
      <c r="M25" s="458"/>
      <c r="N25" s="457" t="s">
        <v>48</v>
      </c>
      <c r="O25" s="458"/>
      <c r="Q25" s="50"/>
    </row>
    <row r="26" spans="2:24" ht="15" customHeight="1" x14ac:dyDescent="0.25">
      <c r="B26" s="154">
        <f t="shared" si="1"/>
        <v>2046</v>
      </c>
      <c r="C26" s="237" cm="1">
        <f t="array" ref="C26">TREND($L$27:$M$27,$L$26:$M$26,$B26)</f>
        <v>1373126.4956890419</v>
      </c>
      <c r="D26" s="238" cm="1">
        <f t="array" ref="D26">TREND($N$27:$O$27,$N$26:$O$26,$B26)</f>
        <v>1251875.5240240544</v>
      </c>
      <c r="E26" s="245">
        <f t="shared" si="2"/>
        <v>41150225.168129615</v>
      </c>
      <c r="F26" s="236">
        <f t="shared" si="2"/>
        <v>37516543.346729048</v>
      </c>
      <c r="G26" s="236">
        <f t="shared" si="3"/>
        <v>3633681.8214005679</v>
      </c>
      <c r="H26" s="209">
        <f>G26*(1+0.07)^-(B26-Assumptions!$D$4)</f>
        <v>584769.75017081667</v>
      </c>
      <c r="I26" s="115"/>
      <c r="K26" s="38" t="s">
        <v>90</v>
      </c>
      <c r="L26" s="79">
        <v>2019</v>
      </c>
      <c r="M26" s="79">
        <v>2040</v>
      </c>
      <c r="N26" s="79">
        <v>2019</v>
      </c>
      <c r="O26" s="79">
        <v>2040</v>
      </c>
      <c r="Q26" s="50"/>
    </row>
    <row r="27" spans="2:24" x14ac:dyDescent="0.25">
      <c r="B27" s="154">
        <f t="shared" si="1"/>
        <v>2047</v>
      </c>
      <c r="C27" s="237" cm="1">
        <f t="array" ref="C27">TREND($L$27:$M$27,$L$26:$M$26,$B27)</f>
        <v>1389127.5217952132</v>
      </c>
      <c r="D27" s="238" cm="1">
        <f t="array" ref="D27">TREND($N$27:$O$27,$N$26:$O$26,$B27)</f>
        <v>1265699.0296271779</v>
      </c>
      <c r="E27" s="245">
        <f t="shared" si="2"/>
        <v>41629748.234108806</v>
      </c>
      <c r="F27" s="236">
        <f t="shared" si="2"/>
        <v>37930809.890974835</v>
      </c>
      <c r="G27" s="236">
        <f t="shared" si="3"/>
        <v>3698938.3431339711</v>
      </c>
      <c r="H27" s="209">
        <f>G27*(1+0.07)^-(B27-Assumptions!$D$4)</f>
        <v>556328.51045057992</v>
      </c>
      <c r="I27" s="115"/>
      <c r="K27" s="348" t="s">
        <v>123</v>
      </c>
      <c r="L27" s="341">
        <f>U18</f>
        <v>941098.79082247708</v>
      </c>
      <c r="M27" s="341">
        <f>V18</f>
        <v>1277120.3390520301</v>
      </c>
      <c r="N27" s="159">
        <f>W18</f>
        <v>878640.87273974007</v>
      </c>
      <c r="O27" s="159">
        <f>X18</f>
        <v>1168934.4904053176</v>
      </c>
      <c r="Q27" s="50"/>
    </row>
    <row r="28" spans="2:24" x14ac:dyDescent="0.25">
      <c r="B28" s="154">
        <f t="shared" si="1"/>
        <v>2048</v>
      </c>
      <c r="C28" s="237" cm="1">
        <f t="array" ref="C28">TREND($L$27:$M$27,$L$26:$M$26,$B28)</f>
        <v>1405128.5479013808</v>
      </c>
      <c r="D28" s="238" cm="1">
        <f t="array" ref="D28">TREND($N$27:$O$27,$N$26:$O$26,$B28)</f>
        <v>1279522.5352303013</v>
      </c>
      <c r="E28" s="245">
        <f t="shared" si="2"/>
        <v>42109271.300087884</v>
      </c>
      <c r="F28" s="236">
        <f t="shared" si="2"/>
        <v>38345076.435220629</v>
      </c>
      <c r="G28" s="236">
        <f t="shared" si="3"/>
        <v>3764194.8648672551</v>
      </c>
      <c r="H28" s="209">
        <f>G28*(1+0.07)^-(B28-Assumptions!$D$4)</f>
        <v>529105.82775212266</v>
      </c>
      <c r="I28" s="115"/>
      <c r="K28" s="348" t="s">
        <v>7</v>
      </c>
      <c r="L28" s="342">
        <f>SUM(L27:L27)</f>
        <v>941098.79082247708</v>
      </c>
      <c r="M28" s="342">
        <f>SUM(M27:M27)</f>
        <v>1277120.3390520301</v>
      </c>
      <c r="N28" s="342">
        <f>SUM(N27:N27)</f>
        <v>878640.87273974007</v>
      </c>
      <c r="O28" s="342">
        <f>SUM(O27:O27)</f>
        <v>1168934.4904053176</v>
      </c>
      <c r="Q28" s="50"/>
    </row>
    <row r="29" spans="2:24" ht="15" customHeight="1" x14ac:dyDescent="0.25">
      <c r="B29" s="154">
        <f t="shared" si="1"/>
        <v>2049</v>
      </c>
      <c r="C29" s="237" cm="1">
        <f t="array" ref="C29">TREND($L$27:$M$27,$L$26:$M$26,$B29)</f>
        <v>1421129.5740075484</v>
      </c>
      <c r="D29" s="238" cm="1">
        <f t="array" ref="D29">TREND($N$27:$O$27,$N$26:$O$26,$B29)</f>
        <v>1293346.0408334248</v>
      </c>
      <c r="E29" s="245">
        <f t="shared" si="2"/>
        <v>42588794.366066962</v>
      </c>
      <c r="F29" s="236">
        <f t="shared" si="2"/>
        <v>38759342.979466416</v>
      </c>
      <c r="G29" s="236">
        <f t="shared" si="3"/>
        <v>3829451.3866005465</v>
      </c>
      <c r="H29" s="209">
        <f>G29*(1+0.07)^-(B29-Assumptions!$D$4)</f>
        <v>503063.98894136044</v>
      </c>
      <c r="K29" s="115"/>
      <c r="M29" s="112"/>
      <c r="N29" s="112"/>
      <c r="O29" s="50"/>
      <c r="Q29" s="50"/>
    </row>
    <row r="30" spans="2:24" x14ac:dyDescent="0.25">
      <c r="B30" s="154">
        <f t="shared" si="1"/>
        <v>2050</v>
      </c>
      <c r="C30" s="237" cm="1">
        <f t="array" ref="C30">TREND($L$27:$M$27,$L$26:$M$26,$B30)</f>
        <v>1437130.6001137197</v>
      </c>
      <c r="D30" s="238" cm="1">
        <f t="array" ref="D30">TREND($N$27:$O$27,$N$26:$O$26,$B30)</f>
        <v>1307169.5464365482</v>
      </c>
      <c r="E30" s="245">
        <f t="shared" si="2"/>
        <v>43068317.432046145</v>
      </c>
      <c r="F30" s="236">
        <f t="shared" si="2"/>
        <v>39173609.523712203</v>
      </c>
      <c r="G30" s="236">
        <f t="shared" si="3"/>
        <v>3894707.9083339423</v>
      </c>
      <c r="H30" s="209">
        <f>G30*(1+0.07)^-(B30-Assumptions!$D$4)</f>
        <v>478165.00007197412</v>
      </c>
      <c r="K30" s="115"/>
      <c r="M30" s="112"/>
      <c r="N30" s="112"/>
      <c r="O30" s="50"/>
      <c r="Q30" s="50"/>
    </row>
    <row r="31" spans="2:24" x14ac:dyDescent="0.25">
      <c r="B31" s="154">
        <f t="shared" si="1"/>
        <v>2051</v>
      </c>
      <c r="C31" s="237" cm="1">
        <f t="array" ref="C31">TREND($L$27:$M$27,$L$26:$M$26,$B31)</f>
        <v>1453131.6262198873</v>
      </c>
      <c r="D31" s="238" cm="1">
        <f t="array" ref="D31">TREND($N$27:$O$27,$N$26:$O$26,$B31)</f>
        <v>1320993.052039668</v>
      </c>
      <c r="E31" s="245">
        <f t="shared" si="2"/>
        <v>43547840.498025224</v>
      </c>
      <c r="F31" s="236">
        <f t="shared" si="2"/>
        <v>39587876.067957886</v>
      </c>
      <c r="G31" s="236">
        <f t="shared" si="3"/>
        <v>3959964.430067338</v>
      </c>
      <c r="H31" s="209">
        <f>G31*(1+0.07)^-(B31-Assumptions!$D$4)</f>
        <v>454370.78453372727</v>
      </c>
      <c r="K31" s="115"/>
      <c r="M31" s="112"/>
      <c r="N31" s="112"/>
      <c r="O31" s="50"/>
    </row>
    <row r="32" spans="2:24" x14ac:dyDescent="0.25">
      <c r="B32" s="154">
        <f t="shared" si="1"/>
        <v>2052</v>
      </c>
      <c r="C32" s="237" cm="1">
        <f t="array" ref="C32">TREND($L$27:$M$27,$L$26:$M$26,$B32)</f>
        <v>1469132.6523260586</v>
      </c>
      <c r="D32" s="238" cm="1">
        <f t="array" ref="D32">TREND($N$27:$O$27,$N$26:$O$26,$B32)</f>
        <v>1334816.5576427914</v>
      </c>
      <c r="E32" s="245">
        <f t="shared" si="2"/>
        <v>44027363.564004414</v>
      </c>
      <c r="F32" s="236">
        <f t="shared" si="2"/>
        <v>40002142.612203673</v>
      </c>
      <c r="G32" s="236">
        <f t="shared" si="3"/>
        <v>4025220.9518007413</v>
      </c>
      <c r="H32" s="209">
        <f>G32*(1+0.07)^-(B32-Assumptions!$D$4)</f>
        <v>431643.35647672566</v>
      </c>
      <c r="K32" s="115"/>
      <c r="M32" s="112"/>
      <c r="N32" s="112"/>
      <c r="O32" s="50"/>
    </row>
    <row r="33" spans="1:15" x14ac:dyDescent="0.25">
      <c r="B33" s="154">
        <f t="shared" si="1"/>
        <v>2053</v>
      </c>
      <c r="C33" s="237" cm="1">
        <f t="array" ref="C33">TREND($L$27:$M$27,$L$26:$M$26,$B33)</f>
        <v>1485133.6784322262</v>
      </c>
      <c r="D33" s="238" cm="1">
        <f t="array" ref="D33">TREND($N$27:$O$27,$N$26:$O$26,$B33)</f>
        <v>1348640.0632459149</v>
      </c>
      <c r="E33" s="245">
        <f t="shared" si="2"/>
        <v>44506886.629983492</v>
      </c>
      <c r="F33" s="236">
        <f t="shared" si="2"/>
        <v>40416409.156449467</v>
      </c>
      <c r="G33" s="236">
        <f t="shared" si="3"/>
        <v>4090477.4735340253</v>
      </c>
      <c r="H33" s="209">
        <f>G33*(1+0.07)^-(B33-Assumptions!$D$4)</f>
        <v>409944.97189837712</v>
      </c>
      <c r="K33" s="115"/>
      <c r="M33" s="112"/>
      <c r="N33" s="112"/>
      <c r="O33" s="50"/>
    </row>
    <row r="34" spans="1:15" x14ac:dyDescent="0.25">
      <c r="B34" s="154">
        <f t="shared" si="1"/>
        <v>2054</v>
      </c>
      <c r="C34" s="237" cm="1">
        <f t="array" ref="C34">TREND($L$27:$M$27,$L$26:$M$26,$B34)</f>
        <v>1501134.7045383975</v>
      </c>
      <c r="D34" s="238" cm="1">
        <f t="array" ref="D34">TREND($N$27:$O$27,$N$26:$O$26,$B34)</f>
        <v>1362463.5688490383</v>
      </c>
      <c r="E34" s="245">
        <f t="shared" si="2"/>
        <v>44986409.695962682</v>
      </c>
      <c r="F34" s="236">
        <f t="shared" si="2"/>
        <v>40830675.700695254</v>
      </c>
      <c r="G34" s="236">
        <f t="shared" si="3"/>
        <v>4155733.9952674285</v>
      </c>
      <c r="H34" s="209">
        <f>G34*(1+0.07)^-(B34-Assumptions!$D$4)</f>
        <v>389238.25957359944</v>
      </c>
      <c r="K34" s="115"/>
      <c r="M34" s="112"/>
      <c r="N34" s="112"/>
      <c r="O34" s="50"/>
    </row>
    <row r="35" spans="1:15" ht="15.75" thickBot="1" x14ac:dyDescent="0.3">
      <c r="B35" s="155">
        <f t="shared" si="1"/>
        <v>2055</v>
      </c>
      <c r="C35" s="239" cm="1">
        <f t="array" ref="C35">TREND($L$27:$M$27,$L$26:$M$26,$B35)</f>
        <v>1517135.7306445651</v>
      </c>
      <c r="D35" s="240" cm="1">
        <f t="array" ref="D35">TREND($N$27:$O$27,$N$26:$O$26,$B35)</f>
        <v>1376287.0744521618</v>
      </c>
      <c r="E35" s="246">
        <f t="shared" si="2"/>
        <v>45465932.761941761</v>
      </c>
      <c r="F35" s="247">
        <f t="shared" si="2"/>
        <v>41244942.244941048</v>
      </c>
      <c r="G35" s="247">
        <f t="shared" si="3"/>
        <v>4220990.5170007125</v>
      </c>
      <c r="H35" s="210">
        <f>G35*(1+0.07)^-(B35-Assumptions!$D$4)</f>
        <v>369486.33381877356</v>
      </c>
      <c r="K35" s="115"/>
      <c r="M35" s="112"/>
      <c r="N35" s="112"/>
      <c r="O35" s="50"/>
    </row>
    <row r="36" spans="1:15" ht="15" customHeight="1" thickBot="1" x14ac:dyDescent="0.3">
      <c r="B36" s="4"/>
      <c r="C36" s="241"/>
      <c r="D36" s="241"/>
      <c r="E36" s="117"/>
      <c r="F36" s="117"/>
      <c r="G36" s="148" t="s">
        <v>2</v>
      </c>
      <c r="H36" s="205">
        <f>SUM(H6:H35)</f>
        <v>24514257.649390545</v>
      </c>
      <c r="K36" s="115"/>
      <c r="M36" s="112"/>
      <c r="N36" s="112"/>
      <c r="O36" s="50"/>
    </row>
    <row r="37" spans="1:15" ht="15" customHeight="1" x14ac:dyDescent="0.25">
      <c r="C37" s="50"/>
      <c r="D37" s="50"/>
      <c r="G37" s="21"/>
      <c r="H37" s="21"/>
      <c r="K37" s="114"/>
      <c r="M37" s="113"/>
      <c r="N37" s="112"/>
    </row>
    <row r="38" spans="1:15" ht="15" customHeight="1" x14ac:dyDescent="0.25">
      <c r="A38" s="37"/>
      <c r="B38" s="40" t="s">
        <v>3</v>
      </c>
      <c r="C38" s="37"/>
      <c r="D38" s="37"/>
      <c r="E38" s="37"/>
      <c r="F38" s="37"/>
    </row>
    <row r="39" spans="1:15" ht="15" customHeight="1" x14ac:dyDescent="0.25">
      <c r="A39" s="44" t="s">
        <v>57</v>
      </c>
      <c r="B39" s="459" t="str">
        <f>Assumptions!C44</f>
        <v>User travel time benefits were valued in accordance with the Benefit-Cost Analysis Guidance for Discretionary Grant Programs - February 2021. The recommended values for travel time were provided in year 2019 dollars.</v>
      </c>
      <c r="C39" s="459"/>
      <c r="D39" s="459"/>
      <c r="E39" s="459"/>
      <c r="F39" s="459"/>
      <c r="G39" s="459"/>
      <c r="H39" s="459"/>
    </row>
    <row r="40" spans="1:15" x14ac:dyDescent="0.25">
      <c r="A40" s="37"/>
      <c r="B40" s="459"/>
      <c r="C40" s="459"/>
      <c r="D40" s="459"/>
      <c r="E40" s="459"/>
      <c r="F40" s="459"/>
      <c r="G40" s="459"/>
      <c r="H40" s="459"/>
    </row>
    <row r="41" spans="1:15" ht="15" customHeight="1" x14ac:dyDescent="0.25">
      <c r="A41" s="37"/>
      <c r="B41" s="459"/>
      <c r="C41" s="459"/>
      <c r="D41" s="459"/>
      <c r="E41" s="459"/>
      <c r="F41" s="459"/>
      <c r="G41" s="459"/>
      <c r="H41" s="459"/>
    </row>
    <row r="42" spans="1:15" x14ac:dyDescent="0.25">
      <c r="A42" s="37"/>
      <c r="B42" s="408"/>
      <c r="C42" s="408"/>
      <c r="D42" s="408"/>
      <c r="E42" s="408"/>
      <c r="F42" s="408"/>
      <c r="G42" s="408"/>
      <c r="H42" s="408"/>
    </row>
    <row r="43" spans="1:15" x14ac:dyDescent="0.25">
      <c r="A43" s="44" t="s">
        <v>71</v>
      </c>
      <c r="B43" s="459" t="str">
        <f>Assumptions!C33</f>
        <v>Truck percentage in the project area is estimated based on year 2018 AADT and HCAADT counts performed by MnDOT (https://mndot.maps.arcgis.com/apps/webappviewer/index.html?id=7b3be07daed84e7fa170a91059ce63bb).</v>
      </c>
      <c r="C43" s="459"/>
      <c r="D43" s="459"/>
      <c r="E43" s="459"/>
      <c r="F43" s="459"/>
      <c r="G43" s="459"/>
      <c r="H43" s="459"/>
    </row>
    <row r="44" spans="1:15" x14ac:dyDescent="0.25">
      <c r="A44" s="37"/>
      <c r="B44" s="459"/>
      <c r="C44" s="459"/>
      <c r="D44" s="459"/>
      <c r="E44" s="459"/>
      <c r="F44" s="459"/>
      <c r="G44" s="459"/>
      <c r="H44" s="459"/>
    </row>
    <row r="45" spans="1:15" x14ac:dyDescent="0.25">
      <c r="A45" s="37"/>
      <c r="B45" s="48"/>
      <c r="C45" s="48"/>
      <c r="D45" s="48"/>
      <c r="E45" s="48"/>
      <c r="F45" s="48"/>
    </row>
    <row r="46" spans="1:15" ht="15" customHeight="1" x14ac:dyDescent="0.25">
      <c r="A46" s="44" t="s">
        <v>72</v>
      </c>
      <c r="B46" s="459" t="s">
        <v>206</v>
      </c>
      <c r="C46" s="459"/>
      <c r="D46" s="459"/>
      <c r="E46" s="459"/>
      <c r="F46" s="459"/>
      <c r="G46" s="459"/>
      <c r="H46" s="459"/>
    </row>
    <row r="47" spans="1:15" x14ac:dyDescent="0.25">
      <c r="A47" s="44"/>
      <c r="B47" s="459"/>
      <c r="C47" s="459"/>
      <c r="D47" s="459"/>
      <c r="E47" s="459"/>
      <c r="F47" s="459"/>
      <c r="G47" s="459"/>
      <c r="H47" s="459"/>
    </row>
    <row r="48" spans="1:15" x14ac:dyDescent="0.25">
      <c r="A48" s="44"/>
      <c r="B48" s="459"/>
      <c r="C48" s="459"/>
      <c r="D48" s="459"/>
      <c r="E48" s="459"/>
      <c r="F48" s="459"/>
      <c r="G48" s="459"/>
      <c r="H48" s="459"/>
    </row>
    <row r="49" spans="1:8" x14ac:dyDescent="0.25">
      <c r="A49" s="44"/>
      <c r="B49" s="459"/>
      <c r="C49" s="459"/>
      <c r="D49" s="459"/>
      <c r="E49" s="459"/>
      <c r="F49" s="459"/>
      <c r="G49" s="459"/>
      <c r="H49" s="459"/>
    </row>
    <row r="50" spans="1:8" x14ac:dyDescent="0.25">
      <c r="A50" s="44"/>
      <c r="B50" s="459"/>
      <c r="C50" s="459"/>
      <c r="D50" s="459"/>
      <c r="E50" s="459"/>
      <c r="F50" s="459"/>
      <c r="G50" s="459"/>
      <c r="H50" s="459"/>
    </row>
    <row r="51" spans="1:8" x14ac:dyDescent="0.25">
      <c r="A51" s="44"/>
      <c r="B51" s="459"/>
      <c r="C51" s="459"/>
      <c r="D51" s="459"/>
      <c r="E51" s="459"/>
      <c r="F51" s="459"/>
      <c r="G51" s="459"/>
      <c r="H51" s="459"/>
    </row>
    <row r="52" spans="1:8" x14ac:dyDescent="0.25">
      <c r="A52" s="44"/>
      <c r="B52" s="152"/>
      <c r="C52" s="152"/>
      <c r="D52" s="152"/>
      <c r="E52" s="152"/>
      <c r="F52" s="152"/>
      <c r="G52" s="152"/>
    </row>
    <row r="53" spans="1:8" ht="15" customHeight="1" x14ac:dyDescent="0.25">
      <c r="A53" s="13" t="s">
        <v>73</v>
      </c>
      <c r="B53" s="459" t="s">
        <v>208</v>
      </c>
      <c r="C53" s="459"/>
      <c r="D53" s="459"/>
      <c r="E53" s="459"/>
      <c r="F53" s="459"/>
      <c r="G53" s="459"/>
      <c r="H53" s="459"/>
    </row>
    <row r="54" spans="1:8" x14ac:dyDescent="0.25">
      <c r="B54" s="459"/>
      <c r="C54" s="459"/>
      <c r="D54" s="459"/>
      <c r="E54" s="459"/>
      <c r="F54" s="459"/>
      <c r="G54" s="459"/>
      <c r="H54" s="459"/>
    </row>
    <row r="55" spans="1:8" x14ac:dyDescent="0.25">
      <c r="B55" s="459"/>
      <c r="C55" s="459"/>
      <c r="D55" s="459"/>
      <c r="E55" s="459"/>
      <c r="F55" s="459"/>
      <c r="G55" s="459"/>
      <c r="H55" s="459"/>
    </row>
    <row r="56" spans="1:8" x14ac:dyDescent="0.25">
      <c r="B56" s="459"/>
      <c r="C56" s="459"/>
      <c r="D56" s="459"/>
      <c r="E56" s="459"/>
      <c r="F56" s="459"/>
      <c r="G56" s="459"/>
      <c r="H56" s="459"/>
    </row>
    <row r="57" spans="1:8" x14ac:dyDescent="0.25">
      <c r="B57" s="459"/>
      <c r="C57" s="459"/>
      <c r="D57" s="459"/>
      <c r="E57" s="459"/>
      <c r="F57" s="459"/>
      <c r="G57" s="459"/>
      <c r="H57" s="459"/>
    </row>
    <row r="58" spans="1:8" ht="15" customHeight="1" x14ac:dyDescent="0.25">
      <c r="B58" s="459"/>
      <c r="C58" s="459"/>
      <c r="D58" s="459"/>
      <c r="E58" s="459"/>
      <c r="F58" s="459"/>
      <c r="G58" s="459"/>
      <c r="H58" s="459"/>
    </row>
    <row r="59" spans="1:8" x14ac:dyDescent="0.25">
      <c r="B59" s="459"/>
      <c r="C59" s="459"/>
      <c r="D59" s="459"/>
      <c r="E59" s="459"/>
      <c r="F59" s="459"/>
      <c r="G59" s="459"/>
      <c r="H59" s="459"/>
    </row>
    <row r="60" spans="1:8" x14ac:dyDescent="0.25">
      <c r="B60" s="459"/>
      <c r="C60" s="459"/>
      <c r="D60" s="459"/>
      <c r="E60" s="459"/>
      <c r="F60" s="459"/>
      <c r="G60" s="459"/>
      <c r="H60" s="459"/>
    </row>
    <row r="61" spans="1:8" x14ac:dyDescent="0.25">
      <c r="B61" s="48"/>
      <c r="C61" s="48"/>
      <c r="D61" s="48"/>
      <c r="E61" s="48"/>
      <c r="F61" s="48"/>
      <c r="G61" s="48"/>
      <c r="H61" s="48"/>
    </row>
    <row r="62" spans="1:8" x14ac:dyDescent="0.25">
      <c r="A62" s="13" t="s">
        <v>74</v>
      </c>
      <c r="B62" s="459" t="s">
        <v>209</v>
      </c>
      <c r="C62" s="459"/>
      <c r="D62" s="459"/>
      <c r="E62" s="459"/>
      <c r="F62" s="459"/>
      <c r="G62" s="459"/>
      <c r="H62" s="459"/>
    </row>
    <row r="63" spans="1:8" x14ac:dyDescent="0.25">
      <c r="B63" s="459"/>
      <c r="C63" s="459"/>
      <c r="D63" s="459"/>
      <c r="E63" s="459"/>
      <c r="F63" s="459"/>
      <c r="G63" s="459"/>
      <c r="H63" s="459"/>
    </row>
    <row r="64" spans="1:8" x14ac:dyDescent="0.25">
      <c r="B64" s="48"/>
      <c r="C64" s="48"/>
      <c r="D64" s="48"/>
      <c r="E64" s="48"/>
      <c r="F64" s="48"/>
      <c r="G64" s="48"/>
      <c r="H64" s="48"/>
    </row>
    <row r="65" spans="2:8" x14ac:dyDescent="0.25">
      <c r="B65" s="48"/>
      <c r="C65" s="48"/>
      <c r="D65" s="48"/>
      <c r="E65" s="48"/>
      <c r="F65" s="48"/>
      <c r="G65" s="48"/>
      <c r="H65" s="48"/>
    </row>
    <row r="66" spans="2:8" x14ac:dyDescent="0.25">
      <c r="B66" s="48"/>
      <c r="C66" s="48"/>
      <c r="D66" s="48"/>
      <c r="E66" s="48"/>
      <c r="F66" s="48"/>
      <c r="G66" s="48"/>
      <c r="H66" s="48"/>
    </row>
    <row r="67" spans="2:8" x14ac:dyDescent="0.25">
      <c r="B67" s="48"/>
      <c r="C67" s="48"/>
      <c r="D67" s="48"/>
      <c r="E67" s="48"/>
      <c r="F67" s="48"/>
      <c r="G67" s="48"/>
      <c r="H67" s="48"/>
    </row>
    <row r="68" spans="2:8" x14ac:dyDescent="0.25">
      <c r="B68" s="459"/>
      <c r="C68" s="459"/>
      <c r="D68" s="459"/>
      <c r="E68" s="459"/>
      <c r="F68" s="459"/>
      <c r="G68" s="459"/>
    </row>
    <row r="69" spans="2:8" x14ac:dyDescent="0.25">
      <c r="B69" s="459"/>
      <c r="C69" s="459"/>
      <c r="D69" s="459"/>
      <c r="E69" s="459"/>
      <c r="F69" s="459"/>
      <c r="G69" s="459"/>
    </row>
    <row r="70" spans="2:8" x14ac:dyDescent="0.25">
      <c r="B70" s="459"/>
      <c r="C70" s="459"/>
      <c r="D70" s="459"/>
      <c r="E70" s="459"/>
      <c r="F70" s="459"/>
      <c r="G70" s="459"/>
    </row>
    <row r="71" spans="2:8" x14ac:dyDescent="0.25">
      <c r="B71" s="459"/>
      <c r="C71" s="459"/>
      <c r="D71" s="459"/>
      <c r="E71" s="459"/>
      <c r="F71" s="459"/>
      <c r="G71" s="459"/>
    </row>
  </sheetData>
  <mergeCells count="22">
    <mergeCell ref="U2:V2"/>
    <mergeCell ref="W2:X2"/>
    <mergeCell ref="B46:H51"/>
    <mergeCell ref="B53:H60"/>
    <mergeCell ref="N20:O20"/>
    <mergeCell ref="B4:B5"/>
    <mergeCell ref="C4:C5"/>
    <mergeCell ref="D4:D5"/>
    <mergeCell ref="E4:E5"/>
    <mergeCell ref="F4:F5"/>
    <mergeCell ref="G4:G5"/>
    <mergeCell ref="H4:H5"/>
    <mergeCell ref="K5:L5"/>
    <mergeCell ref="K9:L9"/>
    <mergeCell ref="K13:L13"/>
    <mergeCell ref="L20:M20"/>
    <mergeCell ref="L25:M25"/>
    <mergeCell ref="N25:O25"/>
    <mergeCell ref="B68:G71"/>
    <mergeCell ref="B39:H41"/>
    <mergeCell ref="B43:H44"/>
    <mergeCell ref="B62:H63"/>
  </mergeCells>
  <pageMargins left="0.25" right="0.25" top="0.75" bottom="0.75" header="0.3" footer="0.3"/>
  <pageSetup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C101A-3A0A-4F5F-B629-2EDE05E711A5}">
  <sheetPr>
    <tabColor rgb="FF00B050"/>
    <pageSetUpPr fitToPage="1"/>
  </sheetPr>
  <dimension ref="A2:P86"/>
  <sheetViews>
    <sheetView view="pageBreakPreview" zoomScale="85" zoomScaleNormal="100" zoomScaleSheetLayoutView="85" workbookViewId="0">
      <selection activeCell="J8" sqref="J8:M9"/>
    </sheetView>
  </sheetViews>
  <sheetFormatPr defaultRowHeight="15" x14ac:dyDescent="0.25"/>
  <cols>
    <col min="1" max="1" width="9.140625" style="147"/>
    <col min="2" max="8" width="15.7109375" style="147" customWidth="1"/>
    <col min="9" max="9" width="33" style="147" customWidth="1"/>
    <col min="10" max="13" width="15.5703125" style="147" customWidth="1"/>
    <col min="14" max="14" width="7.85546875" style="147" customWidth="1"/>
    <col min="15" max="15" width="15.7109375" style="147" customWidth="1"/>
    <col min="16" max="16" width="13.140625" style="147" customWidth="1"/>
    <col min="17" max="21" width="18.85546875" style="147" customWidth="1"/>
    <col min="22" max="22" width="19.42578125" style="147" customWidth="1"/>
    <col min="23" max="27" width="10.28515625" style="147" customWidth="1"/>
    <col min="28" max="16384" width="9.140625" style="147"/>
  </cols>
  <sheetData>
    <row r="2" spans="2:16" x14ac:dyDescent="0.25">
      <c r="B2" s="12" t="s">
        <v>114</v>
      </c>
      <c r="C2" s="12"/>
      <c r="D2" s="12"/>
      <c r="E2" s="12"/>
    </row>
    <row r="3" spans="2:16" ht="15.75" thickBot="1" x14ac:dyDescent="0.3"/>
    <row r="4" spans="2:16" ht="35.1" customHeight="1" x14ac:dyDescent="0.25">
      <c r="B4" s="475" t="s">
        <v>0</v>
      </c>
      <c r="C4" s="477" t="s">
        <v>227</v>
      </c>
      <c r="D4" s="475" t="s">
        <v>125</v>
      </c>
      <c r="E4" s="475" t="s">
        <v>126</v>
      </c>
      <c r="F4" s="479" t="s">
        <v>115</v>
      </c>
      <c r="G4" s="469" t="s">
        <v>1</v>
      </c>
      <c r="H4" s="232"/>
    </row>
    <row r="5" spans="2:16" ht="35.1" customHeight="1" thickBot="1" x14ac:dyDescent="0.3">
      <c r="B5" s="476"/>
      <c r="C5" s="478"/>
      <c r="D5" s="476"/>
      <c r="E5" s="476"/>
      <c r="F5" s="480"/>
      <c r="G5" s="470"/>
      <c r="H5" s="232"/>
      <c r="I5" s="45"/>
      <c r="J5" s="474" t="s">
        <v>212</v>
      </c>
      <c r="K5" s="474"/>
      <c r="L5" s="474"/>
      <c r="M5" s="474"/>
    </row>
    <row r="6" spans="2:16" ht="16.5" customHeight="1" x14ac:dyDescent="0.25">
      <c r="B6" s="1">
        <f>Assumptions!D8</f>
        <v>2026</v>
      </c>
      <c r="C6" s="235" cm="1">
        <f t="array" ref="C6">-TREND($J$29:$K$29,$J$28:$K$28,$B6)</f>
        <v>571783.55449072272</v>
      </c>
      <c r="D6" s="248">
        <f>1*C6*Assumptions!$D$24*Assumptions!$D$14</f>
        <v>225463.0339554082</v>
      </c>
      <c r="E6" s="248">
        <f>1*C6*Assumptions!$D$25*Assumptions!$D$15</f>
        <v>44129.353168163689</v>
      </c>
      <c r="F6" s="248">
        <f>SUM(D6:E6)</f>
        <v>269592.38712357188</v>
      </c>
      <c r="G6" s="249">
        <f>F6*(1+0.07)^-(B6-Assumptions!$D$4)</f>
        <v>167888.58949525515</v>
      </c>
      <c r="H6" s="233"/>
      <c r="I6" s="37"/>
      <c r="J6" s="473" t="s">
        <v>149</v>
      </c>
      <c r="K6" s="473"/>
      <c r="L6" s="473" t="s">
        <v>48</v>
      </c>
      <c r="M6" s="473"/>
    </row>
    <row r="7" spans="2:16" x14ac:dyDescent="0.25">
      <c r="B7" s="2">
        <f t="shared" ref="B7:B35" si="0">+B6+1</f>
        <v>2027</v>
      </c>
      <c r="C7" s="235" cm="1">
        <f t="array" ref="C7">-TREND($J$29:$K$29,$J$28:$K$28,$B7)</f>
        <v>604083.32850648463</v>
      </c>
      <c r="D7" s="187">
        <f>1*C7*Assumptions!$D$24*Assumptions!$D$14</f>
        <v>238199.33073846984</v>
      </c>
      <c r="E7" s="187">
        <f>1*C7*Assumptions!$D$25*Assumptions!$D$15</f>
        <v>46622.198797595935</v>
      </c>
      <c r="F7" s="187">
        <f t="shared" ref="F7:F35" si="1">SUM(D7:E7)</f>
        <v>284821.52953606576</v>
      </c>
      <c r="G7" s="188">
        <f>F7*(1+0.07)^-(B7-Assumptions!$D$4)</f>
        <v>165768.72336613026</v>
      </c>
      <c r="H7" s="233"/>
      <c r="I7" s="79" t="s">
        <v>121</v>
      </c>
      <c r="J7" s="158" t="s">
        <v>147</v>
      </c>
      <c r="K7" s="158" t="s">
        <v>148</v>
      </c>
      <c r="L7" s="158" t="s">
        <v>147</v>
      </c>
      <c r="M7" s="158" t="s">
        <v>148</v>
      </c>
      <c r="O7" s="12"/>
    </row>
    <row r="8" spans="2:16" x14ac:dyDescent="0.25">
      <c r="B8" s="2">
        <f t="shared" si="0"/>
        <v>2028</v>
      </c>
      <c r="C8" s="235" cm="1">
        <f t="array" ref="C8">-TREND($J$29:$K$29,$J$28:$K$28,$B8)</f>
        <v>636383.10252224654</v>
      </c>
      <c r="D8" s="187">
        <f>1*C8*Assumptions!$D$24*Assumptions!$D$14</f>
        <v>250935.62752153148</v>
      </c>
      <c r="E8" s="187">
        <f>1*C8*Assumptions!$D$25*Assumptions!$D$15</f>
        <v>49115.044427028181</v>
      </c>
      <c r="F8" s="187">
        <f t="shared" si="1"/>
        <v>300050.67194855964</v>
      </c>
      <c r="G8" s="188">
        <f>F8*(1+0.07)^-(B8-Assumptions!$D$4)</f>
        <v>163207.68495786851</v>
      </c>
      <c r="H8" s="233"/>
      <c r="I8" s="318">
        <v>2019</v>
      </c>
      <c r="J8" s="317">
        <v>7245.2</v>
      </c>
      <c r="K8" s="317">
        <v>8490.7999999999993</v>
      </c>
      <c r="L8" s="317">
        <v>7163.6</v>
      </c>
      <c r="M8" s="317">
        <v>8421.7000000000007</v>
      </c>
      <c r="P8" s="189"/>
    </row>
    <row r="9" spans="2:16" x14ac:dyDescent="0.25">
      <c r="B9" s="2">
        <f t="shared" si="0"/>
        <v>2029</v>
      </c>
      <c r="C9" s="235" cm="1">
        <f t="array" ref="C9">-TREND($J$29:$K$29,$J$28:$K$28,$B9)</f>
        <v>668682.87653800845</v>
      </c>
      <c r="D9" s="187">
        <f>1*C9*Assumptions!$D$24*Assumptions!$D$14</f>
        <v>263671.92430459306</v>
      </c>
      <c r="E9" s="187">
        <f>1*C9*Assumptions!$D$25*Assumptions!$D$15</f>
        <v>51607.890056460426</v>
      </c>
      <c r="F9" s="187">
        <f t="shared" si="1"/>
        <v>315279.81436105352</v>
      </c>
      <c r="G9" s="188">
        <f>F9*(1+0.07)^-(B9-Assumptions!$D$4)</f>
        <v>160272.2704548068</v>
      </c>
      <c r="H9" s="233"/>
      <c r="I9" s="318">
        <v>2040</v>
      </c>
      <c r="J9" s="317">
        <v>9468.4</v>
      </c>
      <c r="K9" s="317">
        <v>11125.9</v>
      </c>
      <c r="L9" s="317">
        <v>9165.1</v>
      </c>
      <c r="M9" s="317">
        <v>10982.8</v>
      </c>
      <c r="P9" s="189"/>
    </row>
    <row r="10" spans="2:16" ht="15" customHeight="1" x14ac:dyDescent="0.25">
      <c r="B10" s="2">
        <f t="shared" si="0"/>
        <v>2030</v>
      </c>
      <c r="C10" s="235" cm="1">
        <f t="array" ref="C10">-TREND($J$29:$K$29,$J$28:$K$28,$B10)</f>
        <v>700982.65055377036</v>
      </c>
      <c r="D10" s="187">
        <f>1*C10*Assumptions!$D$24*Assumptions!$D$14</f>
        <v>276408.22108765476</v>
      </c>
      <c r="E10" s="187">
        <f>1*C10*Assumptions!$D$25*Assumptions!$D$15</f>
        <v>54100.73568589268</v>
      </c>
      <c r="F10" s="187">
        <f t="shared" si="1"/>
        <v>330508.95677354746</v>
      </c>
      <c r="G10" s="188">
        <f>F10*(1+0.07)^-(B10-Assumptions!$D$4)</f>
        <v>157022.42450468868</v>
      </c>
      <c r="H10" s="233"/>
      <c r="I10" s="346"/>
      <c r="J10" s="316"/>
      <c r="K10" s="316"/>
      <c r="L10" s="232"/>
      <c r="M10" s="232"/>
      <c r="P10" s="189"/>
    </row>
    <row r="11" spans="2:16" ht="32.25" x14ac:dyDescent="0.25">
      <c r="B11" s="2">
        <f t="shared" si="0"/>
        <v>2031</v>
      </c>
      <c r="C11" s="235" cm="1">
        <f t="array" ref="C11">-TREND($J$29:$K$29,$J$28:$K$28,$B11)</f>
        <v>733282.42456953228</v>
      </c>
      <c r="D11" s="187">
        <f>1*C11*Assumptions!$D$24*Assumptions!$D$14</f>
        <v>289144.5178707164</v>
      </c>
      <c r="E11" s="187">
        <f>1*C11*Assumptions!$D$25*Assumptions!$D$15</f>
        <v>56593.581315324926</v>
      </c>
      <c r="F11" s="187">
        <f t="shared" ref="F11:F26" si="2">SUM(D11:E11)</f>
        <v>345738.09918604133</v>
      </c>
      <c r="G11" s="188">
        <f>F11*(1+0.07)^-(B11-Assumptions!$D$4)</f>
        <v>153511.85080376189</v>
      </c>
      <c r="H11" s="233"/>
      <c r="I11" s="353" t="s">
        <v>229</v>
      </c>
      <c r="J11" s="353"/>
      <c r="K11" s="357"/>
      <c r="L11" s="50"/>
      <c r="M11" s="50"/>
      <c r="O11" s="12"/>
    </row>
    <row r="12" spans="2:16" x14ac:dyDescent="0.25">
      <c r="B12" s="2">
        <f t="shared" si="0"/>
        <v>2032</v>
      </c>
      <c r="C12" s="235" cm="1">
        <f t="array" ref="C12">-TREND($J$29:$K$29,$J$28:$K$28,$B12)</f>
        <v>765582.19858529419</v>
      </c>
      <c r="D12" s="187">
        <f>1*C12*Assumptions!$D$24*Assumptions!$D$14</f>
        <v>301880.81465377798</v>
      </c>
      <c r="E12" s="187">
        <f>1*C12*Assumptions!$D$25*Assumptions!$D$15</f>
        <v>59086.426944757171</v>
      </c>
      <c r="F12" s="187">
        <f t="shared" si="2"/>
        <v>360967.24159853515</v>
      </c>
      <c r="G12" s="188">
        <f>F12*(1+0.07)^-(B12-Assumptions!$D$4)</f>
        <v>149788.57211578451</v>
      </c>
      <c r="H12" s="233"/>
      <c r="I12" s="38" t="s">
        <v>161</v>
      </c>
      <c r="J12" s="311">
        <f>(27000+21200+11400+8600)/2</f>
        <v>34100</v>
      </c>
      <c r="K12" s="360"/>
      <c r="L12" s="50"/>
      <c r="M12" s="50"/>
      <c r="P12" s="129"/>
    </row>
    <row r="13" spans="2:16" x14ac:dyDescent="0.25">
      <c r="B13" s="2">
        <f t="shared" si="0"/>
        <v>2033</v>
      </c>
      <c r="C13" s="235" cm="1">
        <f t="array" ref="C13">-TREND($J$29:$K$29,$J$28:$K$28,$B13)</f>
        <v>797881.9726010561</v>
      </c>
      <c r="D13" s="187">
        <f>1*C13*Assumptions!$D$24*Assumptions!$D$14</f>
        <v>314617.11143683968</v>
      </c>
      <c r="E13" s="187">
        <f>1*C13*Assumptions!$D$25*Assumptions!$D$15</f>
        <v>61579.272574189425</v>
      </c>
      <c r="F13" s="187">
        <f t="shared" si="2"/>
        <v>376196.38401102909</v>
      </c>
      <c r="G13" s="188">
        <f>F13*(1+0.07)^-(B13-Assumptions!$D$4)</f>
        <v>145895.44372785138</v>
      </c>
      <c r="H13" s="233"/>
      <c r="I13" s="38" t="s">
        <v>158</v>
      </c>
      <c r="J13" s="311">
        <f>SUM(SafetyBenefits!G9:H9)</f>
        <v>5426</v>
      </c>
      <c r="K13" s="360"/>
      <c r="L13" s="50"/>
      <c r="M13" s="50"/>
      <c r="O13" s="129"/>
    </row>
    <row r="14" spans="2:16" ht="15" customHeight="1" x14ac:dyDescent="0.25">
      <c r="B14" s="2">
        <f t="shared" si="0"/>
        <v>2034</v>
      </c>
      <c r="C14" s="235" cm="1">
        <f t="array" ref="C14">-TREND($J$29:$K$29,$J$28:$K$28,$B14)</f>
        <v>830181.74661681801</v>
      </c>
      <c r="D14" s="187">
        <f>1*C14*Assumptions!$D$24*Assumptions!$D$14</f>
        <v>327353.40821990126</v>
      </c>
      <c r="E14" s="187">
        <f>1*C14*Assumptions!$D$25*Assumptions!$D$15</f>
        <v>64072.118203621671</v>
      </c>
      <c r="F14" s="187">
        <f t="shared" si="2"/>
        <v>391425.52642352291</v>
      </c>
      <c r="G14" s="188">
        <f>F14*(1+0.07)^-(B14-Assumptions!$D$4)</f>
        <v>141870.62403862117</v>
      </c>
      <c r="H14" s="233"/>
      <c r="I14" s="38" t="s">
        <v>157</v>
      </c>
      <c r="J14" s="358">
        <f>J12/J13</f>
        <v>6.2845558422410619</v>
      </c>
      <c r="K14" s="361"/>
      <c r="L14" s="50"/>
      <c r="M14" s="50"/>
      <c r="O14" s="12"/>
    </row>
    <row r="15" spans="2:16" x14ac:dyDescent="0.25">
      <c r="B15" s="2">
        <f t="shared" si="0"/>
        <v>2035</v>
      </c>
      <c r="C15" s="235" cm="1">
        <f t="array" ref="C15">-TREND($J$29:$K$29,$J$28:$K$28,$B15)</f>
        <v>862481.52063257992</v>
      </c>
      <c r="D15" s="187">
        <f>1*C15*Assumptions!$D$24*Assumptions!$D$14</f>
        <v>340089.70500296296</v>
      </c>
      <c r="E15" s="187">
        <f>1*C15*Assumptions!$D$25*Assumptions!$D$15</f>
        <v>66564.963833053916</v>
      </c>
      <c r="F15" s="187">
        <f t="shared" si="2"/>
        <v>406654.66883601691</v>
      </c>
      <c r="G15" s="188">
        <f>F15*(1+0.07)^-(B15-Assumptions!$D$4)</f>
        <v>137748.00569027688</v>
      </c>
      <c r="H15" s="233"/>
      <c r="I15" s="233"/>
      <c r="J15" s="345"/>
      <c r="L15" s="357"/>
      <c r="M15" s="359"/>
      <c r="P15" s="189"/>
    </row>
    <row r="16" spans="2:16" x14ac:dyDescent="0.25">
      <c r="B16" s="2">
        <f t="shared" si="0"/>
        <v>2036</v>
      </c>
      <c r="C16" s="235" cm="1">
        <f t="array" ref="C16">-TREND($J$29:$K$29,$J$28:$K$28,$B16)</f>
        <v>894781.29464834183</v>
      </c>
      <c r="D16" s="187">
        <f>1*C16*Assumptions!$D$24*Assumptions!$D$14</f>
        <v>352826.00178602454</v>
      </c>
      <c r="E16" s="187">
        <f>1*C16*Assumptions!$D$25*Assumptions!$D$15</f>
        <v>69057.80946248617</v>
      </c>
      <c r="F16" s="187">
        <f t="shared" si="2"/>
        <v>421883.81124851073</v>
      </c>
      <c r="G16" s="188">
        <f>F16*(1+0.07)^-(B16-Assumptions!$D$4)</f>
        <v>133557.610392673</v>
      </c>
      <c r="H16" s="233"/>
      <c r="I16" s="353" t="s">
        <v>213</v>
      </c>
      <c r="K16" s="366"/>
      <c r="L16" s="50"/>
      <c r="M16" s="50"/>
      <c r="P16" s="189"/>
    </row>
    <row r="17" spans="2:15" x14ac:dyDescent="0.25">
      <c r="B17" s="2">
        <f t="shared" si="0"/>
        <v>2037</v>
      </c>
      <c r="C17" s="235" cm="1">
        <f t="array" ref="C17">-TREND($J$29:$K$29,$J$28:$K$28,$B17)</f>
        <v>927081.06866410375</v>
      </c>
      <c r="D17" s="187">
        <f>1*C17*Assumptions!$D$24*Assumptions!$D$14</f>
        <v>365562.29856908618</v>
      </c>
      <c r="E17" s="187">
        <f>1*C17*Assumptions!$D$25*Assumptions!$D$15</f>
        <v>71550.655091918423</v>
      </c>
      <c r="F17" s="187">
        <f t="shared" si="2"/>
        <v>437112.95366100461</v>
      </c>
      <c r="G17" s="188">
        <f>F17*(1+0.07)^-(B17-Assumptions!$D$4)</f>
        <v>129325.95034504612</v>
      </c>
      <c r="H17" s="233"/>
      <c r="I17" s="354" t="s">
        <v>121</v>
      </c>
      <c r="J17" s="354" t="s">
        <v>47</v>
      </c>
      <c r="K17" s="354" t="s">
        <v>48</v>
      </c>
    </row>
    <row r="18" spans="2:15" x14ac:dyDescent="0.25">
      <c r="B18" s="2">
        <f t="shared" si="0"/>
        <v>2038</v>
      </c>
      <c r="C18" s="235" cm="1">
        <f t="array" ref="C18">-TREND($J$29:$K$29,$J$28:$K$28,$B18)</f>
        <v>959380.84267985821</v>
      </c>
      <c r="D18" s="187">
        <f>1*C18*Assumptions!$D$24*Assumptions!$D$14</f>
        <v>378298.59535214491</v>
      </c>
      <c r="E18" s="187">
        <f>1*C18*Assumptions!$D$25*Assumptions!$D$15</f>
        <v>74043.500721350094</v>
      </c>
      <c r="F18" s="187">
        <f t="shared" si="2"/>
        <v>452342.09607349499</v>
      </c>
      <c r="G18" s="188">
        <f>F18*(1+0.07)^-(B18-Assumptions!$D$4)</f>
        <v>125076.35893591111</v>
      </c>
      <c r="H18" s="233"/>
      <c r="I18" s="355" t="s">
        <v>182</v>
      </c>
      <c r="J18" s="356">
        <f>SUM(J8:K8)*Assumptions!D20*$J$14</f>
        <v>36096226.317729451</v>
      </c>
      <c r="K18" s="362">
        <f>SUM(L8:M8)*Assumptions!D20*J14</f>
        <v>35750541.181349061</v>
      </c>
      <c r="O18" s="12"/>
    </row>
    <row r="19" spans="2:15" x14ac:dyDescent="0.25">
      <c r="B19" s="2">
        <f t="shared" si="0"/>
        <v>2039</v>
      </c>
      <c r="C19" s="235" cm="1">
        <f t="array" ref="C19">-TREND($J$29:$K$29,$J$28:$K$28,$B19)</f>
        <v>991680.61669562012</v>
      </c>
      <c r="D19" s="187">
        <f>1*C19*Assumptions!$D$24*Assumptions!$D$14</f>
        <v>391034.89213520655</v>
      </c>
      <c r="E19" s="187">
        <f>1*C19*Assumptions!$D$25*Assumptions!$D$15</f>
        <v>76536.346350782333</v>
      </c>
      <c r="F19" s="187">
        <f t="shared" si="2"/>
        <v>467571.23848598887</v>
      </c>
      <c r="G19" s="188">
        <f>F19*(1+0.07)^-(B19-Assumptions!$D$4)</f>
        <v>120829.29319399483</v>
      </c>
      <c r="H19" s="233"/>
      <c r="I19" s="355">
        <v>2040</v>
      </c>
      <c r="J19" s="356">
        <f>SUM(J9:K9)*Assumptions!D20*J14</f>
        <v>47240500.359380759</v>
      </c>
      <c r="K19" s="362">
        <f>SUM(L9:M9)*Assumptions!D20*J14</f>
        <v>46216519.968669377</v>
      </c>
    </row>
    <row r="20" spans="2:15" x14ac:dyDescent="0.25">
      <c r="B20" s="2">
        <f t="shared" si="0"/>
        <v>2040</v>
      </c>
      <c r="C20" s="235" cm="1">
        <f t="array" ref="C20">-TREND($J$29:$K$29,$J$28:$K$28,$B20)</f>
        <v>1023980.390711382</v>
      </c>
      <c r="D20" s="187">
        <f>1*C20*Assumptions!$D$24*Assumptions!$D$14</f>
        <v>403771.18891826813</v>
      </c>
      <c r="E20" s="187">
        <f>1*C20*Assumptions!$D$25*Assumptions!$D$15</f>
        <v>79029.191980214586</v>
      </c>
      <c r="F20" s="187">
        <f t="shared" si="2"/>
        <v>482800.38089848275</v>
      </c>
      <c r="G20" s="188">
        <f>F20*(1+0.07)^-(B20-Assumptions!$D$4)</f>
        <v>116602.61027097373</v>
      </c>
      <c r="H20" s="233"/>
      <c r="J20" s="50"/>
      <c r="K20" s="50"/>
    </row>
    <row r="21" spans="2:15" x14ac:dyDescent="0.25">
      <c r="B21" s="2">
        <f t="shared" si="0"/>
        <v>2041</v>
      </c>
      <c r="C21" s="235" cm="1">
        <f t="array" ref="C21">-TREND($J$29:$K$29,$J$28:$K$28,$B21)</f>
        <v>1056280.1647271439</v>
      </c>
      <c r="D21" s="187">
        <f>1*C21*Assumptions!$D$24*Assumptions!$D$14</f>
        <v>416507.48570132983</v>
      </c>
      <c r="E21" s="187">
        <f>1*C21*Assumptions!$D$25*Assumptions!$D$15</f>
        <v>81522.037609646839</v>
      </c>
      <c r="F21" s="187">
        <f t="shared" si="2"/>
        <v>498029.52331097669</v>
      </c>
      <c r="G21" s="188">
        <f>F21*(1+0.07)^-(B21-Assumptions!$D$4)</f>
        <v>112411.82005929686</v>
      </c>
      <c r="H21" s="233"/>
      <c r="I21" s="233"/>
      <c r="J21" s="357"/>
      <c r="K21" s="357"/>
      <c r="O21" s="12"/>
    </row>
    <row r="22" spans="2:15" x14ac:dyDescent="0.25">
      <c r="B22" s="2">
        <f t="shared" si="0"/>
        <v>2042</v>
      </c>
      <c r="C22" s="235" cm="1">
        <f t="array" ref="C22">-TREND($J$29:$K$29,$J$28:$K$28,$B22)</f>
        <v>1088579.9387429059</v>
      </c>
      <c r="D22" s="187">
        <f>1*C22*Assumptions!$D$24*Assumptions!$D$14</f>
        <v>429243.78248439147</v>
      </c>
      <c r="E22" s="187">
        <f>1*C22*Assumptions!$D$25*Assumptions!$D$15</f>
        <v>84014.883239079078</v>
      </c>
      <c r="F22" s="187">
        <f t="shared" si="2"/>
        <v>513258.66572347056</v>
      </c>
      <c r="G22" s="188">
        <f>F22*(1+0.07)^-(B22-Assumptions!$D$4)</f>
        <v>108270.31588428817</v>
      </c>
      <c r="H22" s="233"/>
      <c r="I22" s="365" t="s">
        <v>214</v>
      </c>
      <c r="J22" s="363"/>
    </row>
    <row r="23" spans="2:15" x14ac:dyDescent="0.25">
      <c r="B23" s="2">
        <f t="shared" si="0"/>
        <v>2043</v>
      </c>
      <c r="C23" s="235" cm="1">
        <f t="array" ref="C23">-TREND($J$29:$K$29,$J$28:$K$28,$B23)</f>
        <v>1120879.7127586678</v>
      </c>
      <c r="D23" s="187">
        <f>1*C23*Assumptions!$D$24*Assumptions!$D$14</f>
        <v>441980.07926745305</v>
      </c>
      <c r="E23" s="187">
        <f>1*C23*Assumptions!$D$25*Assumptions!$D$15</f>
        <v>86507.728868511331</v>
      </c>
      <c r="F23" s="187">
        <f t="shared" si="2"/>
        <v>528487.80813596444</v>
      </c>
      <c r="G23" s="188">
        <f>F23*(1+0.07)^-(B23-Assumptions!$D$4)</f>
        <v>104189.5850581534</v>
      </c>
      <c r="H23" s="233"/>
      <c r="I23" s="354" t="s">
        <v>121</v>
      </c>
      <c r="J23" s="364"/>
    </row>
    <row r="24" spans="2:15" x14ac:dyDescent="0.25">
      <c r="B24" s="2">
        <f t="shared" si="0"/>
        <v>2044</v>
      </c>
      <c r="C24" s="235" cm="1">
        <f t="array" ref="C24">-TREND($J$29:$K$29,$J$28:$K$28,$B24)</f>
        <v>1153179.4867744297</v>
      </c>
      <c r="D24" s="187">
        <f>1*C24*Assumptions!$D$24*Assumptions!$D$14</f>
        <v>454716.37605051475</v>
      </c>
      <c r="E24" s="187">
        <f>1*C24*Assumptions!$D$25*Assumptions!$D$15</f>
        <v>89000.574497943569</v>
      </c>
      <c r="F24" s="187">
        <f t="shared" si="2"/>
        <v>543716.95054845838</v>
      </c>
      <c r="G24" s="188">
        <f>F24*(1+0.07)^-(B24-Assumptions!$D$4)</f>
        <v>100179.40094345366</v>
      </c>
      <c r="H24" s="233"/>
      <c r="I24" s="355" t="s">
        <v>182</v>
      </c>
      <c r="J24" s="356">
        <f>K18-J18</f>
        <v>-345685.13638038933</v>
      </c>
      <c r="N24" s="12"/>
    </row>
    <row r="25" spans="2:15" x14ac:dyDescent="0.25">
      <c r="B25" s="2">
        <f t="shared" si="0"/>
        <v>2045</v>
      </c>
      <c r="C25" s="235" cm="1">
        <f t="array" ref="C25">-TREND($J$29:$K$29,$J$28:$K$28,$B25)</f>
        <v>1185479.2607901916</v>
      </c>
      <c r="D25" s="187">
        <f>1*C25*Assumptions!$D$24*Assumptions!$D$14</f>
        <v>467452.67283357633</v>
      </c>
      <c r="E25" s="187">
        <f>1*C25*Assumptions!$D$25*Assumptions!$D$15</f>
        <v>91493.420127375823</v>
      </c>
      <c r="F25" s="187">
        <f t="shared" si="2"/>
        <v>558946.0929609522</v>
      </c>
      <c r="G25" s="188">
        <f>F25*(1+0.07)^-(B25-Assumptions!$D$4)</f>
        <v>96247.99804422872</v>
      </c>
      <c r="H25" s="233"/>
      <c r="I25" s="355">
        <v>2040</v>
      </c>
      <c r="J25" s="356">
        <f>K19-J19</f>
        <v>-1023980.390711382</v>
      </c>
    </row>
    <row r="26" spans="2:15" x14ac:dyDescent="0.25">
      <c r="B26" s="2">
        <f t="shared" si="0"/>
        <v>2046</v>
      </c>
      <c r="C26" s="235" cm="1">
        <f t="array" ref="C26">-TREND($J$29:$K$29,$J$28:$K$28,$B26)</f>
        <v>1217779.0348059535</v>
      </c>
      <c r="D26" s="187">
        <f>1*C26*Assumptions!$D$24*Assumptions!$D$14</f>
        <v>480188.96961663797</v>
      </c>
      <c r="E26" s="187">
        <f>1*C26*Assumptions!$D$25*Assumptions!$D$15</f>
        <v>93986.265756808076</v>
      </c>
      <c r="F26" s="187">
        <f t="shared" si="2"/>
        <v>574175.23537344602</v>
      </c>
      <c r="G26" s="188">
        <f>F26*(1+0.07)^-(B26-Assumptions!$D$4)</f>
        <v>92402.231523448107</v>
      </c>
      <c r="J26" s="234"/>
      <c r="K26" s="234"/>
    </row>
    <row r="27" spans="2:15" x14ac:dyDescent="0.25">
      <c r="B27" s="2">
        <f t="shared" si="0"/>
        <v>2047</v>
      </c>
      <c r="C27" s="235" cm="1">
        <f t="array" ref="C27">-TREND($J$29:$K$29,$J$28:$K$28,$B27)</f>
        <v>1250078.8088217154</v>
      </c>
      <c r="D27" s="187">
        <f>1*C27*Assumptions!$D$24*Assumptions!$D$14</f>
        <v>492925.26639969955</v>
      </c>
      <c r="E27" s="187">
        <f>1*C27*Assumptions!$D$25*Assumptions!$D$15</f>
        <v>96479.111386240329</v>
      </c>
      <c r="F27" s="187">
        <f t="shared" si="1"/>
        <v>589404.37778593984</v>
      </c>
      <c r="G27" s="188">
        <f>F27*(1+0.07)^-(B27-Assumptions!$D$4)</f>
        <v>88647.722435103744</v>
      </c>
      <c r="I27" s="234"/>
      <c r="J27" s="234"/>
      <c r="K27" s="234"/>
    </row>
    <row r="28" spans="2:15" x14ac:dyDescent="0.25">
      <c r="B28" s="2">
        <f t="shared" si="0"/>
        <v>2048</v>
      </c>
      <c r="C28" s="235" cm="1">
        <f t="array" ref="C28">-TREND($J$29:$K$29,$J$28:$K$28,$B28)</f>
        <v>1282378.5828374773</v>
      </c>
      <c r="D28" s="187">
        <f>1*C28*Assumptions!$D$24*Assumptions!$D$14</f>
        <v>505661.56318276125</v>
      </c>
      <c r="E28" s="187">
        <f>1*C28*Assumptions!$D$25*Assumptions!$D$15</f>
        <v>98971.957015672582</v>
      </c>
      <c r="F28" s="187">
        <f t="shared" si="1"/>
        <v>604633.52019843389</v>
      </c>
      <c r="G28" s="188">
        <f>F28*(1+0.07)^-(B28-Assumptions!$D$4)</f>
        <v>84988.989857344684</v>
      </c>
      <c r="H28" s="308"/>
      <c r="I28" s="38" t="s">
        <v>90</v>
      </c>
      <c r="J28" s="79">
        <v>2019</v>
      </c>
      <c r="K28" s="79">
        <v>2040</v>
      </c>
    </row>
    <row r="29" spans="2:15" ht="15" customHeight="1" x14ac:dyDescent="0.25">
      <c r="B29" s="2">
        <f t="shared" si="0"/>
        <v>2049</v>
      </c>
      <c r="C29" s="235" cm="1">
        <f t="array" ref="C29">-TREND($J$29:$K$29,$J$28:$K$28,$B29)</f>
        <v>1314678.3568532392</v>
      </c>
      <c r="D29" s="187">
        <f>1*C29*Assumptions!$D$24*Assumptions!$D$14</f>
        <v>518397.85996582295</v>
      </c>
      <c r="E29" s="187">
        <f>1*C29*Assumptions!$D$25*Assumptions!$D$15</f>
        <v>101464.80264510484</v>
      </c>
      <c r="F29" s="187">
        <f t="shared" si="1"/>
        <v>619862.66261092783</v>
      </c>
      <c r="G29" s="188">
        <f>F29*(1+0.07)^-(B29-Assumptions!$D$4)</f>
        <v>81429.57101896574</v>
      </c>
      <c r="H29" s="308"/>
      <c r="I29" s="348" t="s">
        <v>122</v>
      </c>
      <c r="J29" s="159">
        <f>J24</f>
        <v>-345685.13638038933</v>
      </c>
      <c r="K29" s="159">
        <f>J25</f>
        <v>-1023980.390711382</v>
      </c>
    </row>
    <row r="30" spans="2:15" ht="15" customHeight="1" x14ac:dyDescent="0.25">
      <c r="B30" s="2">
        <f t="shared" si="0"/>
        <v>2050</v>
      </c>
      <c r="C30" s="235" cm="1">
        <f t="array" ref="C30">-TREND($J$29:$K$29,$J$28:$K$28,$B30)</f>
        <v>1346978.1308690012</v>
      </c>
      <c r="D30" s="187">
        <f>1*C30*Assumptions!$D$24*Assumptions!$D$14</f>
        <v>531134.15674888447</v>
      </c>
      <c r="E30" s="187">
        <f>1*C30*Assumptions!$D$25*Assumptions!$D$15</f>
        <v>103957.64827453707</v>
      </c>
      <c r="F30" s="187">
        <f t="shared" si="1"/>
        <v>635091.80502342153</v>
      </c>
      <c r="G30" s="188">
        <f>F30*(1+0.07)^-(B30-Assumptions!$D$4)</f>
        <v>77972.130424702525</v>
      </c>
      <c r="H30" s="308"/>
      <c r="I30" s="233"/>
      <c r="K30" s="191"/>
    </row>
    <row r="31" spans="2:15" ht="15" customHeight="1" x14ac:dyDescent="0.25">
      <c r="B31" s="2">
        <f t="shared" si="0"/>
        <v>2051</v>
      </c>
      <c r="C31" s="235" cm="1">
        <f t="array" ref="C31">-TREND($J$29:$K$29,$J$28:$K$28,$B31)</f>
        <v>1379277.9048847631</v>
      </c>
      <c r="D31" s="187">
        <f>1*C31*Assumptions!$D$24*Assumptions!$D$14</f>
        <v>543870.45353194617</v>
      </c>
      <c r="E31" s="187">
        <f>1*C31*Assumptions!$D$25*Assumptions!$D$15</f>
        <v>106450.49390396931</v>
      </c>
      <c r="F31" s="187">
        <f t="shared" si="1"/>
        <v>650320.94743591547</v>
      </c>
      <c r="G31" s="188">
        <f>F31*(1+0.07)^-(B31-Assumptions!$D$4)</f>
        <v>74618.55890461852</v>
      </c>
      <c r="I31" s="308"/>
      <c r="J31" s="308"/>
      <c r="K31" s="184"/>
    </row>
    <row r="32" spans="2:15" x14ac:dyDescent="0.25">
      <c r="B32" s="2">
        <f t="shared" si="0"/>
        <v>2052</v>
      </c>
      <c r="C32" s="235" cm="1">
        <f t="array" ref="C32">-TREND($J$29:$K$29,$J$28:$K$28,$B32)</f>
        <v>1411577.678900525</v>
      </c>
      <c r="D32" s="187">
        <f>1*C32*Assumptions!$D$24*Assumptions!$D$14</f>
        <v>556606.75031500787</v>
      </c>
      <c r="E32" s="187">
        <f>1*C32*Assumptions!$D$25*Assumptions!$D$15</f>
        <v>108943.33953340157</v>
      </c>
      <c r="F32" s="187">
        <f t="shared" si="1"/>
        <v>665550.08984840941</v>
      </c>
      <c r="G32" s="188">
        <f>F32*(1+0.07)^-(B32-Assumptions!$D$4)</f>
        <v>71370.063438886442</v>
      </c>
      <c r="H32" s="233"/>
      <c r="I32" s="349"/>
      <c r="J32" s="349"/>
      <c r="K32" s="184"/>
      <c r="L32" s="184"/>
    </row>
    <row r="33" spans="1:13" x14ac:dyDescent="0.25">
      <c r="B33" s="2">
        <f t="shared" si="0"/>
        <v>2053</v>
      </c>
      <c r="C33" s="235" cm="1">
        <f t="array" ref="C33">-TREND($J$29:$K$29,$J$28:$K$28,$B33)</f>
        <v>1443877.4529162869</v>
      </c>
      <c r="D33" s="187">
        <f>1*C33*Assumptions!$D$24*Assumptions!$D$14</f>
        <v>569343.04709806934</v>
      </c>
      <c r="E33" s="187">
        <f>1*C33*Assumptions!$D$25*Assumptions!$D$15</f>
        <v>111436.18516283382</v>
      </c>
      <c r="F33" s="187">
        <f t="shared" si="1"/>
        <v>680779.23226090311</v>
      </c>
      <c r="G33" s="188">
        <f>F33*(1+0.07)^-(B33-Assumptions!$D$4)</f>
        <v>68227.2485410066</v>
      </c>
      <c r="H33" s="233"/>
      <c r="I33" s="308"/>
      <c r="J33" s="308"/>
      <c r="K33" s="184"/>
      <c r="L33" s="184"/>
    </row>
    <row r="34" spans="1:13" ht="15" customHeight="1" x14ac:dyDescent="0.25">
      <c r="B34" s="2">
        <f t="shared" si="0"/>
        <v>2054</v>
      </c>
      <c r="C34" s="235" cm="1">
        <f t="array" ref="C34">-TREND($J$29:$K$29,$J$28:$K$28,$B34)</f>
        <v>1476177.2269320488</v>
      </c>
      <c r="D34" s="187">
        <f>1*C34*Assumptions!$D$24*Assumptions!$D$14</f>
        <v>582079.34388113103</v>
      </c>
      <c r="E34" s="187">
        <f>1*C34*Assumptions!$D$25*Assumptions!$D$15</f>
        <v>113929.03079226607</v>
      </c>
      <c r="F34" s="187">
        <f t="shared" si="1"/>
        <v>696008.37467339705</v>
      </c>
      <c r="G34" s="188">
        <f>F34*(1+0.07)^-(B34-Assumptions!$D$4)</f>
        <v>65190.189919528057</v>
      </c>
      <c r="H34" s="308"/>
      <c r="I34" s="308"/>
      <c r="J34" s="308"/>
      <c r="K34" s="184"/>
      <c r="L34" s="184"/>
    </row>
    <row r="35" spans="1:13" ht="15.75" thickBot="1" x14ac:dyDescent="0.3">
      <c r="B35" s="3">
        <f t="shared" si="0"/>
        <v>2055</v>
      </c>
      <c r="C35" s="350" cm="1">
        <f t="array" ref="C35">-TREND($J$29:$K$29,$J$28:$K$28,$B35)</f>
        <v>1508477.0009478107</v>
      </c>
      <c r="D35" s="250">
        <f>1*C35*Assumptions!$D$24*Assumptions!$D$14</f>
        <v>594815.64066419273</v>
      </c>
      <c r="E35" s="250">
        <f>1*C35*Assumptions!$D$25*Assumptions!$D$15</f>
        <v>116421.87642169833</v>
      </c>
      <c r="F35" s="250">
        <f t="shared" si="1"/>
        <v>711237.5170858911</v>
      </c>
      <c r="G35" s="251">
        <f>F35*(1+0.07)^-(B35-Assumptions!$D$4)</f>
        <v>62258.501080254588</v>
      </c>
      <c r="H35" s="308"/>
      <c r="I35" s="308"/>
      <c r="J35" s="308"/>
      <c r="K35" s="184"/>
      <c r="L35" s="184"/>
      <c r="M35" s="184"/>
    </row>
    <row r="36" spans="1:13" ht="15.75" thickBot="1" x14ac:dyDescent="0.3">
      <c r="B36" s="4"/>
      <c r="C36" s="4"/>
      <c r="D36" s="183" t="s">
        <v>2</v>
      </c>
      <c r="E36" s="183"/>
      <c r="F36" s="190"/>
      <c r="G36" s="352">
        <f>SUM(G6:G35)</f>
        <v>3456770.3394269235</v>
      </c>
      <c r="H36" s="308"/>
      <c r="I36" s="308"/>
      <c r="J36" s="308"/>
      <c r="K36" s="184"/>
      <c r="L36" s="184"/>
      <c r="M36" s="184"/>
    </row>
    <row r="37" spans="1:13" x14ac:dyDescent="0.25">
      <c r="H37" s="308"/>
      <c r="I37" s="308"/>
      <c r="J37" s="308"/>
      <c r="L37" s="184"/>
      <c r="M37" s="191"/>
    </row>
    <row r="38" spans="1:13" x14ac:dyDescent="0.25">
      <c r="B38" s="12" t="s">
        <v>3</v>
      </c>
      <c r="C38" s="12"/>
      <c r="D38" s="12"/>
      <c r="E38" s="12"/>
      <c r="H38" s="308"/>
      <c r="I38" s="308"/>
      <c r="J38" s="308"/>
      <c r="M38" s="184"/>
    </row>
    <row r="39" spans="1:13" x14ac:dyDescent="0.25">
      <c r="A39" s="44" t="s">
        <v>57</v>
      </c>
      <c r="B39" s="459" t="str">
        <f>Assumptions!C47</f>
        <v>Vehicle operational costs  were valued in accordance with the Benefit-Cost Analysis Guidance for Discretionary Grant Programs - February 2021. The recommended values for travel time were provided in year 2019 dollars.</v>
      </c>
      <c r="C39" s="459"/>
      <c r="D39" s="459"/>
      <c r="E39" s="459"/>
      <c r="F39" s="459"/>
      <c r="G39" s="459"/>
      <c r="H39" s="308"/>
      <c r="I39" s="191"/>
      <c r="J39" s="191"/>
      <c r="M39" s="184"/>
    </row>
    <row r="40" spans="1:13" x14ac:dyDescent="0.25">
      <c r="A40" s="37"/>
      <c r="B40" s="459"/>
      <c r="C40" s="459"/>
      <c r="D40" s="459"/>
      <c r="E40" s="459"/>
      <c r="F40" s="459"/>
      <c r="G40" s="459"/>
      <c r="H40" s="191"/>
      <c r="I40" s="184"/>
      <c r="J40" s="184"/>
      <c r="M40" s="184"/>
    </row>
    <row r="41" spans="1:13" x14ac:dyDescent="0.25">
      <c r="A41" s="37"/>
      <c r="B41" s="459"/>
      <c r="C41" s="459"/>
      <c r="D41" s="459"/>
      <c r="E41" s="459"/>
      <c r="F41" s="459"/>
      <c r="G41" s="459"/>
      <c r="H41" s="184"/>
      <c r="I41" s="184"/>
      <c r="J41" s="184"/>
      <c r="M41" s="184"/>
    </row>
    <row r="42" spans="1:13" x14ac:dyDescent="0.25">
      <c r="A42" s="37"/>
      <c r="B42" s="459"/>
      <c r="C42" s="459"/>
      <c r="D42" s="459"/>
      <c r="E42" s="459"/>
      <c r="F42" s="459"/>
      <c r="G42" s="459"/>
      <c r="H42" s="184"/>
      <c r="I42" s="184"/>
      <c r="J42" s="184"/>
      <c r="M42" s="184"/>
    </row>
    <row r="43" spans="1:13" x14ac:dyDescent="0.25">
      <c r="A43" s="37"/>
      <c r="B43" s="408"/>
      <c r="C43" s="408"/>
      <c r="D43" s="408"/>
      <c r="E43" s="408"/>
      <c r="F43" s="408"/>
      <c r="G43" s="408"/>
      <c r="H43" s="184"/>
      <c r="I43" s="184"/>
      <c r="J43" s="184"/>
    </row>
    <row r="44" spans="1:13" x14ac:dyDescent="0.25">
      <c r="A44" s="13" t="s">
        <v>71</v>
      </c>
      <c r="B44" s="459" t="s">
        <v>210</v>
      </c>
      <c r="C44" s="459"/>
      <c r="D44" s="459"/>
      <c r="E44" s="459"/>
      <c r="F44" s="459"/>
      <c r="G44" s="459"/>
      <c r="H44" s="184"/>
      <c r="I44" s="184"/>
      <c r="J44" s="184"/>
    </row>
    <row r="45" spans="1:13" x14ac:dyDescent="0.25">
      <c r="A45" s="37"/>
      <c r="B45" s="459"/>
      <c r="C45" s="459"/>
      <c r="D45" s="459"/>
      <c r="E45" s="459"/>
      <c r="F45" s="459"/>
      <c r="G45" s="459"/>
      <c r="H45" s="184"/>
      <c r="I45" s="184"/>
      <c r="J45" s="184"/>
    </row>
    <row r="46" spans="1:13" x14ac:dyDescent="0.25">
      <c r="A46" s="37"/>
      <c r="B46" s="459"/>
      <c r="C46" s="459"/>
      <c r="D46" s="459"/>
      <c r="E46" s="459"/>
      <c r="F46" s="459"/>
      <c r="G46" s="459"/>
      <c r="H46" s="184"/>
      <c r="I46" s="184"/>
      <c r="J46" s="184"/>
    </row>
    <row r="47" spans="1:13" x14ac:dyDescent="0.25">
      <c r="A47" s="37"/>
      <c r="B47" s="408"/>
      <c r="C47" s="408"/>
      <c r="D47" s="408"/>
      <c r="E47" s="408"/>
      <c r="F47" s="408"/>
      <c r="G47" s="408"/>
      <c r="H47" s="184"/>
      <c r="I47" s="184"/>
      <c r="J47" s="184"/>
    </row>
    <row r="48" spans="1:13" ht="15" customHeight="1" x14ac:dyDescent="0.25">
      <c r="A48" s="13" t="s">
        <v>72</v>
      </c>
      <c r="B48" s="459" t="s">
        <v>211</v>
      </c>
      <c r="C48" s="459"/>
      <c r="D48" s="459"/>
      <c r="E48" s="459"/>
      <c r="F48" s="459"/>
      <c r="G48" s="459"/>
      <c r="H48" s="184"/>
    </row>
    <row r="49" spans="1:7" x14ac:dyDescent="0.25">
      <c r="B49" s="459"/>
      <c r="C49" s="459"/>
      <c r="D49" s="459"/>
      <c r="E49" s="459"/>
      <c r="F49" s="459"/>
      <c r="G49" s="459"/>
    </row>
    <row r="50" spans="1:7" x14ac:dyDescent="0.25">
      <c r="B50" s="459"/>
      <c r="C50" s="459"/>
      <c r="D50" s="459"/>
      <c r="E50" s="459"/>
      <c r="F50" s="459"/>
      <c r="G50" s="459"/>
    </row>
    <row r="51" spans="1:7" x14ac:dyDescent="0.25">
      <c r="B51" s="459"/>
      <c r="C51" s="459"/>
      <c r="D51" s="459"/>
      <c r="E51" s="459"/>
      <c r="F51" s="459"/>
      <c r="G51" s="459"/>
    </row>
    <row r="52" spans="1:7" x14ac:dyDescent="0.25">
      <c r="B52" s="459"/>
      <c r="C52" s="459"/>
      <c r="D52" s="459"/>
      <c r="E52" s="459"/>
      <c r="F52" s="459"/>
      <c r="G52" s="459"/>
    </row>
    <row r="53" spans="1:7" x14ac:dyDescent="0.25">
      <c r="B53" s="459"/>
      <c r="C53" s="459"/>
      <c r="D53" s="459"/>
      <c r="E53" s="459"/>
      <c r="F53" s="459"/>
      <c r="G53" s="459"/>
    </row>
    <row r="54" spans="1:7" x14ac:dyDescent="0.25">
      <c r="B54" s="459"/>
      <c r="C54" s="459"/>
      <c r="D54" s="459"/>
      <c r="E54" s="459"/>
      <c r="F54" s="459"/>
      <c r="G54" s="459"/>
    </row>
    <row r="55" spans="1:7" x14ac:dyDescent="0.25">
      <c r="B55" s="459"/>
      <c r="C55" s="459"/>
      <c r="D55" s="459"/>
      <c r="E55" s="459"/>
      <c r="F55" s="459"/>
      <c r="G55" s="459"/>
    </row>
    <row r="56" spans="1:7" x14ac:dyDescent="0.25">
      <c r="A56" s="13"/>
      <c r="B56" s="459"/>
      <c r="C56" s="459"/>
      <c r="D56" s="459"/>
      <c r="E56" s="459"/>
      <c r="F56" s="459"/>
      <c r="G56" s="459"/>
    </row>
    <row r="57" spans="1:7" x14ac:dyDescent="0.25">
      <c r="B57" s="459"/>
      <c r="C57" s="459"/>
      <c r="D57" s="459"/>
      <c r="E57" s="459"/>
      <c r="F57" s="459"/>
      <c r="G57" s="459"/>
    </row>
    <row r="58" spans="1:7" x14ac:dyDescent="0.25">
      <c r="B58" s="48"/>
      <c r="C58" s="48"/>
      <c r="D58" s="48"/>
      <c r="E58" s="48"/>
      <c r="F58" s="48"/>
      <c r="G58" s="48"/>
    </row>
    <row r="59" spans="1:7" ht="15" customHeight="1" x14ac:dyDescent="0.25">
      <c r="A59" s="13" t="s">
        <v>73</v>
      </c>
      <c r="B59" s="472" t="s">
        <v>242</v>
      </c>
      <c r="C59" s="472"/>
      <c r="D59" s="472"/>
      <c r="E59" s="472"/>
      <c r="F59" s="472"/>
      <c r="G59" s="472"/>
    </row>
    <row r="60" spans="1:7" x14ac:dyDescent="0.25">
      <c r="B60" s="472"/>
      <c r="C60" s="472"/>
      <c r="D60" s="472"/>
      <c r="E60" s="472"/>
      <c r="F60" s="472"/>
      <c r="G60" s="472"/>
    </row>
    <row r="61" spans="1:7" x14ac:dyDescent="0.25">
      <c r="B61" s="472"/>
      <c r="C61" s="472"/>
      <c r="D61" s="472"/>
      <c r="E61" s="472"/>
      <c r="F61" s="472"/>
      <c r="G61" s="472"/>
    </row>
    <row r="62" spans="1:7" x14ac:dyDescent="0.25">
      <c r="B62" s="472"/>
      <c r="C62" s="472"/>
      <c r="D62" s="472"/>
      <c r="E62" s="472"/>
      <c r="F62" s="472"/>
      <c r="G62" s="472"/>
    </row>
    <row r="63" spans="1:7" x14ac:dyDescent="0.25">
      <c r="A63" s="13"/>
      <c r="B63" s="472"/>
      <c r="C63" s="472"/>
      <c r="D63" s="472"/>
      <c r="E63" s="472"/>
      <c r="F63" s="472"/>
      <c r="G63" s="472"/>
    </row>
    <row r="64" spans="1:7" x14ac:dyDescent="0.25">
      <c r="B64" s="114"/>
      <c r="C64" s="114"/>
      <c r="D64" s="114"/>
      <c r="E64" s="114"/>
    </row>
    <row r="65" spans="1:5" x14ac:dyDescent="0.25">
      <c r="B65" s="114"/>
      <c r="C65" s="114"/>
      <c r="D65" s="114"/>
      <c r="E65" s="114"/>
    </row>
    <row r="66" spans="1:5" x14ac:dyDescent="0.25">
      <c r="B66" s="114"/>
      <c r="C66" s="114"/>
      <c r="D66" s="114"/>
      <c r="E66" s="114"/>
    </row>
    <row r="67" spans="1:5" x14ac:dyDescent="0.25">
      <c r="B67" s="114"/>
      <c r="C67" s="114"/>
      <c r="D67" s="114"/>
      <c r="E67" s="114"/>
    </row>
    <row r="68" spans="1:5" x14ac:dyDescent="0.25">
      <c r="A68" s="13"/>
      <c r="B68" s="114"/>
      <c r="C68" s="114"/>
      <c r="D68" s="114"/>
      <c r="E68" s="114"/>
    </row>
    <row r="70" spans="1:5" x14ac:dyDescent="0.25">
      <c r="B70" s="114"/>
      <c r="C70" s="114"/>
      <c r="D70" s="114"/>
      <c r="E70" s="114"/>
    </row>
    <row r="71" spans="1:5" x14ac:dyDescent="0.25">
      <c r="A71" s="13"/>
      <c r="B71" s="114"/>
      <c r="C71" s="114"/>
      <c r="D71" s="114"/>
      <c r="E71" s="114"/>
    </row>
    <row r="72" spans="1:5" x14ac:dyDescent="0.25">
      <c r="B72" s="114"/>
      <c r="C72" s="114"/>
      <c r="D72" s="114"/>
      <c r="E72" s="114"/>
    </row>
    <row r="76" spans="1:5" x14ac:dyDescent="0.25">
      <c r="A76" s="13"/>
    </row>
    <row r="80" spans="1:5" x14ac:dyDescent="0.25">
      <c r="A80" s="13"/>
    </row>
    <row r="82" spans="1:1" x14ac:dyDescent="0.25">
      <c r="A82" s="13"/>
    </row>
    <row r="86" spans="1:1" x14ac:dyDescent="0.25">
      <c r="A86" s="13"/>
    </row>
  </sheetData>
  <mergeCells count="13">
    <mergeCell ref="B59:G63"/>
    <mergeCell ref="B39:G42"/>
    <mergeCell ref="L6:M6"/>
    <mergeCell ref="J5:M5"/>
    <mergeCell ref="J6:K6"/>
    <mergeCell ref="G4:G5"/>
    <mergeCell ref="E4:E5"/>
    <mergeCell ref="B4:B5"/>
    <mergeCell ref="C4:C5"/>
    <mergeCell ref="D4:D5"/>
    <mergeCell ref="F4:F5"/>
    <mergeCell ref="B44:G46"/>
    <mergeCell ref="B48:G57"/>
  </mergeCells>
  <pageMargins left="0.25" right="0.25" top="0.75" bottom="0.75" header="0.3" footer="0.3"/>
  <pageSetup paperSize="4"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50"/>
    <pageSetUpPr fitToPage="1"/>
  </sheetPr>
  <dimension ref="A1:AE95"/>
  <sheetViews>
    <sheetView view="pageBreakPreview" topLeftCell="A4" zoomScale="85" zoomScaleNormal="85" zoomScaleSheetLayoutView="85" workbookViewId="0">
      <selection activeCell="G37" sqref="G37"/>
    </sheetView>
  </sheetViews>
  <sheetFormatPr defaultRowHeight="15" x14ac:dyDescent="0.25"/>
  <cols>
    <col min="1" max="1" width="9.140625" style="37"/>
    <col min="2" max="2" width="25.28515625" style="37" customWidth="1"/>
    <col min="3" max="3" width="30.7109375" style="37" customWidth="1"/>
    <col min="4" max="4" width="26.42578125" style="37" customWidth="1"/>
    <col min="5" max="5" width="15.28515625" style="37" customWidth="1"/>
    <col min="6" max="6" width="27" style="37" bestFit="1" customWidth="1"/>
    <col min="7" max="7" width="29.42578125" style="37" customWidth="1"/>
    <col min="8" max="8" width="26.28515625" style="37" customWidth="1"/>
    <col min="9" max="9" width="17.7109375" style="37" bestFit="1" customWidth="1"/>
    <col min="10" max="10" width="21.28515625" style="37" customWidth="1"/>
    <col min="11" max="13" width="15.7109375" style="37" customWidth="1"/>
    <col min="14" max="17" width="18" style="37" customWidth="1"/>
    <col min="18" max="30" width="9" style="37" customWidth="1"/>
    <col min="31" max="32" width="11.7109375" style="37" customWidth="1"/>
    <col min="33" max="34" width="9.140625" style="37"/>
    <col min="35" max="38" width="11.5703125" style="37" customWidth="1"/>
    <col min="39" max="16384" width="9.140625" style="37"/>
  </cols>
  <sheetData>
    <row r="1" spans="1:31" ht="15" customHeight="1" x14ac:dyDescent="0.25">
      <c r="A1" s="64"/>
      <c r="B1" s="61"/>
    </row>
    <row r="2" spans="1:31" ht="15" customHeight="1" x14ac:dyDescent="0.25">
      <c r="A2" s="87"/>
      <c r="C2" s="37">
        <v>2</v>
      </c>
      <c r="S2" s="39"/>
    </row>
    <row r="3" spans="1:31" x14ac:dyDescent="0.25">
      <c r="B3" s="12" t="s">
        <v>58</v>
      </c>
      <c r="U3" s="85"/>
      <c r="V3" s="85"/>
    </row>
    <row r="4" spans="1:31" ht="15.75" thickBot="1" x14ac:dyDescent="0.3">
      <c r="B4" s="12"/>
      <c r="U4" s="85"/>
      <c r="V4" s="85"/>
    </row>
    <row r="5" spans="1:31" ht="30" customHeight="1" x14ac:dyDescent="0.25">
      <c r="B5" s="477" t="s">
        <v>0</v>
      </c>
      <c r="C5" s="487" t="s">
        <v>228</v>
      </c>
      <c r="D5" s="489" t="s">
        <v>1</v>
      </c>
      <c r="O5" s="46"/>
      <c r="P5" s="46"/>
    </row>
    <row r="6" spans="1:31" ht="30" customHeight="1" thickBot="1" x14ac:dyDescent="0.3">
      <c r="B6" s="478"/>
      <c r="C6" s="488"/>
      <c r="D6" s="490"/>
      <c r="F6" s="45" t="s">
        <v>150</v>
      </c>
      <c r="O6" s="46"/>
      <c r="P6" s="46"/>
    </row>
    <row r="7" spans="1:31" x14ac:dyDescent="0.25">
      <c r="B7" s="62">
        <f>Assumptions!$D$8</f>
        <v>2026</v>
      </c>
      <c r="C7" s="213">
        <f t="shared" ref="C7:C36" si="0">TREND($G$37:$H$37,$G$36:$H$36,$B7)-TREND($G$38:$H$38,$G$36:$H$36,$B7)</f>
        <v>305554.91802432761</v>
      </c>
      <c r="D7" s="204">
        <f>C7*(1+0.07)^-(B7-Assumptions!$D$4)</f>
        <v>190284.24633121741</v>
      </c>
      <c r="G7" s="485" t="s">
        <v>47</v>
      </c>
      <c r="H7" s="486"/>
      <c r="I7" s="485" t="s">
        <v>48</v>
      </c>
      <c r="J7" s="486"/>
      <c r="K7" s="315"/>
      <c r="O7" s="46"/>
      <c r="P7" s="49"/>
    </row>
    <row r="8" spans="1:31" x14ac:dyDescent="0.25">
      <c r="B8" s="41">
        <f>+B7+1</f>
        <v>2027</v>
      </c>
      <c r="C8" s="214">
        <f t="shared" si="0"/>
        <v>309653.92917065881</v>
      </c>
      <c r="D8" s="198">
        <f>C8*(1+0.07)^-(B8-Assumptions!$D$4)</f>
        <v>180221.40604166096</v>
      </c>
      <c r="F8" s="79" t="s">
        <v>121</v>
      </c>
      <c r="G8" s="158" t="s">
        <v>147</v>
      </c>
      <c r="H8" s="158" t="s">
        <v>148</v>
      </c>
      <c r="I8" s="158" t="s">
        <v>147</v>
      </c>
      <c r="J8" s="158" t="s">
        <v>148</v>
      </c>
      <c r="K8" s="315"/>
      <c r="O8" s="46"/>
      <c r="P8" s="46"/>
    </row>
    <row r="9" spans="1:31" ht="15" customHeight="1" thickBot="1" x14ac:dyDescent="0.3">
      <c r="B9" s="41">
        <f t="shared" ref="B9:B36" si="1">+B8+1</f>
        <v>2028</v>
      </c>
      <c r="C9" s="214">
        <f t="shared" si="0"/>
        <v>313752.94031699374</v>
      </c>
      <c r="D9" s="198">
        <f>C9*(1+0.07)^-(B9-Assumptions!$D$4)</f>
        <v>170660.81107340325</v>
      </c>
      <c r="F9" s="318">
        <v>2019</v>
      </c>
      <c r="G9" s="317">
        <v>2506</v>
      </c>
      <c r="H9" s="317">
        <v>2920</v>
      </c>
      <c r="I9" s="317">
        <f>G9</f>
        <v>2506</v>
      </c>
      <c r="J9" s="317">
        <f t="shared" ref="J9:J10" si="2">H9</f>
        <v>2920</v>
      </c>
      <c r="K9" s="316"/>
      <c r="O9" s="46"/>
      <c r="P9" s="46"/>
    </row>
    <row r="10" spans="1:31" ht="15.75" thickBot="1" x14ac:dyDescent="0.3">
      <c r="B10" s="41">
        <f t="shared" si="1"/>
        <v>2029</v>
      </c>
      <c r="C10" s="214">
        <f t="shared" si="0"/>
        <v>317851.95146332495</v>
      </c>
      <c r="D10" s="198">
        <f>C10*(1+0.07)^-(B10-Assumptions!$D$4)</f>
        <v>161579.81453001991</v>
      </c>
      <c r="F10" s="318">
        <v>2040</v>
      </c>
      <c r="G10" s="317">
        <v>3277</v>
      </c>
      <c r="H10" s="317">
        <v>3836</v>
      </c>
      <c r="I10" s="317">
        <f t="shared" ref="I10" si="3">G10</f>
        <v>3277</v>
      </c>
      <c r="J10" s="317">
        <f t="shared" si="2"/>
        <v>3836</v>
      </c>
      <c r="K10" s="46"/>
      <c r="Q10" s="303" t="s">
        <v>131</v>
      </c>
      <c r="R10" s="304" t="s">
        <v>121</v>
      </c>
      <c r="S10" s="304" t="s">
        <v>132</v>
      </c>
      <c r="T10" s="304" t="s">
        <v>133</v>
      </c>
      <c r="U10" s="304" t="s">
        <v>134</v>
      </c>
      <c r="V10" s="304" t="s">
        <v>135</v>
      </c>
      <c r="W10" s="304" t="s">
        <v>136</v>
      </c>
      <c r="X10" s="304" t="s">
        <v>137</v>
      </c>
      <c r="Y10" s="304" t="s">
        <v>138</v>
      </c>
      <c r="Z10" s="304" t="s">
        <v>139</v>
      </c>
      <c r="AA10" s="304" t="s">
        <v>140</v>
      </c>
      <c r="AB10" s="304" t="s">
        <v>141</v>
      </c>
      <c r="AC10" s="304" t="s">
        <v>142</v>
      </c>
      <c r="AD10" s="304" t="s">
        <v>143</v>
      </c>
    </row>
    <row r="11" spans="1:31" ht="15.75" thickBot="1" x14ac:dyDescent="0.3">
      <c r="B11" s="41">
        <f t="shared" si="1"/>
        <v>2030</v>
      </c>
      <c r="C11" s="214">
        <f t="shared" si="0"/>
        <v>321950.96260965988</v>
      </c>
      <c r="D11" s="198">
        <f>C11*(1+0.07)^-(B11-Assumptions!$D$4)</f>
        <v>152956.58312589867</v>
      </c>
      <c r="Q11" s="481" t="s">
        <v>144</v>
      </c>
      <c r="R11" s="305">
        <v>2019</v>
      </c>
      <c r="S11" s="306">
        <v>57</v>
      </c>
      <c r="T11" s="306">
        <v>296</v>
      </c>
      <c r="U11" s="306">
        <v>43</v>
      </c>
      <c r="V11" s="306">
        <v>35</v>
      </c>
      <c r="W11" s="306">
        <v>912</v>
      </c>
      <c r="X11" s="306">
        <v>119</v>
      </c>
      <c r="Y11" s="306">
        <v>81</v>
      </c>
      <c r="Z11" s="306">
        <v>120</v>
      </c>
      <c r="AA11" s="306">
        <v>327</v>
      </c>
      <c r="AB11" s="306">
        <v>237</v>
      </c>
      <c r="AC11" s="306">
        <v>227</v>
      </c>
      <c r="AD11" s="306">
        <v>47</v>
      </c>
      <c r="AE11" s="37">
        <f>SUM(S11:AD11)</f>
        <v>2501</v>
      </c>
    </row>
    <row r="12" spans="1:31" ht="15.75" thickBot="1" x14ac:dyDescent="0.3">
      <c r="B12" s="41">
        <f t="shared" si="1"/>
        <v>2031</v>
      </c>
      <c r="C12" s="214">
        <f t="shared" si="0"/>
        <v>326049.97375598922</v>
      </c>
      <c r="D12" s="198">
        <f>C12*(1+0.07)^-(B12-Assumptions!$D$4)</f>
        <v>144770.08765778708</v>
      </c>
      <c r="F12" s="45" t="s">
        <v>220</v>
      </c>
      <c r="H12" s="49"/>
      <c r="I12" s="85"/>
      <c r="J12" s="103"/>
      <c r="Q12" s="482"/>
      <c r="R12" s="305">
        <v>2040</v>
      </c>
      <c r="S12" s="306">
        <v>81</v>
      </c>
      <c r="T12" s="306">
        <v>370</v>
      </c>
      <c r="U12" s="306">
        <v>62</v>
      </c>
      <c r="V12" s="306">
        <v>45</v>
      </c>
      <c r="W12" s="306">
        <v>1132</v>
      </c>
      <c r="X12" s="306">
        <v>151</v>
      </c>
      <c r="Y12" s="306">
        <v>101</v>
      </c>
      <c r="Z12" s="306">
        <v>171</v>
      </c>
      <c r="AA12" s="306">
        <v>453</v>
      </c>
      <c r="AB12" s="306">
        <v>331</v>
      </c>
      <c r="AC12" s="306">
        <v>324</v>
      </c>
      <c r="AD12" s="306">
        <v>59</v>
      </c>
      <c r="AE12" s="37">
        <f t="shared" ref="AE12:AE14" si="4">SUM(S12:AD12)</f>
        <v>3280</v>
      </c>
    </row>
    <row r="13" spans="1:31" ht="15.75" thickBot="1" x14ac:dyDescent="0.3">
      <c r="B13" s="41">
        <f t="shared" si="1"/>
        <v>2032</v>
      </c>
      <c r="C13" s="214">
        <f t="shared" si="0"/>
        <v>330148.98490232043</v>
      </c>
      <c r="D13" s="198">
        <f>C13*(1+0.07)^-(B13-Assumptions!$D$4)</f>
        <v>137000.09124095252</v>
      </c>
      <c r="F13" s="38" t="s">
        <v>92</v>
      </c>
      <c r="G13" s="145">
        <v>2018</v>
      </c>
      <c r="H13" s="145">
        <v>2040</v>
      </c>
      <c r="J13" s="103"/>
      <c r="Q13" s="481" t="s">
        <v>145</v>
      </c>
      <c r="R13" s="305">
        <v>2019</v>
      </c>
      <c r="S13" s="306">
        <v>319</v>
      </c>
      <c r="T13" s="306">
        <v>1060</v>
      </c>
      <c r="U13" s="306">
        <v>165</v>
      </c>
      <c r="V13" s="306">
        <v>61</v>
      </c>
      <c r="W13" s="306">
        <v>442</v>
      </c>
      <c r="X13" s="306">
        <v>116</v>
      </c>
      <c r="Y13" s="306">
        <v>112</v>
      </c>
      <c r="Z13" s="306">
        <v>186</v>
      </c>
      <c r="AA13" s="306">
        <v>126</v>
      </c>
      <c r="AB13" s="306">
        <v>77</v>
      </c>
      <c r="AC13" s="306">
        <v>235</v>
      </c>
      <c r="AD13" s="306">
        <v>38</v>
      </c>
      <c r="AE13" s="37">
        <f t="shared" si="4"/>
        <v>2937</v>
      </c>
    </row>
    <row r="14" spans="1:31" ht="15.75" thickBot="1" x14ac:dyDescent="0.3">
      <c r="B14" s="41">
        <f t="shared" si="1"/>
        <v>2033</v>
      </c>
      <c r="C14" s="214">
        <f t="shared" si="0"/>
        <v>334247.99604865536</v>
      </c>
      <c r="D14" s="198">
        <f>C14*(1+0.07)^-(B14-Assumptions!$D$4)</f>
        <v>129627.13564315924</v>
      </c>
      <c r="F14" s="38" t="s">
        <v>47</v>
      </c>
      <c r="G14" s="343">
        <v>5426</v>
      </c>
      <c r="H14" s="343">
        <v>7113</v>
      </c>
      <c r="J14" s="103"/>
      <c r="M14" s="46"/>
      <c r="O14" s="46"/>
      <c r="P14" s="46"/>
      <c r="Q14" s="482"/>
      <c r="R14" s="305">
        <v>2040</v>
      </c>
      <c r="S14" s="306">
        <v>445</v>
      </c>
      <c r="T14" s="306">
        <v>1322</v>
      </c>
      <c r="U14" s="306">
        <v>234</v>
      </c>
      <c r="V14" s="306">
        <v>77</v>
      </c>
      <c r="W14" s="306">
        <v>551</v>
      </c>
      <c r="X14" s="306">
        <v>145</v>
      </c>
      <c r="Y14" s="306">
        <v>141</v>
      </c>
      <c r="Z14" s="306">
        <v>266</v>
      </c>
      <c r="AA14" s="306">
        <v>177</v>
      </c>
      <c r="AB14" s="306">
        <v>109</v>
      </c>
      <c r="AC14" s="306">
        <v>333</v>
      </c>
      <c r="AD14" s="306">
        <v>48</v>
      </c>
      <c r="AE14" s="37">
        <f t="shared" si="4"/>
        <v>3848</v>
      </c>
    </row>
    <row r="15" spans="1:31" x14ac:dyDescent="0.25">
      <c r="B15" s="41">
        <f t="shared" si="1"/>
        <v>2034</v>
      </c>
      <c r="C15" s="214">
        <f t="shared" si="0"/>
        <v>338347.00719498657</v>
      </c>
      <c r="D15" s="198">
        <f>C15*(1+0.07)^-(B15-Assumptions!$D$4)</f>
        <v>122632.52601572771</v>
      </c>
      <c r="F15" s="38" t="s">
        <v>48</v>
      </c>
      <c r="G15" s="343">
        <v>5426</v>
      </c>
      <c r="H15" s="344">
        <v>7113</v>
      </c>
      <c r="J15" s="103"/>
      <c r="L15" s="46"/>
      <c r="M15" s="46"/>
      <c r="O15" s="46"/>
      <c r="P15" s="46"/>
      <c r="Q15" s="47"/>
      <c r="R15" s="47"/>
      <c r="S15" s="47"/>
      <c r="T15" s="47"/>
      <c r="U15" s="46"/>
      <c r="V15" s="46"/>
      <c r="W15" s="85"/>
      <c r="X15" s="85"/>
      <c r="Y15" s="85"/>
      <c r="Z15" s="85"/>
      <c r="AA15" s="46"/>
      <c r="AB15" s="46"/>
      <c r="AC15" s="46"/>
    </row>
    <row r="16" spans="1:31" x14ac:dyDescent="0.25">
      <c r="B16" s="41">
        <f t="shared" si="1"/>
        <v>2035</v>
      </c>
      <c r="C16" s="214">
        <f t="shared" si="0"/>
        <v>342446.0183413215</v>
      </c>
      <c r="D16" s="198">
        <f>C16*(1+0.07)^-(B16-Assumptions!$D$4)</f>
        <v>115998.31428989391</v>
      </c>
      <c r="G16" s="111"/>
      <c r="H16" s="84"/>
      <c r="I16" s="85"/>
      <c r="J16" s="103"/>
      <c r="L16" s="46"/>
      <c r="M16" s="46"/>
      <c r="O16" s="46"/>
      <c r="P16" s="46"/>
      <c r="Q16" s="47"/>
      <c r="R16" s="47"/>
      <c r="S16" s="47"/>
      <c r="T16" s="47"/>
      <c r="U16" s="46"/>
      <c r="V16" s="46"/>
      <c r="W16" s="85"/>
      <c r="X16" s="85"/>
      <c r="Y16" s="85"/>
      <c r="Z16" s="85"/>
      <c r="AA16" s="46"/>
      <c r="AB16" s="46"/>
      <c r="AC16" s="46"/>
    </row>
    <row r="17" spans="2:29" ht="17.25" x14ac:dyDescent="0.25">
      <c r="B17" s="41">
        <f t="shared" si="1"/>
        <v>2036</v>
      </c>
      <c r="C17" s="214">
        <f t="shared" si="0"/>
        <v>346545.0294876527</v>
      </c>
      <c r="D17" s="198">
        <f>C17*(1+0.07)^-(B17-Assumptions!$D$4)</f>
        <v>109707.28147842074</v>
      </c>
      <c r="F17" s="111" t="s">
        <v>216</v>
      </c>
      <c r="H17" s="84"/>
      <c r="I17" s="86"/>
      <c r="J17" s="86"/>
      <c r="L17" s="46"/>
      <c r="M17" s="46"/>
      <c r="O17" s="105"/>
      <c r="P17" s="46"/>
      <c r="Q17" s="46"/>
      <c r="R17" s="46"/>
      <c r="S17" s="46"/>
      <c r="T17" s="46"/>
      <c r="U17" s="46"/>
      <c r="V17" s="46"/>
      <c r="W17" s="131"/>
      <c r="X17" s="131"/>
      <c r="Y17" s="131"/>
      <c r="Z17" s="131"/>
      <c r="AA17" s="46"/>
      <c r="AB17" s="46"/>
      <c r="AC17" s="46"/>
    </row>
    <row r="18" spans="2:29" x14ac:dyDescent="0.25">
      <c r="B18" s="41">
        <f t="shared" si="1"/>
        <v>2037</v>
      </c>
      <c r="C18" s="214">
        <f t="shared" si="0"/>
        <v>350644.04063398391</v>
      </c>
      <c r="D18" s="198">
        <f>C18*(1+0.07)^-(B18-Assumptions!$D$4)</f>
        <v>103742.91909680012</v>
      </c>
      <c r="F18" s="38" t="s">
        <v>92</v>
      </c>
      <c r="G18" s="110" t="s">
        <v>59</v>
      </c>
      <c r="H18" s="110" t="s">
        <v>60</v>
      </c>
      <c r="I18" s="104" t="s">
        <v>61</v>
      </c>
      <c r="J18" s="110" t="s">
        <v>62</v>
      </c>
      <c r="K18" s="110" t="s">
        <v>63</v>
      </c>
      <c r="L18" s="46"/>
      <c r="M18" s="46"/>
      <c r="O18" s="105"/>
      <c r="P18" s="111"/>
      <c r="Q18" s="46"/>
      <c r="R18" s="46"/>
      <c r="S18" s="111"/>
      <c r="T18" s="46"/>
      <c r="U18" s="46"/>
      <c r="V18" s="46"/>
      <c r="W18" s="46"/>
      <c r="X18" s="46"/>
      <c r="Y18" s="46"/>
      <c r="Z18" s="46"/>
      <c r="AA18" s="46"/>
      <c r="AB18" s="46"/>
      <c r="AC18" s="46"/>
    </row>
    <row r="19" spans="2:29" x14ac:dyDescent="0.25">
      <c r="B19" s="41">
        <f t="shared" si="1"/>
        <v>2038</v>
      </c>
      <c r="C19" s="214">
        <f t="shared" si="0"/>
        <v>354743.05178031698</v>
      </c>
      <c r="D19" s="198">
        <f>C19*(1+0.07)^-(B19-Assumptions!$D$4)</f>
        <v>98089.409894953365</v>
      </c>
      <c r="F19" s="38" t="str">
        <f>F14</f>
        <v>No Build</v>
      </c>
      <c r="G19" s="108">
        <v>0.2</v>
      </c>
      <c r="H19" s="108">
        <v>0.2</v>
      </c>
      <c r="I19" s="108">
        <v>2.6</v>
      </c>
      <c r="J19" s="108">
        <v>4.2</v>
      </c>
      <c r="K19" s="108">
        <v>15.6</v>
      </c>
      <c r="L19" s="46"/>
      <c r="M19" s="46"/>
      <c r="N19" s="372">
        <f>SUM(G19:K19)</f>
        <v>22.8</v>
      </c>
      <c r="O19" s="372">
        <f>SUM(G19:H19)</f>
        <v>0.4</v>
      </c>
      <c r="P19" s="119"/>
      <c r="Q19" s="132"/>
      <c r="R19" s="46"/>
      <c r="S19" s="51"/>
      <c r="T19" s="46"/>
      <c r="U19" s="46"/>
      <c r="V19" s="46"/>
      <c r="W19" s="46"/>
      <c r="X19" s="46"/>
      <c r="Y19" s="46"/>
      <c r="Z19" s="46"/>
      <c r="AA19" s="46"/>
      <c r="AB19" s="46"/>
      <c r="AC19" s="46"/>
    </row>
    <row r="20" spans="2:29" x14ac:dyDescent="0.25">
      <c r="B20" s="41">
        <f t="shared" si="1"/>
        <v>2039</v>
      </c>
      <c r="C20" s="214">
        <f t="shared" si="0"/>
        <v>358842.06292664818</v>
      </c>
      <c r="D20" s="198">
        <f>C20*(1+0.07)^-(B20-Assumptions!$D$4)</f>
        <v>92731.608069175942</v>
      </c>
      <c r="F20" s="38" t="str">
        <f>F15</f>
        <v>Build</v>
      </c>
      <c r="G20" s="108">
        <f>G24*G19</f>
        <v>0.11599999999999999</v>
      </c>
      <c r="H20" s="108">
        <f>H24*H19</f>
        <v>8.6000000000000007E-2</v>
      </c>
      <c r="I20" s="108">
        <f>I24*I19</f>
        <v>1.1180000000000001</v>
      </c>
      <c r="J20" s="108">
        <f>J24*J19</f>
        <v>1.806</v>
      </c>
      <c r="K20" s="108">
        <f>K24*K19</f>
        <v>9.984</v>
      </c>
      <c r="L20" s="46"/>
      <c r="M20" s="52"/>
      <c r="N20" s="372">
        <f>SUM(G20:K20)</f>
        <v>13.11</v>
      </c>
      <c r="O20" s="372">
        <f>SUM(G20:H20)</f>
        <v>0.20200000000000001</v>
      </c>
      <c r="Q20" s="132"/>
      <c r="R20" s="46"/>
      <c r="S20" s="51"/>
      <c r="T20" s="46"/>
      <c r="U20" s="46"/>
      <c r="V20" s="46"/>
      <c r="W20" s="46"/>
      <c r="X20" s="46"/>
      <c r="Y20" s="46"/>
      <c r="Z20" s="46"/>
      <c r="AA20" s="46"/>
      <c r="AB20" s="46"/>
      <c r="AC20" s="46"/>
    </row>
    <row r="21" spans="2:29" x14ac:dyDescent="0.25">
      <c r="B21" s="41">
        <f t="shared" si="1"/>
        <v>2040</v>
      </c>
      <c r="C21" s="214">
        <f t="shared" si="0"/>
        <v>362941.07407298312</v>
      </c>
      <c r="D21" s="198">
        <f>C21*(1+0.07)^-(B21-Assumptions!$D$4)</f>
        <v>87655.019104798834</v>
      </c>
      <c r="G21" s="83"/>
      <c r="H21" s="83"/>
      <c r="I21" s="49"/>
      <c r="J21" s="86"/>
      <c r="K21" s="46"/>
      <c r="L21" s="46"/>
      <c r="N21" s="46">
        <f>(N19-N20)/N19</f>
        <v>0.42500000000000004</v>
      </c>
      <c r="O21" s="46">
        <f>(O19-O20)/O19</f>
        <v>0.495</v>
      </c>
      <c r="P21" s="46"/>
      <c r="Q21" s="46"/>
      <c r="R21" s="133"/>
      <c r="S21" s="46"/>
      <c r="T21" s="46"/>
      <c r="U21" s="46"/>
      <c r="V21" s="46"/>
      <c r="W21" s="46"/>
      <c r="X21" s="46"/>
      <c r="Y21" s="46"/>
      <c r="Z21" s="46"/>
      <c r="AA21" s="46"/>
      <c r="AB21" s="46"/>
    </row>
    <row r="22" spans="2:29" ht="17.25" x14ac:dyDescent="0.25">
      <c r="B22" s="41">
        <f t="shared" si="1"/>
        <v>2041</v>
      </c>
      <c r="C22" s="214">
        <f t="shared" si="0"/>
        <v>367040.08521931432</v>
      </c>
      <c r="D22" s="198">
        <f>C22*(1+0.07)^-(B22-Assumptions!$D$4)</f>
        <v>82845.779382559689</v>
      </c>
      <c r="F22" s="49" t="s">
        <v>219</v>
      </c>
      <c r="G22" s="46"/>
      <c r="H22" s="102"/>
      <c r="I22" s="86"/>
      <c r="J22" s="46"/>
      <c r="K22" s="46"/>
      <c r="L22" s="46"/>
      <c r="N22" s="46"/>
      <c r="O22" s="49"/>
      <c r="P22" s="46"/>
      <c r="Q22" s="46"/>
      <c r="R22" s="46"/>
      <c r="S22" s="46"/>
      <c r="T22" s="46"/>
      <c r="U22" s="46"/>
      <c r="V22" s="46"/>
      <c r="W22" s="46"/>
      <c r="X22" s="46"/>
      <c r="Y22" s="46"/>
      <c r="Z22" s="46"/>
      <c r="AA22" s="46"/>
      <c r="AB22" s="46"/>
    </row>
    <row r="23" spans="2:29" x14ac:dyDescent="0.25">
      <c r="B23" s="41">
        <f t="shared" si="1"/>
        <v>2042</v>
      </c>
      <c r="C23" s="214">
        <f t="shared" si="0"/>
        <v>371139.09636564925</v>
      </c>
      <c r="D23" s="198">
        <f>C23*(1+0.07)^-(B23-Assumptions!$D$4)</f>
        <v>78290.635665892056</v>
      </c>
      <c r="F23" s="38" t="s">
        <v>222</v>
      </c>
      <c r="G23" s="110" t="s">
        <v>59</v>
      </c>
      <c r="H23" s="110" t="s">
        <v>60</v>
      </c>
      <c r="I23" s="104" t="s">
        <v>61</v>
      </c>
      <c r="J23" s="110" t="s">
        <v>62</v>
      </c>
      <c r="K23" s="110" t="s">
        <v>63</v>
      </c>
      <c r="L23" s="46"/>
      <c r="M23" s="46"/>
      <c r="O23" s="46"/>
      <c r="P23" s="46"/>
      <c r="Q23" s="134"/>
      <c r="R23" s="46"/>
      <c r="S23" s="135"/>
      <c r="T23" s="46"/>
      <c r="U23" s="46"/>
      <c r="V23" s="46"/>
      <c r="W23" s="46"/>
      <c r="X23" s="46"/>
      <c r="Y23" s="46"/>
      <c r="Z23" s="46"/>
      <c r="AA23" s="46"/>
      <c r="AB23" s="46"/>
      <c r="AC23" s="46"/>
    </row>
    <row r="24" spans="2:29" x14ac:dyDescent="0.25">
      <c r="B24" s="41">
        <f t="shared" si="1"/>
        <v>2043</v>
      </c>
      <c r="C24" s="214">
        <f t="shared" si="0"/>
        <v>375238.10751198046</v>
      </c>
      <c r="D24" s="198">
        <f>C24*(1+0.07)^-(B24-Assumptions!$D$4)</f>
        <v>73976.924571969997</v>
      </c>
      <c r="F24" s="38" t="s">
        <v>223</v>
      </c>
      <c r="G24" s="110">
        <v>0.57999999999999996</v>
      </c>
      <c r="H24" s="110">
        <v>0.43</v>
      </c>
      <c r="I24" s="110">
        <v>0.43</v>
      </c>
      <c r="J24" s="110">
        <v>0.43</v>
      </c>
      <c r="K24" s="110">
        <v>0.64</v>
      </c>
      <c r="L24" s="46"/>
      <c r="M24" s="46"/>
      <c r="O24" s="46"/>
      <c r="P24" s="46"/>
      <c r="Q24" s="134"/>
      <c r="R24" s="46"/>
      <c r="S24" s="135"/>
      <c r="T24" s="46"/>
      <c r="U24" s="46"/>
      <c r="V24" s="46"/>
      <c r="W24" s="46"/>
      <c r="X24" s="46"/>
      <c r="Y24" s="46"/>
      <c r="Z24" s="46"/>
      <c r="AA24" s="46"/>
      <c r="AB24" s="46"/>
      <c r="AC24" s="46"/>
    </row>
    <row r="25" spans="2:29" x14ac:dyDescent="0.25">
      <c r="B25" s="41">
        <f t="shared" si="1"/>
        <v>2044</v>
      </c>
      <c r="C25" s="214">
        <f t="shared" si="0"/>
        <v>379337.11865831167</v>
      </c>
      <c r="D25" s="198">
        <f>C25*(1+0.07)^-(B25-Assumptions!$D$4)</f>
        <v>69892.552116450126</v>
      </c>
      <c r="L25" s="46"/>
      <c r="N25" s="46"/>
      <c r="O25" s="46"/>
      <c r="P25" s="46"/>
      <c r="Q25" s="46"/>
      <c r="R25" s="46"/>
      <c r="S25" s="46"/>
      <c r="T25" s="46"/>
      <c r="U25" s="46"/>
      <c r="V25" s="46"/>
      <c r="W25" s="46"/>
      <c r="X25" s="46"/>
      <c r="Y25" s="46"/>
      <c r="Z25" s="46"/>
      <c r="AA25" s="46"/>
      <c r="AB25" s="46"/>
    </row>
    <row r="26" spans="2:29" ht="17.25" x14ac:dyDescent="0.25">
      <c r="B26" s="41">
        <f t="shared" si="1"/>
        <v>2045</v>
      </c>
      <c r="C26" s="214">
        <f t="shared" si="0"/>
        <v>383436.12980464473</v>
      </c>
      <c r="D26" s="198">
        <f>C26*(1+0.07)^-(B26-Assumptions!$D$4)</f>
        <v>66025.973410108869</v>
      </c>
      <c r="F26" s="111" t="s">
        <v>221</v>
      </c>
      <c r="H26" s="84"/>
      <c r="I26" s="86"/>
      <c r="J26" s="86"/>
      <c r="L26" s="46"/>
      <c r="N26" s="46"/>
      <c r="O26" s="46"/>
      <c r="P26" s="46"/>
      <c r="Q26" s="46"/>
      <c r="R26" s="46"/>
      <c r="S26" s="46"/>
      <c r="T26" s="46"/>
      <c r="U26" s="46"/>
      <c r="V26" s="46"/>
      <c r="W26" s="46"/>
      <c r="X26" s="46"/>
      <c r="Y26" s="46"/>
      <c r="Z26" s="46"/>
      <c r="AA26" s="46"/>
      <c r="AB26" s="46"/>
    </row>
    <row r="27" spans="2:29" x14ac:dyDescent="0.25">
      <c r="B27" s="41">
        <f t="shared" si="1"/>
        <v>2046</v>
      </c>
      <c r="C27" s="214">
        <f t="shared" si="0"/>
        <v>387535.14095097594</v>
      </c>
      <c r="D27" s="198">
        <f>C27*(1+0.07)^-(B27-Assumptions!$D$4)</f>
        <v>62366.172575056771</v>
      </c>
      <c r="E27" s="63"/>
      <c r="F27" s="38" t="s">
        <v>92</v>
      </c>
      <c r="G27" s="110" t="s">
        <v>59</v>
      </c>
      <c r="H27" s="110" t="s">
        <v>60</v>
      </c>
      <c r="I27" s="104" t="s">
        <v>61</v>
      </c>
      <c r="J27" s="110" t="s">
        <v>62</v>
      </c>
      <c r="K27" s="110" t="s">
        <v>63</v>
      </c>
      <c r="N27" s="46"/>
      <c r="O27" s="46"/>
      <c r="P27" s="46"/>
      <c r="Q27" s="46"/>
      <c r="R27" s="46"/>
      <c r="S27" s="46"/>
      <c r="T27" s="46"/>
      <c r="U27" s="46"/>
      <c r="V27" s="46"/>
      <c r="W27" s="46"/>
      <c r="X27" s="46"/>
      <c r="Y27" s="46"/>
      <c r="Z27" s="46"/>
      <c r="AA27" s="46"/>
      <c r="AB27" s="46"/>
    </row>
    <row r="28" spans="2:29" x14ac:dyDescent="0.25">
      <c r="B28" s="41">
        <f t="shared" si="1"/>
        <v>2047</v>
      </c>
      <c r="C28" s="214">
        <f t="shared" si="0"/>
        <v>391634.15209731087</v>
      </c>
      <c r="D28" s="198">
        <f>C28*(1+0.07)^-(B28-Assumptions!$D$4)</f>
        <v>58902.642938696205</v>
      </c>
      <c r="F28" s="38" t="str">
        <f>F19</f>
        <v>No Build</v>
      </c>
      <c r="G28" s="108">
        <f>($H$14/$G$14)*G$19</f>
        <v>0.26218208625138223</v>
      </c>
      <c r="H28" s="108">
        <f>($H$14/$G$14)*H$19</f>
        <v>0.26218208625138223</v>
      </c>
      <c r="I28" s="108">
        <f>($H$14/$G$14)*I$19</f>
        <v>3.4083671212679691</v>
      </c>
      <c r="J28" s="108">
        <f>($H$14/$G$14)*J$19</f>
        <v>5.5058238112790265</v>
      </c>
      <c r="K28" s="108">
        <f>($H$14/$G$14)*K$19</f>
        <v>20.450202727607813</v>
      </c>
      <c r="L28" s="46"/>
      <c r="M28" s="105"/>
      <c r="N28" s="105"/>
      <c r="O28" s="46"/>
      <c r="P28" s="46"/>
      <c r="Q28" s="46"/>
      <c r="R28" s="46"/>
      <c r="S28" s="46"/>
      <c r="T28" s="46"/>
      <c r="U28" s="46"/>
      <c r="V28" s="46"/>
      <c r="W28" s="46"/>
      <c r="X28" s="46"/>
      <c r="Y28" s="46"/>
      <c r="Z28" s="46"/>
      <c r="AA28" s="46"/>
      <c r="AB28" s="46"/>
    </row>
    <row r="29" spans="2:29" x14ac:dyDescent="0.25">
      <c r="B29" s="41">
        <f t="shared" si="1"/>
        <v>2048</v>
      </c>
      <c r="C29" s="214">
        <f t="shared" si="0"/>
        <v>395733.16324364208</v>
      </c>
      <c r="D29" s="198">
        <f>C29*(1+0.07)^-(B29-Assumptions!$D$4)</f>
        <v>55625.367555028817</v>
      </c>
      <c r="F29" s="38" t="str">
        <f>F15</f>
        <v>Build</v>
      </c>
      <c r="G29" s="108">
        <f>($H$15/$G$15)*G$20</f>
        <v>0.15206561002580168</v>
      </c>
      <c r="H29" s="108">
        <f>($H$15/$G$15)*H$20</f>
        <v>0.11273829708809437</v>
      </c>
      <c r="I29" s="108">
        <f>($H$15/$G$15)*I$20</f>
        <v>1.4655978621452268</v>
      </c>
      <c r="J29" s="108">
        <f>($H$15/$G$15)*J$20</f>
        <v>2.3675042388499814</v>
      </c>
      <c r="K29" s="108">
        <f>($H$15/$G$15)*K$20</f>
        <v>13.088129745669001</v>
      </c>
      <c r="M29" s="84"/>
      <c r="O29" s="105"/>
      <c r="P29" s="46"/>
      <c r="Q29" s="46"/>
      <c r="R29" s="46"/>
      <c r="S29" s="46"/>
      <c r="T29" s="46"/>
      <c r="U29" s="46"/>
      <c r="V29" s="46"/>
      <c r="W29" s="46"/>
      <c r="X29" s="46"/>
      <c r="Y29" s="46"/>
      <c r="Z29" s="46"/>
      <c r="AA29" s="46"/>
      <c r="AB29" s="46"/>
      <c r="AC29" s="46"/>
    </row>
    <row r="30" spans="2:29" ht="15" customHeight="1" x14ac:dyDescent="0.25">
      <c r="B30" s="41">
        <f t="shared" si="1"/>
        <v>2049</v>
      </c>
      <c r="C30" s="214">
        <f t="shared" si="0"/>
        <v>399832.17438997328</v>
      </c>
      <c r="D30" s="198">
        <f>C30*(1+0.07)^-(B30-Assumptions!$D$4)</f>
        <v>52524.800095262006</v>
      </c>
      <c r="L30" s="105"/>
      <c r="M30" s="107"/>
      <c r="O30" s="46"/>
      <c r="P30" s="105"/>
      <c r="Q30" s="105"/>
      <c r="R30" s="46"/>
      <c r="S30" s="46"/>
      <c r="T30" s="46"/>
      <c r="U30" s="46"/>
      <c r="V30" s="46"/>
      <c r="W30" s="46"/>
      <c r="X30" s="46"/>
      <c r="Y30" s="46"/>
      <c r="Z30" s="46"/>
      <c r="AA30" s="46"/>
      <c r="AB30" s="46"/>
      <c r="AC30" s="46"/>
    </row>
    <row r="31" spans="2:29" ht="15.75" customHeight="1" x14ac:dyDescent="0.25">
      <c r="B31" s="41">
        <f t="shared" si="1"/>
        <v>2050</v>
      </c>
      <c r="C31" s="214">
        <f t="shared" si="0"/>
        <v>403931.18553630821</v>
      </c>
      <c r="D31" s="198">
        <f>C31*(1+0.07)^-(B31-Assumptions!$D$4)</f>
        <v>49591.846142748167</v>
      </c>
      <c r="E31" s="286"/>
      <c r="F31" s="138" t="s">
        <v>224</v>
      </c>
      <c r="K31" s="109"/>
      <c r="L31" s="105"/>
      <c r="M31" s="107"/>
      <c r="P31" s="52"/>
      <c r="Q31" s="52"/>
    </row>
    <row r="32" spans="2:29" ht="15" customHeight="1" x14ac:dyDescent="0.25">
      <c r="B32" s="41">
        <f t="shared" si="1"/>
        <v>2051</v>
      </c>
      <c r="C32" s="214">
        <f t="shared" si="0"/>
        <v>408030.19668263942</v>
      </c>
      <c r="D32" s="198">
        <f>C32*(1+0.07)^-(B32-Assumptions!$D$4)</f>
        <v>46817.844921144737</v>
      </c>
      <c r="E32" s="286"/>
      <c r="F32" s="224" t="s">
        <v>59</v>
      </c>
      <c r="G32" s="224" t="s">
        <v>60</v>
      </c>
      <c r="H32" s="224" t="s">
        <v>61</v>
      </c>
      <c r="I32" s="224" t="s">
        <v>62</v>
      </c>
      <c r="J32" s="224" t="s">
        <v>63</v>
      </c>
      <c r="L32" s="84"/>
      <c r="M32" s="107"/>
      <c r="S32" s="106"/>
      <c r="T32" s="106"/>
      <c r="U32" s="130"/>
      <c r="V32" s="106"/>
      <c r="W32" s="106"/>
      <c r="X32" s="106"/>
      <c r="Y32" s="107"/>
    </row>
    <row r="33" spans="1:25" ht="15" customHeight="1" x14ac:dyDescent="0.25">
      <c r="B33" s="41">
        <f t="shared" si="1"/>
        <v>2052</v>
      </c>
      <c r="C33" s="214">
        <f t="shared" si="0"/>
        <v>412129.20782897249</v>
      </c>
      <c r="D33" s="198">
        <f>C33*(1+0.07)^-(B33-Assumptions!$D$4)</f>
        <v>44194.551479170048</v>
      </c>
      <c r="E33" s="286"/>
      <c r="F33" s="252">
        <v>10900000</v>
      </c>
      <c r="G33" s="252">
        <v>521300</v>
      </c>
      <c r="H33" s="252">
        <v>142000</v>
      </c>
      <c r="I33" s="252">
        <v>72500</v>
      </c>
      <c r="J33" s="252">
        <v>4500</v>
      </c>
      <c r="L33" s="141"/>
      <c r="M33" s="107"/>
      <c r="S33" s="106"/>
      <c r="T33" s="106"/>
      <c r="U33" s="106"/>
      <c r="V33" s="106"/>
      <c r="W33" s="106"/>
      <c r="X33" s="106"/>
      <c r="Y33" s="107"/>
    </row>
    <row r="34" spans="1:25" ht="15" customHeight="1" x14ac:dyDescent="0.25">
      <c r="B34" s="41">
        <f t="shared" si="1"/>
        <v>2053</v>
      </c>
      <c r="C34" s="214">
        <f t="shared" si="0"/>
        <v>416228.21897530369</v>
      </c>
      <c r="D34" s="198">
        <f>C34*(1+0.07)^-(B34-Assumptions!$D$4)</f>
        <v>41714.119350405243</v>
      </c>
      <c r="E34" s="286"/>
      <c r="F34" s="84"/>
      <c r="G34" s="136"/>
      <c r="H34" s="103"/>
      <c r="I34" s="86"/>
      <c r="J34" s="46"/>
      <c r="K34" s="46"/>
      <c r="L34" s="141"/>
    </row>
    <row r="35" spans="1:25" ht="15" customHeight="1" x14ac:dyDescent="0.25">
      <c r="B35" s="41">
        <f t="shared" si="1"/>
        <v>2054</v>
      </c>
      <c r="C35" s="214">
        <f t="shared" si="0"/>
        <v>420327.2301216349</v>
      </c>
      <c r="D35" s="198">
        <f>C35*(1+0.07)^-(B35-Assumptions!$D$4)</f>
        <v>39369.083702242249</v>
      </c>
      <c r="E35" s="286"/>
      <c r="F35" s="138" t="s">
        <v>151</v>
      </c>
      <c r="L35" s="141"/>
    </row>
    <row r="36" spans="1:25" ht="15" customHeight="1" thickBot="1" x14ac:dyDescent="0.3">
      <c r="B36" s="42">
        <f t="shared" si="1"/>
        <v>2055</v>
      </c>
      <c r="C36" s="215">
        <f t="shared" si="0"/>
        <v>424426.24126796983</v>
      </c>
      <c r="D36" s="200">
        <f>C36*(1+0.07)^-(B36-Assumptions!$D$4)</f>
        <v>37152.344984185132</v>
      </c>
      <c r="E36" s="286"/>
      <c r="F36" s="38" t="s">
        <v>92</v>
      </c>
      <c r="G36" s="79">
        <v>2019</v>
      </c>
      <c r="H36" s="79">
        <v>2040</v>
      </c>
      <c r="L36" s="141"/>
    </row>
    <row r="37" spans="1:25" ht="15" customHeight="1" thickBot="1" x14ac:dyDescent="0.3">
      <c r="B37" s="43"/>
      <c r="C37" s="148" t="s">
        <v>2</v>
      </c>
      <c r="D37" s="137">
        <f>SUM(D7:D36)</f>
        <v>2856947.8924847897</v>
      </c>
      <c r="E37" s="144"/>
      <c r="F37" s="38" t="str">
        <f>F28</f>
        <v>No Build</v>
      </c>
      <c r="G37" s="252">
        <f>SUMPRODUCT(G19:K19,F33:J33)/5</f>
        <v>605632</v>
      </c>
      <c r="H37" s="252">
        <f>SUMPRODUCT(G28:K28,F33:J33)/5</f>
        <v>793929.30630298553</v>
      </c>
      <c r="L37" s="141"/>
    </row>
    <row r="38" spans="1:25" ht="15" customHeight="1" x14ac:dyDescent="0.25">
      <c r="E38" s="48"/>
      <c r="F38" s="38" t="str">
        <f>F29</f>
        <v>Build</v>
      </c>
      <c r="G38" s="252">
        <f>SUMPRODUCT(G20:K20,F33:J33)/5</f>
        <v>328770.16000000003</v>
      </c>
      <c r="H38" s="252">
        <f>SUMPRODUCT(G29:K29,F33:J33)/5</f>
        <v>430988.23223000375</v>
      </c>
    </row>
    <row r="39" spans="1:25" ht="26.25" thickBot="1" x14ac:dyDescent="0.3">
      <c r="E39" s="48"/>
      <c r="N39" s="370" t="s">
        <v>175</v>
      </c>
      <c r="O39" s="370" t="s">
        <v>176</v>
      </c>
      <c r="P39" s="370" t="s">
        <v>177</v>
      </c>
      <c r="Q39" s="371" t="s">
        <v>178</v>
      </c>
    </row>
    <row r="40" spans="1:25" x14ac:dyDescent="0.25">
      <c r="E40" s="48"/>
      <c r="N40" s="375">
        <f>MROUND(G37,1000)</f>
        <v>606000</v>
      </c>
      <c r="O40" s="373">
        <f>N21</f>
        <v>0.42500000000000004</v>
      </c>
      <c r="P40" s="373">
        <f>O21</f>
        <v>0.495</v>
      </c>
      <c r="Q40" s="374">
        <f>MROUND(G37-G38,1000)</f>
        <v>277000</v>
      </c>
    </row>
    <row r="41" spans="1:25" ht="15" customHeight="1" x14ac:dyDescent="0.25">
      <c r="B41" s="40" t="s">
        <v>3</v>
      </c>
      <c r="E41" s="48"/>
    </row>
    <row r="42" spans="1:25" ht="15" customHeight="1" x14ac:dyDescent="0.25">
      <c r="A42" s="44" t="s">
        <v>57</v>
      </c>
      <c r="B42" s="484" t="s">
        <v>264</v>
      </c>
      <c r="C42" s="484"/>
      <c r="D42" s="484"/>
      <c r="E42" s="48"/>
    </row>
    <row r="43" spans="1:25" ht="15" customHeight="1" x14ac:dyDescent="0.25">
      <c r="A43" s="44"/>
      <c r="B43" s="484"/>
      <c r="C43" s="484"/>
      <c r="D43" s="484"/>
      <c r="E43" s="48"/>
    </row>
    <row r="44" spans="1:25" ht="15" customHeight="1" x14ac:dyDescent="0.25">
      <c r="A44" s="44"/>
      <c r="B44" s="484"/>
      <c r="C44" s="484"/>
      <c r="D44" s="484"/>
      <c r="E44" s="48"/>
    </row>
    <row r="45" spans="1:25" ht="15" customHeight="1" x14ac:dyDescent="0.25">
      <c r="B45" s="484"/>
      <c r="C45" s="484"/>
      <c r="D45" s="484"/>
      <c r="E45" s="48"/>
      <c r="F45" s="144"/>
      <c r="G45" s="141"/>
      <c r="H45" s="141"/>
      <c r="I45" s="141"/>
      <c r="J45" s="141"/>
      <c r="K45" s="141"/>
      <c r="L45" s="141"/>
    </row>
    <row r="46" spans="1:25" x14ac:dyDescent="0.25">
      <c r="B46" s="80"/>
      <c r="C46" s="39"/>
      <c r="D46" s="39"/>
      <c r="E46" s="88"/>
    </row>
    <row r="47" spans="1:25" x14ac:dyDescent="0.25">
      <c r="A47" s="44" t="s">
        <v>71</v>
      </c>
      <c r="B47" s="459" t="s">
        <v>217</v>
      </c>
      <c r="C47" s="459"/>
      <c r="D47" s="459"/>
      <c r="E47" s="88"/>
      <c r="F47" s="143"/>
      <c r="G47" s="142"/>
      <c r="H47" s="142"/>
      <c r="I47" s="142"/>
      <c r="J47" s="142"/>
      <c r="K47" s="142"/>
      <c r="L47" s="142"/>
    </row>
    <row r="48" spans="1:25" ht="15" customHeight="1" x14ac:dyDescent="0.25">
      <c r="B48" s="459"/>
      <c r="C48" s="459"/>
      <c r="D48" s="459"/>
      <c r="E48" s="143"/>
      <c r="F48" s="143"/>
      <c r="G48" s="142"/>
      <c r="H48" s="142"/>
      <c r="I48" s="142"/>
      <c r="J48" s="142"/>
      <c r="K48" s="142"/>
      <c r="L48" s="142"/>
    </row>
    <row r="49" spans="1:23" ht="15" customHeight="1" x14ac:dyDescent="0.25">
      <c r="B49" s="459"/>
      <c r="C49" s="459"/>
      <c r="D49" s="459"/>
      <c r="E49" s="88"/>
      <c r="F49" s="88"/>
      <c r="G49" s="88"/>
      <c r="H49" s="88"/>
      <c r="I49" s="88"/>
      <c r="J49" s="88"/>
      <c r="K49" s="88"/>
      <c r="L49" s="88"/>
    </row>
    <row r="50" spans="1:23" x14ac:dyDescent="0.25">
      <c r="B50" s="459"/>
      <c r="C50" s="459"/>
      <c r="D50" s="459"/>
      <c r="E50" s="88"/>
      <c r="F50" s="143"/>
      <c r="G50" s="142"/>
      <c r="H50" s="142"/>
      <c r="I50" s="142"/>
      <c r="J50" s="142"/>
      <c r="K50" s="142"/>
      <c r="L50" s="142"/>
    </row>
    <row r="51" spans="1:23" x14ac:dyDescent="0.25">
      <c r="B51" s="80"/>
      <c r="C51" s="39"/>
      <c r="D51" s="39"/>
      <c r="E51" s="143"/>
      <c r="F51" s="143"/>
    </row>
    <row r="52" spans="1:23" x14ac:dyDescent="0.25">
      <c r="A52" s="44" t="s">
        <v>72</v>
      </c>
      <c r="B52" s="483" t="s">
        <v>265</v>
      </c>
      <c r="C52" s="483"/>
      <c r="D52" s="483"/>
      <c r="E52" s="143"/>
      <c r="F52" s="143"/>
    </row>
    <row r="53" spans="1:23" x14ac:dyDescent="0.25">
      <c r="A53" s="44"/>
      <c r="B53" s="483"/>
      <c r="C53" s="483"/>
      <c r="D53" s="483"/>
      <c r="E53" s="419"/>
      <c r="F53" s="419"/>
    </row>
    <row r="54" spans="1:23" x14ac:dyDescent="0.25">
      <c r="B54" s="483"/>
      <c r="C54" s="483"/>
      <c r="D54" s="483"/>
    </row>
    <row r="55" spans="1:23" x14ac:dyDescent="0.25">
      <c r="B55" s="483"/>
      <c r="C55" s="483"/>
      <c r="D55" s="483"/>
    </row>
    <row r="56" spans="1:23" x14ac:dyDescent="0.25">
      <c r="A56" s="44"/>
      <c r="C56" s="88"/>
      <c r="D56" s="88"/>
    </row>
    <row r="57" spans="1:23" x14ac:dyDescent="0.25">
      <c r="A57" s="44" t="s">
        <v>73</v>
      </c>
      <c r="B57" s="483" t="s">
        <v>218</v>
      </c>
      <c r="C57" s="483"/>
      <c r="D57" s="483"/>
    </row>
    <row r="58" spans="1:23" ht="15" customHeight="1" x14ac:dyDescent="0.25">
      <c r="B58" s="483"/>
      <c r="C58" s="483"/>
      <c r="D58" s="483"/>
      <c r="W58" s="52"/>
    </row>
    <row r="59" spans="1:23" x14ac:dyDescent="0.25">
      <c r="B59" s="483"/>
      <c r="C59" s="483"/>
      <c r="D59" s="483"/>
      <c r="W59" s="52"/>
    </row>
    <row r="60" spans="1:23" x14ac:dyDescent="0.25">
      <c r="B60" s="483"/>
      <c r="C60" s="483"/>
      <c r="D60" s="483"/>
    </row>
    <row r="61" spans="1:23" ht="15" customHeight="1" x14ac:dyDescent="0.25">
      <c r="B61" s="483"/>
      <c r="C61" s="483"/>
      <c r="D61" s="483"/>
    </row>
    <row r="62" spans="1:23" x14ac:dyDescent="0.25">
      <c r="B62" s="80"/>
    </row>
    <row r="63" spans="1:23" x14ac:dyDescent="0.25">
      <c r="B63" s="81"/>
    </row>
    <row r="64" spans="1:23" x14ac:dyDescent="0.25">
      <c r="A64" s="44"/>
      <c r="B64" s="80"/>
    </row>
    <row r="65" spans="1:2" ht="15" customHeight="1" x14ac:dyDescent="0.25">
      <c r="B65" s="80"/>
    </row>
    <row r="66" spans="1:2" ht="15" customHeight="1" x14ac:dyDescent="0.25">
      <c r="B66" s="80"/>
    </row>
    <row r="67" spans="1:2" x14ac:dyDescent="0.25">
      <c r="B67" s="80"/>
    </row>
    <row r="68" spans="1:2" x14ac:dyDescent="0.25">
      <c r="B68" s="80"/>
    </row>
    <row r="69" spans="1:2" x14ac:dyDescent="0.25">
      <c r="B69" s="48"/>
    </row>
    <row r="70" spans="1:2" ht="15" customHeight="1" x14ac:dyDescent="0.25">
      <c r="B70" s="48"/>
    </row>
    <row r="71" spans="1:2" x14ac:dyDescent="0.25">
      <c r="B71" s="48"/>
    </row>
    <row r="72" spans="1:2" ht="15" customHeight="1" x14ac:dyDescent="0.25">
      <c r="A72" s="44"/>
      <c r="B72" s="48"/>
    </row>
    <row r="73" spans="1:2" x14ac:dyDescent="0.25">
      <c r="B73" s="48"/>
    </row>
    <row r="74" spans="1:2" x14ac:dyDescent="0.25">
      <c r="B74" s="48"/>
    </row>
    <row r="75" spans="1:2" x14ac:dyDescent="0.25">
      <c r="B75" s="48"/>
    </row>
    <row r="76" spans="1:2" x14ac:dyDescent="0.25">
      <c r="B76" s="48"/>
    </row>
    <row r="77" spans="1:2" x14ac:dyDescent="0.25">
      <c r="A77" s="44"/>
      <c r="B77" s="48"/>
    </row>
    <row r="79" spans="1:2" x14ac:dyDescent="0.25">
      <c r="B79" s="48"/>
    </row>
    <row r="80" spans="1:2" x14ac:dyDescent="0.25">
      <c r="A80" s="44"/>
      <c r="B80" s="48"/>
    </row>
    <row r="81" spans="1:2" x14ac:dyDescent="0.25">
      <c r="B81" s="48"/>
    </row>
    <row r="85" spans="1:2" x14ac:dyDescent="0.25">
      <c r="A85" s="44"/>
    </row>
    <row r="89" spans="1:2" x14ac:dyDescent="0.25">
      <c r="A89" s="44"/>
    </row>
    <row r="91" spans="1:2" x14ac:dyDescent="0.25">
      <c r="A91" s="44"/>
    </row>
    <row r="95" spans="1:2" x14ac:dyDescent="0.25">
      <c r="A95" s="44"/>
    </row>
  </sheetData>
  <mergeCells count="11">
    <mergeCell ref="G7:H7"/>
    <mergeCell ref="I7:J7"/>
    <mergeCell ref="C5:C6"/>
    <mergeCell ref="D5:D6"/>
    <mergeCell ref="B5:B6"/>
    <mergeCell ref="Q11:Q12"/>
    <mergeCell ref="Q13:Q14"/>
    <mergeCell ref="B57:D61"/>
    <mergeCell ref="B52:D55"/>
    <mergeCell ref="B47:D50"/>
    <mergeCell ref="B42:D45"/>
  </mergeCells>
  <pageMargins left="0.25" right="0.25" top="0.75" bottom="0.75" header="0.3" footer="0.3"/>
  <pageSetup paperSize="3"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3525-ABFD-44DC-BBD2-D07898DFA8D7}">
  <sheetPr>
    <tabColor rgb="FF00B050"/>
    <pageSetUpPr fitToPage="1"/>
  </sheetPr>
  <dimension ref="A1:AE79"/>
  <sheetViews>
    <sheetView view="pageBreakPreview" zoomScale="85" zoomScaleNormal="85" zoomScaleSheetLayoutView="85" workbookViewId="0">
      <selection activeCell="H11" sqref="H11"/>
    </sheetView>
  </sheetViews>
  <sheetFormatPr defaultRowHeight="15" x14ac:dyDescent="0.25"/>
  <cols>
    <col min="1" max="1" width="9.140625" style="147"/>
    <col min="2" max="3" width="15.7109375" style="147" customWidth="1"/>
    <col min="4" max="5" width="18.5703125" style="147" customWidth="1"/>
    <col min="6" max="15" width="15.7109375" style="147" customWidth="1"/>
    <col min="16" max="16" width="17.7109375" style="147" customWidth="1"/>
    <col min="17" max="17" width="15.7109375" style="147" customWidth="1"/>
    <col min="18" max="22" width="15.42578125" style="147" customWidth="1"/>
    <col min="23" max="23" width="21.85546875" style="147" customWidth="1"/>
    <col min="24" max="24" width="15.7109375" style="147" customWidth="1"/>
    <col min="25" max="25" width="12.28515625" style="147" customWidth="1"/>
    <col min="26" max="26" width="19.140625" style="147" customWidth="1"/>
    <col min="27" max="27" width="13.85546875" style="147" customWidth="1"/>
    <col min="28" max="31" width="13.140625" style="147" customWidth="1"/>
    <col min="32" max="16384" width="9.140625" style="147"/>
  </cols>
  <sheetData>
    <row r="1" spans="2:31" ht="15.75" thickBot="1" x14ac:dyDescent="0.3">
      <c r="B1" s="12" t="s">
        <v>107</v>
      </c>
      <c r="C1" s="12"/>
      <c r="D1" s="12"/>
      <c r="E1" s="12"/>
    </row>
    <row r="2" spans="2:31" ht="15.75" thickBot="1" x14ac:dyDescent="0.3">
      <c r="C2" s="492" t="s">
        <v>153</v>
      </c>
      <c r="D2" s="493"/>
      <c r="E2" s="494"/>
      <c r="F2" s="509" t="s">
        <v>154</v>
      </c>
      <c r="G2" s="510"/>
      <c r="H2" s="510"/>
      <c r="I2" s="510"/>
      <c r="J2" s="510"/>
      <c r="K2" s="510"/>
      <c r="L2" s="510"/>
      <c r="M2" s="510"/>
      <c r="N2" s="510"/>
      <c r="O2" s="507" t="s">
        <v>155</v>
      </c>
      <c r="P2" s="508"/>
    </row>
    <row r="3" spans="2:31" ht="35.1" customHeight="1" x14ac:dyDescent="0.25">
      <c r="B3" s="499" t="s">
        <v>0</v>
      </c>
      <c r="C3" s="475" t="s">
        <v>198</v>
      </c>
      <c r="D3" s="463" t="s">
        <v>130</v>
      </c>
      <c r="E3" s="501" t="s">
        <v>235</v>
      </c>
      <c r="F3" s="475" t="s">
        <v>108</v>
      </c>
      <c r="G3" s="463" t="s">
        <v>243</v>
      </c>
      <c r="H3" s="467" t="s">
        <v>244</v>
      </c>
      <c r="I3" s="465" t="s">
        <v>245</v>
      </c>
      <c r="J3" s="463" t="s">
        <v>109</v>
      </c>
      <c r="K3" s="467" t="s">
        <v>159</v>
      </c>
      <c r="L3" s="465" t="s">
        <v>110</v>
      </c>
      <c r="M3" s="475" t="s">
        <v>152</v>
      </c>
      <c r="N3" s="511" t="s">
        <v>1</v>
      </c>
      <c r="O3" s="505" t="s">
        <v>160</v>
      </c>
      <c r="P3" s="503" t="s">
        <v>156</v>
      </c>
      <c r="R3" s="177"/>
    </row>
    <row r="4" spans="2:31" ht="35.1" customHeight="1" thickBot="1" x14ac:dyDescent="0.3">
      <c r="B4" s="500"/>
      <c r="C4" s="495"/>
      <c r="D4" s="497"/>
      <c r="E4" s="502"/>
      <c r="F4" s="495"/>
      <c r="G4" s="497"/>
      <c r="H4" s="496"/>
      <c r="I4" s="498"/>
      <c r="J4" s="497"/>
      <c r="K4" s="496"/>
      <c r="L4" s="498"/>
      <c r="M4" s="495"/>
      <c r="N4" s="512"/>
      <c r="O4" s="506"/>
      <c r="P4" s="504"/>
    </row>
    <row r="5" spans="2:31" ht="17.25" x14ac:dyDescent="0.25">
      <c r="B5" s="1">
        <f>Assumptions!$D$8</f>
        <v>2026</v>
      </c>
      <c r="C5" s="328">
        <f>($F5*$V$7*Assumptions!$D$14+$F5*$V$8*Assumptions!$D$15)/10^6</f>
        <v>225.11020507878501</v>
      </c>
      <c r="D5" s="329">
        <f t="shared" ref="D5:D34" si="0">C5*_xlfn.XLOOKUP($B5,$R$13:$R$48,$V$13:$V$48)</f>
        <v>12831.281689490746</v>
      </c>
      <c r="E5" s="330">
        <f>D5*(1+0.03)^-($B5-Assumptions!$D$4)</f>
        <v>10433.006221380332</v>
      </c>
      <c r="F5" s="319">
        <f>'Operation Benefits'!C6</f>
        <v>571783.55449072272</v>
      </c>
      <c r="G5" s="331">
        <f>($F5*S$7*Assumptions!$D$14+$F5*S$8*Assumptions!$D$15)/10^6</f>
        <v>0.21912302370824482</v>
      </c>
      <c r="H5" s="332">
        <f>($F5*T$7*Assumptions!$D$14+$F5*T$8*Assumptions!$D$15)/10^6</f>
        <v>1.3124070927729137E-3</v>
      </c>
      <c r="I5" s="333">
        <f>($F5*U$7*Assumptions!$D$14+$F5*U$8*Assumptions!$D$15)/10^6</f>
        <v>4.5930105098838363E-3</v>
      </c>
      <c r="J5" s="334">
        <f t="shared" ref="J5:J34" si="1">G5*_xlfn.XLOOKUP($B5,$R$13:$R$48,$S$13:$S$48)</f>
        <v>3725.0914030401618</v>
      </c>
      <c r="K5" s="335">
        <f t="shared" ref="K5:K34" si="2">G5*_xlfn.XLOOKUP($B5,$R$13:$R$48,$S$13:$S$48)</f>
        <v>3725.0914030401618</v>
      </c>
      <c r="L5" s="330">
        <f t="shared" ref="L5:L34" si="3">H5*_xlfn.XLOOKUP($B5,$R$13:$R$48,$U$13:$U$48)</f>
        <v>1059.7687274141279</v>
      </c>
      <c r="M5" s="336">
        <f t="shared" ref="M5:M34" si="4">SUM(J5:L5)</f>
        <v>8509.9515334944517</v>
      </c>
      <c r="N5" s="337">
        <f>M5*(1+0.07)^-(B5-Assumptions!$D$4)</f>
        <v>5299.5701209340496</v>
      </c>
      <c r="O5" s="299">
        <f t="shared" ref="O5:O34" si="5">M5+D5</f>
        <v>21341.233222985196</v>
      </c>
      <c r="P5" s="185">
        <f t="shared" ref="P5:P34" si="6">N5+E5</f>
        <v>15732.576342314382</v>
      </c>
      <c r="R5" s="178" t="s">
        <v>127</v>
      </c>
      <c r="S5" s="178"/>
      <c r="T5" s="178"/>
      <c r="U5" s="178"/>
      <c r="V5" s="178"/>
      <c r="Y5" s="12" t="s">
        <v>261</v>
      </c>
    </row>
    <row r="6" spans="2:31" x14ac:dyDescent="0.25">
      <c r="B6" s="2">
        <f t="shared" ref="B6:B34" si="7">+B5+1</f>
        <v>2027</v>
      </c>
      <c r="C6" s="298">
        <f>($F6*$V$7*Assumptions!$D$14+$F6*$V$8*Assumptions!$D$15)/10^6</f>
        <v>237.82657073075401</v>
      </c>
      <c r="D6" s="299">
        <f t="shared" si="0"/>
        <v>13793.941102383733</v>
      </c>
      <c r="E6" s="185">
        <f>D6*(1+0.03)^-($B6-Assumptions!$D$4)</f>
        <v>10889.06448380427</v>
      </c>
      <c r="F6" s="320">
        <f>'Operation Benefits'!C7</f>
        <v>604083.32850648463</v>
      </c>
      <c r="G6" s="322">
        <f>($F6*S$7*Assumptions!$D$14+$F6*S$8*Assumptions!$D$15)/10^6</f>
        <v>0.23150117640578199</v>
      </c>
      <c r="H6" s="323">
        <f>($F6*T$7*Assumptions!$D$14+$F6*T$8*Assumptions!$D$15)/10^6</f>
        <v>1.3865443291105426E-3</v>
      </c>
      <c r="I6" s="324">
        <f>($F6*U$7*Assumptions!$D$14+$F6*U$8*Assumptions!$D$15)/10^6</f>
        <v>4.852467432623425E-3</v>
      </c>
      <c r="J6" s="290">
        <f t="shared" si="1"/>
        <v>4004.9703518200286</v>
      </c>
      <c r="K6" s="179">
        <f t="shared" si="2"/>
        <v>4004.9703518200286</v>
      </c>
      <c r="L6" s="180">
        <f t="shared" si="3"/>
        <v>1135.0251878098902</v>
      </c>
      <c r="M6" s="186">
        <f t="shared" si="4"/>
        <v>9144.9658914499469</v>
      </c>
      <c r="N6" s="338">
        <f>M6*(1+0.07)^-(B6-Assumptions!$D$4)</f>
        <v>5322.453409760602</v>
      </c>
      <c r="O6" s="340">
        <f t="shared" si="5"/>
        <v>22938.90699383368</v>
      </c>
      <c r="P6" s="180">
        <f t="shared" si="6"/>
        <v>16211.517893564873</v>
      </c>
      <c r="R6" s="156" t="s">
        <v>111</v>
      </c>
      <c r="S6" s="158" t="s">
        <v>231</v>
      </c>
      <c r="T6" s="158" t="s">
        <v>232</v>
      </c>
      <c r="U6" s="158" t="s">
        <v>233</v>
      </c>
      <c r="V6" s="158" t="s">
        <v>234</v>
      </c>
      <c r="Y6" s="369" t="s">
        <v>249</v>
      </c>
      <c r="Z6" s="369" t="s">
        <v>250</v>
      </c>
      <c r="AA6" s="369" t="s">
        <v>251</v>
      </c>
      <c r="AB6" s="416" t="s">
        <v>231</v>
      </c>
      <c r="AC6" s="416" t="s">
        <v>232</v>
      </c>
      <c r="AD6" s="416" t="s">
        <v>233</v>
      </c>
      <c r="AE6" s="416" t="s">
        <v>234</v>
      </c>
    </row>
    <row r="7" spans="2:31" x14ac:dyDescent="0.25">
      <c r="B7" s="2">
        <f t="shared" si="7"/>
        <v>2028</v>
      </c>
      <c r="C7" s="298">
        <f>($F7*$V$7*Assumptions!$D$14+$F7*$V$8*Assumptions!$D$15)/10^6</f>
        <v>250.54293638272304</v>
      </c>
      <c r="D7" s="299">
        <f t="shared" si="0"/>
        <v>14782.033246580659</v>
      </c>
      <c r="E7" s="185">
        <f>D7*(1+0.03)^-($B7-Assumptions!$D$4)</f>
        <v>11329.197618239203</v>
      </c>
      <c r="F7" s="320">
        <f>'Operation Benefits'!C8</f>
        <v>636383.10252224654</v>
      </c>
      <c r="G7" s="322">
        <f>($F7*S$7*Assumptions!$D$14+$F7*S$8*Assumptions!$D$15)/10^6</f>
        <v>0.24387932910331922</v>
      </c>
      <c r="H7" s="323">
        <f>($F7*T$7*Assumptions!$D$14+$F7*T$8*Assumptions!$D$15)/10^6</f>
        <v>1.4606815654481715E-3</v>
      </c>
      <c r="I7" s="324">
        <f>($F7*U$7*Assumptions!$D$14+$F7*U$8*Assumptions!$D$15)/10^6</f>
        <v>5.1119243553630163E-3</v>
      </c>
      <c r="J7" s="290">
        <f t="shared" si="1"/>
        <v>4267.8882593080862</v>
      </c>
      <c r="K7" s="179">
        <f t="shared" si="2"/>
        <v>4267.8882593080862</v>
      </c>
      <c r="L7" s="180">
        <f t="shared" si="3"/>
        <v>1212.0735630088927</v>
      </c>
      <c r="M7" s="186">
        <f t="shared" si="4"/>
        <v>9747.8500816250653</v>
      </c>
      <c r="N7" s="338">
        <f>M7*(1+0.07)^-(B7-Assumptions!$D$4)</f>
        <v>5302.1845770475147</v>
      </c>
      <c r="O7" s="340">
        <f t="shared" si="5"/>
        <v>24529.883328205724</v>
      </c>
      <c r="P7" s="180">
        <f t="shared" si="6"/>
        <v>16631.382195286718</v>
      </c>
      <c r="R7" s="156" t="s">
        <v>112</v>
      </c>
      <c r="S7" s="425">
        <f>AB25</f>
        <v>0.22790983982547491</v>
      </c>
      <c r="T7" s="425">
        <f t="shared" ref="T7:V7" si="8">AC25</f>
        <v>2.0699004398994176E-3</v>
      </c>
      <c r="U7" s="425">
        <f t="shared" si="8"/>
        <v>5.8180715878192544E-3</v>
      </c>
      <c r="V7" s="425">
        <f t="shared" si="8"/>
        <v>317.22468262036</v>
      </c>
      <c r="Y7" s="416">
        <v>11</v>
      </c>
      <c r="Z7" s="369" t="s">
        <v>252</v>
      </c>
      <c r="AA7" s="369" t="s">
        <v>253</v>
      </c>
      <c r="AB7" s="434">
        <v>0.73690802096518104</v>
      </c>
      <c r="AC7" s="434">
        <v>2.4081927794970298E-3</v>
      </c>
      <c r="AD7" s="434">
        <v>1.78605259703664E-2</v>
      </c>
      <c r="AE7" s="434">
        <v>362.51238716242</v>
      </c>
    </row>
    <row r="8" spans="2:31" x14ac:dyDescent="0.25">
      <c r="B8" s="2">
        <f t="shared" si="7"/>
        <v>2029</v>
      </c>
      <c r="C8" s="298">
        <f>($F8*$V$7*Assumptions!$D$14+$F8*$V$8*Assumptions!$D$15)/10^6</f>
        <v>263.25930203469204</v>
      </c>
      <c r="D8" s="299">
        <f t="shared" si="0"/>
        <v>15795.558122081522</v>
      </c>
      <c r="E8" s="185">
        <f>D8*(1+0.03)^-($B8-Assumptions!$D$4)</f>
        <v>11753.378681038404</v>
      </c>
      <c r="F8" s="320">
        <f>'Operation Benefits'!C9</f>
        <v>668682.87653800845</v>
      </c>
      <c r="G8" s="322">
        <f>($F8*S$7*Assumptions!$D$14+$F8*S$8*Assumptions!$D$15)/10^6</f>
        <v>0.25625748180085639</v>
      </c>
      <c r="H8" s="323">
        <f>($F8*T$7*Assumptions!$D$14+$F8*T$8*Assumptions!$D$15)/10^6</f>
        <v>1.5348188017858004E-3</v>
      </c>
      <c r="I8" s="324">
        <f>($F8*U$7*Assumptions!$D$14+$F8*U$8*Assumptions!$D$15)/10^6</f>
        <v>5.3713812781026058E-3</v>
      </c>
      <c r="J8" s="290">
        <f t="shared" si="1"/>
        <v>4535.7574278751581</v>
      </c>
      <c r="K8" s="179">
        <f t="shared" si="2"/>
        <v>4535.7574278751581</v>
      </c>
      <c r="L8" s="180">
        <f t="shared" si="3"/>
        <v>1291.0895760622152</v>
      </c>
      <c r="M8" s="186">
        <f t="shared" si="4"/>
        <v>10362.604431812531</v>
      </c>
      <c r="N8" s="338">
        <f>M8*(1+0.07)^-(B8-Assumptions!$D$4)</f>
        <v>5267.8226275839897</v>
      </c>
      <c r="O8" s="340">
        <f t="shared" si="5"/>
        <v>26158.162553894053</v>
      </c>
      <c r="P8" s="180">
        <f t="shared" si="6"/>
        <v>17021.201308622396</v>
      </c>
      <c r="R8" s="156" t="s">
        <v>113</v>
      </c>
      <c r="S8" s="425">
        <f t="shared" ref="S8:V8" si="9">AB26</f>
        <v>2.099484306313415</v>
      </c>
      <c r="T8" s="425">
        <f t="shared" si="9"/>
        <v>4.7858028693373951E-3</v>
      </c>
      <c r="U8" s="425">
        <f t="shared" si="9"/>
        <v>3.2505287070740692E-2</v>
      </c>
      <c r="V8" s="425">
        <f t="shared" si="9"/>
        <v>1238.7315972924489</v>
      </c>
      <c r="Y8" s="416">
        <v>21</v>
      </c>
      <c r="Z8" s="369" t="s">
        <v>254</v>
      </c>
      <c r="AA8" s="369" t="s">
        <v>253</v>
      </c>
      <c r="AB8" s="434">
        <v>3.7528759722247264E-2</v>
      </c>
      <c r="AC8" s="434">
        <v>1.6122938930079201E-3</v>
      </c>
      <c r="AD8" s="434">
        <v>1.1798384221972261E-3</v>
      </c>
      <c r="AE8" s="434">
        <v>243.79125643460799</v>
      </c>
    </row>
    <row r="9" spans="2:31" ht="15" customHeight="1" x14ac:dyDescent="0.25">
      <c r="B9" s="2">
        <f t="shared" si="7"/>
        <v>2030</v>
      </c>
      <c r="C9" s="298">
        <f>($F9*$V$7*Assumptions!$D$14+$F9*$V$8*Assumptions!$D$15)/10^6</f>
        <v>275.97566768666098</v>
      </c>
      <c r="D9" s="299">
        <f t="shared" si="0"/>
        <v>16834.515728886319</v>
      </c>
      <c r="E9" s="185">
        <f>D9*(1+0.03)^-($B9-Assumptions!$D$4)</f>
        <v>12161.612343783998</v>
      </c>
      <c r="F9" s="320">
        <f>'Operation Benefits'!C10</f>
        <v>700982.65055377036</v>
      </c>
      <c r="G9" s="322">
        <f>($F9*S$7*Assumptions!$D$14+$F9*S$8*Assumptions!$D$15)/10^6</f>
        <v>0.26863563449839356</v>
      </c>
      <c r="H9" s="323">
        <f>($F9*T$7*Assumptions!$D$14+$F9*T$8*Assumptions!$D$15)/10^6</f>
        <v>1.6089560381234295E-3</v>
      </c>
      <c r="I9" s="324">
        <f>($F9*U$7*Assumptions!$D$14+$F9*U$8*Assumptions!$D$15)/10^6</f>
        <v>5.6308382008421944E-3</v>
      </c>
      <c r="J9" s="290">
        <f t="shared" si="1"/>
        <v>4835.441420971084</v>
      </c>
      <c r="K9" s="179">
        <f t="shared" si="2"/>
        <v>4835.441420971084</v>
      </c>
      <c r="L9" s="180">
        <f t="shared" si="3"/>
        <v>1371.9568137078484</v>
      </c>
      <c r="M9" s="186">
        <f t="shared" ref="M9:M24" si="10">SUM(J9:L9)</f>
        <v>11042.839655650016</v>
      </c>
      <c r="N9" s="338">
        <f>M9*(1+0.07)^-(B9-Assumptions!$D$4)</f>
        <v>5246.3735720625009</v>
      </c>
      <c r="O9" s="340">
        <f t="shared" si="5"/>
        <v>27877.355384536335</v>
      </c>
      <c r="P9" s="180">
        <f t="shared" si="6"/>
        <v>17407.985915846497</v>
      </c>
      <c r="R9" s="12"/>
      <c r="S9" s="421"/>
      <c r="T9" s="422"/>
      <c r="U9" s="421"/>
      <c r="V9" s="420"/>
      <c r="Y9" s="416">
        <v>31</v>
      </c>
      <c r="Z9" s="369" t="s">
        <v>254</v>
      </c>
      <c r="AA9" s="369" t="s">
        <v>253</v>
      </c>
      <c r="AB9" s="434">
        <v>5.602001301010253E-2</v>
      </c>
      <c r="AC9" s="434">
        <v>2.0534055761767299E-3</v>
      </c>
      <c r="AD9" s="434">
        <v>1.6834690354423085E-3</v>
      </c>
      <c r="AE9" s="434">
        <v>318.590574637288</v>
      </c>
    </row>
    <row r="10" spans="2:31" x14ac:dyDescent="0.25">
      <c r="B10" s="2">
        <f t="shared" si="7"/>
        <v>2031</v>
      </c>
      <c r="C10" s="298">
        <f>($F10*$V$7*Assumptions!$D$14+$F10*$V$8*Assumptions!$D$15)/10^6</f>
        <v>288.6920333386301</v>
      </c>
      <c r="D10" s="299">
        <f t="shared" si="0"/>
        <v>17898.906066995067</v>
      </c>
      <c r="E10" s="185">
        <f>D10*(1+0.03)^-($B10-Assumptions!$D$4)</f>
        <v>12553.932592854282</v>
      </c>
      <c r="F10" s="320">
        <f>'Operation Benefits'!C11</f>
        <v>733282.42456953228</v>
      </c>
      <c r="G10" s="322">
        <f>($F10*S$7*Assumptions!$D$14+$F10*S$8*Assumptions!$D$15)/10^6</f>
        <v>0.28101378719593079</v>
      </c>
      <c r="H10" s="323">
        <f>($F10*T$7*Assumptions!$D$14+$F10*T$8*Assumptions!$D$15)/10^6</f>
        <v>1.6830932744610579E-3</v>
      </c>
      <c r="I10" s="324">
        <f>($F10*U$7*Assumptions!$D$14+$F10*U$8*Assumptions!$D$15)/10^6</f>
        <v>5.8902951235817848E-3</v>
      </c>
      <c r="J10" s="290">
        <f t="shared" si="1"/>
        <v>5058.2481695267543</v>
      </c>
      <c r="K10" s="179">
        <f t="shared" si="2"/>
        <v>5058.2481695267543</v>
      </c>
      <c r="L10" s="180">
        <f t="shared" si="3"/>
        <v>1435.1736351329441</v>
      </c>
      <c r="M10" s="186">
        <f t="shared" si="10"/>
        <v>11551.669974186452</v>
      </c>
      <c r="N10" s="338">
        <f>M10*(1+0.07)^-(B10-Assumptions!$D$4)</f>
        <v>5129.0796177409002</v>
      </c>
      <c r="O10" s="340">
        <f t="shared" si="5"/>
        <v>29450.576041181521</v>
      </c>
      <c r="P10" s="180">
        <f t="shared" si="6"/>
        <v>17683.012210595181</v>
      </c>
      <c r="S10" s="21"/>
      <c r="T10" s="21"/>
      <c r="U10" s="21"/>
      <c r="V10" s="21"/>
      <c r="Y10" s="416">
        <v>32</v>
      </c>
      <c r="Z10" s="369" t="s">
        <v>254</v>
      </c>
      <c r="AA10" s="369" t="s">
        <v>253</v>
      </c>
      <c r="AB10" s="434">
        <v>8.1182565604368817E-2</v>
      </c>
      <c r="AC10" s="434">
        <v>2.2057095109159902E-3</v>
      </c>
      <c r="AD10" s="434">
        <v>2.5484529232710825E-3</v>
      </c>
      <c r="AE10" s="434">
        <v>344.00451224712401</v>
      </c>
    </row>
    <row r="11" spans="2:31" ht="17.25" x14ac:dyDescent="0.25">
      <c r="B11" s="2">
        <f t="shared" si="7"/>
        <v>2032</v>
      </c>
      <c r="C11" s="298">
        <f>($F11*$V$7*Assumptions!$D$14+$F11*$V$8*Assumptions!$D$15)/10^6</f>
        <v>301.40839899059904</v>
      </c>
      <c r="D11" s="299">
        <f t="shared" si="0"/>
        <v>18988.729136407739</v>
      </c>
      <c r="E11" s="185">
        <f>D11*(1+0.03)^-($B11-Assumptions!$D$4)</f>
        <v>12930.400550204349</v>
      </c>
      <c r="F11" s="320">
        <f>'Operation Benefits'!C12</f>
        <v>765582.19858529419</v>
      </c>
      <c r="G11" s="322">
        <f>($F11*S$7*Assumptions!$D$14+$F11*S$8*Assumptions!$D$15)/10^6</f>
        <v>0.29339193989346801</v>
      </c>
      <c r="H11" s="323">
        <f>($F11*T$7*Assumptions!$D$14+$F11*T$8*Assumptions!$D$15)/10^6</f>
        <v>1.7572305107986868E-3</v>
      </c>
      <c r="I11" s="324">
        <f>($F11*U$7*Assumptions!$D$14+$F11*U$8*Assumptions!$D$15)/10^6</f>
        <v>6.1497520463213735E-3</v>
      </c>
      <c r="J11" s="290">
        <f t="shared" si="1"/>
        <v>5281.0549180824246</v>
      </c>
      <c r="K11" s="179">
        <f t="shared" si="2"/>
        <v>5281.0549180824246</v>
      </c>
      <c r="L11" s="180">
        <f t="shared" si="3"/>
        <v>1498.3904565580403</v>
      </c>
      <c r="M11" s="186">
        <f t="shared" si="10"/>
        <v>12060.500292722889</v>
      </c>
      <c r="N11" s="338">
        <f>M11*(1+0.07)^-(B11-Assumptions!$D$4)</f>
        <v>5004.6788452292994</v>
      </c>
      <c r="O11" s="340">
        <f t="shared" si="5"/>
        <v>31049.229429130628</v>
      </c>
      <c r="P11" s="180">
        <f t="shared" si="6"/>
        <v>17935.079395433648</v>
      </c>
      <c r="R11" s="40" t="s">
        <v>259</v>
      </c>
      <c r="Y11" s="416">
        <v>41</v>
      </c>
      <c r="Z11" s="369" t="s">
        <v>255</v>
      </c>
      <c r="AA11" s="369" t="s">
        <v>256</v>
      </c>
      <c r="AB11" s="434">
        <v>2.237602310868759</v>
      </c>
      <c r="AC11" s="434">
        <v>5.5717265564873301E-3</v>
      </c>
      <c r="AD11" s="434">
        <v>1.658066855283262E-2</v>
      </c>
      <c r="AE11" s="434">
        <v>1406.7823013201701</v>
      </c>
    </row>
    <row r="12" spans="2:31" x14ac:dyDescent="0.25">
      <c r="B12" s="2">
        <f t="shared" si="7"/>
        <v>2033</v>
      </c>
      <c r="C12" s="298">
        <f>($F12*$V$7*Assumptions!$D$14+$F12*$V$8*Assumptions!$D$15)/10^6</f>
        <v>314.12476464256804</v>
      </c>
      <c r="D12" s="299">
        <f t="shared" si="0"/>
        <v>20103.984937124354</v>
      </c>
      <c r="E12" s="185">
        <f>D12*(1+0.03)^-($B12-Assumptions!$D$4)</f>
        <v>13291.102409842226</v>
      </c>
      <c r="F12" s="320">
        <f>'Operation Benefits'!C13</f>
        <v>797881.9726010561</v>
      </c>
      <c r="G12" s="322">
        <f>($F12*S$7*Assumptions!$D$14+$F12*S$8*Assumptions!$D$15)/10^6</f>
        <v>0.30577009259100518</v>
      </c>
      <c r="H12" s="323">
        <f>($F12*T$7*Assumptions!$D$14+$F12*T$8*Assumptions!$D$15)/10^6</f>
        <v>1.8313677471363157E-3</v>
      </c>
      <c r="I12" s="324">
        <f>($F12*U$7*Assumptions!$D$14+$F12*U$8*Assumptions!$D$15)/10^6</f>
        <v>6.409208969060963E-3</v>
      </c>
      <c r="J12" s="290">
        <f t="shared" si="1"/>
        <v>5503.8616666380931</v>
      </c>
      <c r="K12" s="179">
        <f t="shared" si="2"/>
        <v>5503.8616666380931</v>
      </c>
      <c r="L12" s="180">
        <f t="shared" si="3"/>
        <v>1561.6072779831363</v>
      </c>
      <c r="M12" s="186">
        <f t="shared" si="10"/>
        <v>12569.330611259322</v>
      </c>
      <c r="N12" s="338">
        <f>M12*(1+0.07)^-(B12-Assumptions!$D$4)</f>
        <v>4874.6031190931963</v>
      </c>
      <c r="O12" s="340">
        <f t="shared" si="5"/>
        <v>32673.315548383674</v>
      </c>
      <c r="P12" s="180">
        <f t="shared" si="6"/>
        <v>18165.705528935421</v>
      </c>
      <c r="R12" s="426" t="s">
        <v>121</v>
      </c>
      <c r="S12" s="157" t="s">
        <v>231</v>
      </c>
      <c r="T12" s="157" t="s">
        <v>232</v>
      </c>
      <c r="U12" s="157" t="s">
        <v>233</v>
      </c>
      <c r="V12" s="157" t="s">
        <v>234</v>
      </c>
      <c r="Y12" s="416">
        <v>42</v>
      </c>
      <c r="Z12" s="369" t="s">
        <v>255</v>
      </c>
      <c r="AA12" s="369" t="s">
        <v>256</v>
      </c>
      <c r="AB12" s="434">
        <v>1.9658170115512426</v>
      </c>
      <c r="AC12" s="434">
        <v>5.4889920561794897E-3</v>
      </c>
      <c r="AD12" s="434">
        <v>1.2308421676718551E-2</v>
      </c>
      <c r="AE12" s="434">
        <v>1391.9649569298599</v>
      </c>
    </row>
    <row r="13" spans="2:31" ht="15" customHeight="1" x14ac:dyDescent="0.25">
      <c r="B13" s="2">
        <f t="shared" si="7"/>
        <v>2034</v>
      </c>
      <c r="C13" s="298">
        <f>($F13*$V$7*Assumptions!$D$14+$F13*$V$8*Assumptions!$D$15)/10^6</f>
        <v>326.84113029453709</v>
      </c>
      <c r="D13" s="299">
        <f t="shared" si="0"/>
        <v>21571.514599439448</v>
      </c>
      <c r="E13" s="185">
        <f>D13*(1+0.03)^-($B13-Assumptions!$D$4)</f>
        <v>13845.934369092929</v>
      </c>
      <c r="F13" s="320">
        <f>'Operation Benefits'!C14</f>
        <v>830181.74661681801</v>
      </c>
      <c r="G13" s="322">
        <f>($F13*S$7*Assumptions!$D$14+$F13*S$8*Assumptions!$D$15)/10^6</f>
        <v>0.31814824528854235</v>
      </c>
      <c r="H13" s="323">
        <f>($F13*T$7*Assumptions!$D$14+$F13*T$8*Assumptions!$D$15)/10^6</f>
        <v>1.9055049834739448E-3</v>
      </c>
      <c r="I13" s="324">
        <f>($F13*U$7*Assumptions!$D$14+$F13*U$8*Assumptions!$D$15)/10^6</f>
        <v>6.6686658918005525E-3</v>
      </c>
      <c r="J13" s="290">
        <f t="shared" si="1"/>
        <v>5726.6684151937625</v>
      </c>
      <c r="K13" s="179">
        <f t="shared" si="2"/>
        <v>5726.6684151937625</v>
      </c>
      <c r="L13" s="180">
        <f t="shared" si="3"/>
        <v>1624.8240994082328</v>
      </c>
      <c r="M13" s="186">
        <f t="shared" si="10"/>
        <v>13078.160929795758</v>
      </c>
      <c r="N13" s="338">
        <f>M13*(1+0.07)^-(B13-Assumptions!$D$4)</f>
        <v>4740.1273732466943</v>
      </c>
      <c r="O13" s="340">
        <f t="shared" si="5"/>
        <v>34649.675529235203</v>
      </c>
      <c r="P13" s="180">
        <f t="shared" si="6"/>
        <v>18586.061742339625</v>
      </c>
      <c r="R13" s="181">
        <v>2020</v>
      </c>
      <c r="S13" s="424">
        <v>15700</v>
      </c>
      <c r="T13" s="424">
        <v>40400</v>
      </c>
      <c r="U13" s="424">
        <v>729300</v>
      </c>
      <c r="V13" s="424">
        <v>50</v>
      </c>
      <c r="Y13" s="416">
        <v>43</v>
      </c>
      <c r="Z13" s="369" t="s">
        <v>255</v>
      </c>
      <c r="AA13" s="369" t="s">
        <v>256</v>
      </c>
      <c r="AB13" s="434">
        <v>1.9469017025302577</v>
      </c>
      <c r="AC13" s="434">
        <v>3.66910948950592E-3</v>
      </c>
      <c r="AD13" s="434">
        <v>5.5096995199883071E-2</v>
      </c>
      <c r="AE13" s="434">
        <v>1071.1129065416801</v>
      </c>
    </row>
    <row r="14" spans="2:31" x14ac:dyDescent="0.25">
      <c r="B14" s="2">
        <f t="shared" si="7"/>
        <v>2035</v>
      </c>
      <c r="C14" s="298">
        <f>($F14*$V$7*Assumptions!$D$14+$F14*$V$8*Assumptions!$D$15)/10^6</f>
        <v>339.55749594650609</v>
      </c>
      <c r="D14" s="299">
        <f t="shared" si="0"/>
        <v>22750.352228415908</v>
      </c>
      <c r="E14" s="185">
        <f>D14*(1+0.03)^-($B14-Assumptions!$D$4)</f>
        <v>14177.267364361449</v>
      </c>
      <c r="F14" s="320">
        <f>'Operation Benefits'!C15</f>
        <v>862481.52063257992</v>
      </c>
      <c r="G14" s="322">
        <f>($F14*S$7*Assumptions!$D$14+$F14*S$8*Assumptions!$D$15)/10^6</f>
        <v>0.33052639798607958</v>
      </c>
      <c r="H14" s="323">
        <f>($F14*T$7*Assumptions!$D$14+$F14*T$8*Assumptions!$D$15)/10^6</f>
        <v>1.9796422198115737E-3</v>
      </c>
      <c r="I14" s="324">
        <f>($F14*U$7*Assumptions!$D$14+$F14*U$8*Assumptions!$D$15)/10^6</f>
        <v>6.928122814540142E-3</v>
      </c>
      <c r="J14" s="290">
        <f t="shared" si="1"/>
        <v>5949.4751637494328</v>
      </c>
      <c r="K14" s="179">
        <f t="shared" si="2"/>
        <v>5949.4751637494328</v>
      </c>
      <c r="L14" s="180">
        <f t="shared" si="3"/>
        <v>1688.0409208333288</v>
      </c>
      <c r="M14" s="186">
        <f t="shared" si="10"/>
        <v>13586.991248332195</v>
      </c>
      <c r="N14" s="338">
        <f>M14*(1+0.07)^-(B14-Assumptions!$D$4)</f>
        <v>4602.3840157697014</v>
      </c>
      <c r="O14" s="340">
        <f t="shared" si="5"/>
        <v>36337.343476748101</v>
      </c>
      <c r="P14" s="180">
        <f t="shared" si="6"/>
        <v>18779.651380131152</v>
      </c>
      <c r="R14" s="181">
        <v>2021</v>
      </c>
      <c r="S14" s="424">
        <v>15900</v>
      </c>
      <c r="T14" s="424">
        <v>41300</v>
      </c>
      <c r="U14" s="424">
        <v>742300</v>
      </c>
      <c r="V14" s="424">
        <v>52</v>
      </c>
      <c r="Y14" s="416">
        <v>51</v>
      </c>
      <c r="Z14" s="369" t="s">
        <v>257</v>
      </c>
      <c r="AA14" s="369" t="s">
        <v>256</v>
      </c>
      <c r="AB14" s="434">
        <v>2.48942987946789</v>
      </c>
      <c r="AC14" s="434">
        <v>5.2833773025508703E-3</v>
      </c>
      <c r="AD14" s="434">
        <v>3.4321389281753531E-2</v>
      </c>
      <c r="AE14" s="434">
        <v>1427.83446247497</v>
      </c>
    </row>
    <row r="15" spans="2:31" x14ac:dyDescent="0.25">
      <c r="B15" s="2">
        <f t="shared" si="7"/>
        <v>2036</v>
      </c>
      <c r="C15" s="298">
        <f>($F15*$V$7*Assumptions!$D$14+$F15*$V$8*Assumptions!$D$15)/10^6</f>
        <v>352.27386159847509</v>
      </c>
      <c r="D15" s="299">
        <f t="shared" si="0"/>
        <v>23954.622588696308</v>
      </c>
      <c r="E15" s="185">
        <f>D15*(1+0.03)^-($B15-Assumptions!$D$4)</f>
        <v>14492.940620165913</v>
      </c>
      <c r="F15" s="320">
        <f>'Operation Benefits'!C16</f>
        <v>894781.29464834183</v>
      </c>
      <c r="G15" s="322">
        <f>($F15*S$7*Assumptions!$D$14+$F15*S$8*Assumptions!$D$15)/10^6</f>
        <v>0.3429045506836168</v>
      </c>
      <c r="H15" s="323">
        <f>($F15*T$7*Assumptions!$D$14+$F15*T$8*Assumptions!$D$15)/10^6</f>
        <v>2.0537794561492025E-3</v>
      </c>
      <c r="I15" s="324">
        <f>($F15*U$7*Assumptions!$D$14+$F15*U$8*Assumptions!$D$15)/10^6</f>
        <v>7.1875797372797316E-3</v>
      </c>
      <c r="J15" s="290">
        <f t="shared" si="1"/>
        <v>6172.2819123051022</v>
      </c>
      <c r="K15" s="179">
        <f t="shared" si="2"/>
        <v>6172.2819123051022</v>
      </c>
      <c r="L15" s="180">
        <f t="shared" si="3"/>
        <v>1751.257742258425</v>
      </c>
      <c r="M15" s="186">
        <f t="shared" si="10"/>
        <v>14095.82156686863</v>
      </c>
      <c r="N15" s="338">
        <f>M15*(1+0.07)^-(B15-Assumptions!$D$4)</f>
        <v>4462.3761206222953</v>
      </c>
      <c r="O15" s="340">
        <f t="shared" si="5"/>
        <v>38050.444155564939</v>
      </c>
      <c r="P15" s="180">
        <f t="shared" si="6"/>
        <v>18955.316740788207</v>
      </c>
      <c r="R15" s="181">
        <v>2022</v>
      </c>
      <c r="S15" s="424">
        <v>16100</v>
      </c>
      <c r="T15" s="424">
        <v>42100</v>
      </c>
      <c r="U15" s="424">
        <v>755500</v>
      </c>
      <c r="V15" s="424">
        <v>53</v>
      </c>
      <c r="Y15" s="416">
        <v>52</v>
      </c>
      <c r="Z15" s="369" t="s">
        <v>257</v>
      </c>
      <c r="AA15" s="369" t="s">
        <v>256</v>
      </c>
      <c r="AB15" s="434">
        <v>0.95074648895471525</v>
      </c>
      <c r="AC15" s="434">
        <v>3.5321878667988801E-3</v>
      </c>
      <c r="AD15" s="434">
        <v>1.5158170819293781E-2</v>
      </c>
      <c r="AE15" s="434">
        <v>862.616489254057</v>
      </c>
    </row>
    <row r="16" spans="2:31" x14ac:dyDescent="0.25">
      <c r="B16" s="2">
        <f t="shared" si="7"/>
        <v>2037</v>
      </c>
      <c r="C16" s="298">
        <f>($F16*$V$7*Assumptions!$D$14+$F16*$V$8*Assumptions!$D$15)/10^6</f>
        <v>364.99022725044409</v>
      </c>
      <c r="D16" s="299">
        <f t="shared" si="0"/>
        <v>25184.325680280643</v>
      </c>
      <c r="E16" s="185">
        <f>D16*(1+0.03)^-($B16-Assumptions!$D$4)</f>
        <v>14793.13710104912</v>
      </c>
      <c r="F16" s="320">
        <f>'Operation Benefits'!C17</f>
        <v>927081.06866410375</v>
      </c>
      <c r="G16" s="322">
        <f>($F16*S$7*Assumptions!$D$14+$F16*S$8*Assumptions!$D$15)/10^6</f>
        <v>0.35528270338115397</v>
      </c>
      <c r="H16" s="323">
        <f>($F16*T$7*Assumptions!$D$14+$F16*T$8*Assumptions!$D$15)/10^6</f>
        <v>2.1279166924868314E-3</v>
      </c>
      <c r="I16" s="324">
        <f>($F16*U$7*Assumptions!$D$14+$F16*U$8*Assumptions!$D$15)/10^6</f>
        <v>7.4470366600193211E-3</v>
      </c>
      <c r="J16" s="290">
        <f t="shared" si="1"/>
        <v>6395.0886608607716</v>
      </c>
      <c r="K16" s="179">
        <f t="shared" si="2"/>
        <v>6395.0886608607716</v>
      </c>
      <c r="L16" s="180">
        <f t="shared" si="3"/>
        <v>1814.4745636835212</v>
      </c>
      <c r="M16" s="186">
        <f t="shared" si="10"/>
        <v>14604.651885405065</v>
      </c>
      <c r="N16" s="338">
        <f>M16*(1+0.07)^-(B16-Assumptions!$D$4)</f>
        <v>4320.9895033295561</v>
      </c>
      <c r="O16" s="340">
        <f t="shared" si="5"/>
        <v>39788.977565685709</v>
      </c>
      <c r="P16" s="180">
        <f t="shared" si="6"/>
        <v>19114.126604378675</v>
      </c>
      <c r="R16" s="181">
        <v>2023</v>
      </c>
      <c r="S16" s="424">
        <v>16400</v>
      </c>
      <c r="T16" s="424">
        <v>43000</v>
      </c>
      <c r="U16" s="424">
        <v>769000</v>
      </c>
      <c r="V16" s="424">
        <v>54</v>
      </c>
      <c r="Y16" s="416">
        <v>53</v>
      </c>
      <c r="Z16" s="369" t="s">
        <v>257</v>
      </c>
      <c r="AA16" s="369" t="s">
        <v>256</v>
      </c>
      <c r="AB16" s="434">
        <v>0.89067775827536644</v>
      </c>
      <c r="AC16" s="434">
        <v>3.4020765235606102E-3</v>
      </c>
      <c r="AD16" s="434">
        <v>1.349939126139434E-2</v>
      </c>
      <c r="AE16" s="434">
        <v>829.46088804247995</v>
      </c>
    </row>
    <row r="17" spans="2:31" x14ac:dyDescent="0.25">
      <c r="B17" s="2">
        <f t="shared" si="7"/>
        <v>2038</v>
      </c>
      <c r="C17" s="298">
        <f>($F17*$V$7*Assumptions!$D$14+$F17*$V$8*Assumptions!$D$15)/10^6</f>
        <v>377.70659290241019</v>
      </c>
      <c r="D17" s="299">
        <f t="shared" si="0"/>
        <v>26439.461503168714</v>
      </c>
      <c r="E17" s="185">
        <f>D17*(1+0.03)^-($B17-Assumptions!$D$4)</f>
        <v>15078.055451688931</v>
      </c>
      <c r="F17" s="320">
        <f>'Operation Benefits'!C18</f>
        <v>959380.84267985821</v>
      </c>
      <c r="G17" s="322">
        <f>($F17*S$7*Assumptions!$D$14+$F17*S$8*Assumptions!$D$15)/10^6</f>
        <v>0.36766085607868831</v>
      </c>
      <c r="H17" s="323">
        <f>($F17*T$7*Assumptions!$D$14+$F17*T$8*Assumptions!$D$15)/10^6</f>
        <v>2.202053928824443E-3</v>
      </c>
      <c r="I17" s="324">
        <f>($F17*U$7*Assumptions!$D$14+$F17*U$8*Assumptions!$D$15)/10^6</f>
        <v>7.7064935827588516E-3</v>
      </c>
      <c r="J17" s="290">
        <f t="shared" si="1"/>
        <v>6617.8954094163901</v>
      </c>
      <c r="K17" s="179">
        <f t="shared" si="2"/>
        <v>6617.8954094163901</v>
      </c>
      <c r="L17" s="180">
        <f t="shared" si="3"/>
        <v>1877.6913851086026</v>
      </c>
      <c r="M17" s="186">
        <f t="shared" si="10"/>
        <v>15113.482203941383</v>
      </c>
      <c r="N17" s="338">
        <f>M17*(1+0.07)^-(B17-Assumptions!$D$4)</f>
        <v>4179.0037702008203</v>
      </c>
      <c r="O17" s="340">
        <f t="shared" si="5"/>
        <v>41552.943707110098</v>
      </c>
      <c r="P17" s="180">
        <f t="shared" si="6"/>
        <v>19257.059221889751</v>
      </c>
      <c r="R17" s="181">
        <v>2024</v>
      </c>
      <c r="S17" s="424">
        <v>16600</v>
      </c>
      <c r="T17" s="424">
        <v>43900</v>
      </c>
      <c r="U17" s="424">
        <v>782700</v>
      </c>
      <c r="V17" s="424">
        <v>55</v>
      </c>
      <c r="Y17" s="416">
        <v>54</v>
      </c>
      <c r="Z17" s="369" t="s">
        <v>257</v>
      </c>
      <c r="AA17" s="369" t="s">
        <v>256</v>
      </c>
      <c r="AB17" s="434">
        <v>1.6481032166429217</v>
      </c>
      <c r="AC17" s="434">
        <v>6.0326542026046303E-3</v>
      </c>
      <c r="AD17" s="434">
        <v>4.2864875162321965E-2</v>
      </c>
      <c r="AE17" s="434">
        <v>1166.1048437433201</v>
      </c>
    </row>
    <row r="18" spans="2:31" x14ac:dyDescent="0.25">
      <c r="B18" s="2">
        <f t="shared" si="7"/>
        <v>2039</v>
      </c>
      <c r="C18" s="298">
        <f>($F18*$V$7*Assumptions!$D$14+$F18*$V$8*Assumptions!$D$15)/10^6</f>
        <v>390.42295855437919</v>
      </c>
      <c r="D18" s="299">
        <f t="shared" si="0"/>
        <v>27720.030057360924</v>
      </c>
      <c r="E18" s="185">
        <f>D18*(1+0.03)^-($B18-Assumptions!$D$4)</f>
        <v>15347.908548077183</v>
      </c>
      <c r="F18" s="320">
        <f>'Operation Benefits'!C19</f>
        <v>991680.61669562012</v>
      </c>
      <c r="G18" s="322">
        <f>($F18*S$7*Assumptions!$D$14+$F18*S$8*Assumptions!$D$15)/10^6</f>
        <v>0.38003900877622548</v>
      </c>
      <c r="H18" s="323">
        <f>($F18*T$7*Assumptions!$D$14+$F18*T$8*Assumptions!$D$15)/10^6</f>
        <v>2.2761911651620718E-3</v>
      </c>
      <c r="I18" s="324">
        <f>($F18*U$7*Assumptions!$D$14+$F18*U$8*Assumptions!$D$15)/10^6</f>
        <v>7.9659505054984394E-3</v>
      </c>
      <c r="J18" s="290">
        <f t="shared" si="1"/>
        <v>6840.7021579720586</v>
      </c>
      <c r="K18" s="179">
        <f t="shared" si="2"/>
        <v>6840.7021579720586</v>
      </c>
      <c r="L18" s="180">
        <f t="shared" si="3"/>
        <v>1940.9082065336986</v>
      </c>
      <c r="M18" s="186">
        <f t="shared" si="10"/>
        <v>15622.312522477816</v>
      </c>
      <c r="N18" s="338">
        <f>M18*(1+0.07)^-(B18-Assumptions!$D$4)</f>
        <v>4037.1024237053311</v>
      </c>
      <c r="O18" s="340">
        <f t="shared" si="5"/>
        <v>43342.34257983874</v>
      </c>
      <c r="P18" s="180">
        <f t="shared" si="6"/>
        <v>19385.010971782514</v>
      </c>
      <c r="R18" s="181">
        <v>2025</v>
      </c>
      <c r="S18" s="424">
        <v>16800</v>
      </c>
      <c r="T18" s="424">
        <v>44900</v>
      </c>
      <c r="U18" s="424">
        <v>796600</v>
      </c>
      <c r="V18" s="424">
        <v>56</v>
      </c>
      <c r="Y18" s="416">
        <v>61</v>
      </c>
      <c r="Z18" s="369" t="s">
        <v>258</v>
      </c>
      <c r="AA18" s="369" t="s">
        <v>256</v>
      </c>
      <c r="AB18" s="434">
        <v>3.0234078113615883</v>
      </c>
      <c r="AC18" s="434">
        <v>4.9760807160904204E-3</v>
      </c>
      <c r="AD18" s="434">
        <v>4.3407648080982714E-2</v>
      </c>
      <c r="AE18" s="434">
        <v>1463.90880302132</v>
      </c>
    </row>
    <row r="19" spans="2:31" x14ac:dyDescent="0.25">
      <c r="B19" s="2">
        <f t="shared" si="7"/>
        <v>2040</v>
      </c>
      <c r="C19" s="298">
        <f>($F19*$V$7*Assumptions!$D$14+$F19*$V$8*Assumptions!$D$15)/10^6</f>
        <v>403.13932420634819</v>
      </c>
      <c r="D19" s="299">
        <f t="shared" si="0"/>
        <v>29026.03134285707</v>
      </c>
      <c r="E19" s="185">
        <f>D19*(1+0.03)^-($B19-Assumptions!$D$4)</f>
        <v>15602.922130866587</v>
      </c>
      <c r="F19" s="320">
        <f>'Operation Benefits'!C20</f>
        <v>1023980.390711382</v>
      </c>
      <c r="G19" s="322">
        <f>($F19*S$7*Assumptions!$D$14+$F19*S$8*Assumptions!$D$15)/10^6</f>
        <v>0.39241716147376271</v>
      </c>
      <c r="H19" s="323">
        <f>($F19*T$7*Assumptions!$D$14+$F19*T$8*Assumptions!$D$15)/10^6</f>
        <v>2.3503284014997007E-3</v>
      </c>
      <c r="I19" s="324">
        <f>($F19*U$7*Assumptions!$D$14+$F19*U$8*Assumptions!$D$15)/10^6</f>
        <v>8.2254074282380289E-3</v>
      </c>
      <c r="J19" s="290">
        <f t="shared" si="1"/>
        <v>7063.5089065277289</v>
      </c>
      <c r="K19" s="179">
        <f t="shared" si="2"/>
        <v>7063.5089065277289</v>
      </c>
      <c r="L19" s="180">
        <f t="shared" si="3"/>
        <v>2004.1250279587948</v>
      </c>
      <c r="M19" s="186">
        <f t="shared" si="10"/>
        <v>16131.142841014253</v>
      </c>
      <c r="N19" s="338">
        <f>M19*(1+0.07)^-(B19-Assumptions!$D$4)</f>
        <v>3895.8821002083928</v>
      </c>
      <c r="O19" s="340">
        <f t="shared" si="5"/>
        <v>45157.174183871321</v>
      </c>
      <c r="P19" s="180">
        <f t="shared" si="6"/>
        <v>19498.804231074981</v>
      </c>
      <c r="R19" s="181">
        <v>2026</v>
      </c>
      <c r="S19" s="424">
        <v>17000</v>
      </c>
      <c r="T19" s="424">
        <v>45500</v>
      </c>
      <c r="U19" s="424">
        <v>807500</v>
      </c>
      <c r="V19" s="424">
        <v>57</v>
      </c>
      <c r="Y19" s="416">
        <v>62</v>
      </c>
      <c r="Z19" s="369" t="s">
        <v>258</v>
      </c>
      <c r="AA19" s="369" t="s">
        <v>256</v>
      </c>
      <c r="AB19" s="434">
        <v>3.7426725771679936</v>
      </c>
      <c r="AC19" s="434">
        <v>5.1160211102583997E-3</v>
      </c>
      <c r="AD19" s="434">
        <v>5.9310023601485649E-2</v>
      </c>
      <c r="AE19" s="434">
        <v>1528.79872430418</v>
      </c>
    </row>
    <row r="20" spans="2:31" x14ac:dyDescent="0.25">
      <c r="B20" s="2">
        <f t="shared" si="7"/>
        <v>2041</v>
      </c>
      <c r="C20" s="298">
        <f>($F20*$V$7*Assumptions!$D$14+$F20*$V$8*Assumptions!$D$15)/10^6</f>
        <v>415.85568985831719</v>
      </c>
      <c r="D20" s="299">
        <f t="shared" si="0"/>
        <v>30357.465359657155</v>
      </c>
      <c r="E20" s="185">
        <f>D20*(1+0.03)^-($B20-Assumptions!$D$4)</f>
        <v>15843.333517007932</v>
      </c>
      <c r="F20" s="320">
        <f>'Operation Benefits'!C21</f>
        <v>1056280.1647271439</v>
      </c>
      <c r="G20" s="322">
        <f>($F20*S$7*Assumptions!$D$14+$F20*S$8*Assumptions!$D$15)/10^6</f>
        <v>0.40479531417129994</v>
      </c>
      <c r="H20" s="323">
        <f>($F20*T$7*Assumptions!$D$14+$F20*T$8*Assumptions!$D$15)/10^6</f>
        <v>2.4244656378373296E-3</v>
      </c>
      <c r="I20" s="324">
        <f>($F20*U$7*Assumptions!$D$14+$F20*U$8*Assumptions!$D$15)/10^6</f>
        <v>8.4848643509776202E-3</v>
      </c>
      <c r="J20" s="290">
        <f t="shared" si="1"/>
        <v>7286.3156550833992</v>
      </c>
      <c r="K20" s="179">
        <f t="shared" si="2"/>
        <v>7286.3156550833992</v>
      </c>
      <c r="L20" s="180">
        <f t="shared" si="3"/>
        <v>2067.3418493838908</v>
      </c>
      <c r="M20" s="186">
        <f t="shared" si="10"/>
        <v>16639.973159550689</v>
      </c>
      <c r="N20" s="338">
        <f>M20*(1+0.07)^-(B20-Assumptions!$D$4)</f>
        <v>3755.8610103420642</v>
      </c>
      <c r="O20" s="340">
        <f t="shared" si="5"/>
        <v>46997.438519207848</v>
      </c>
      <c r="P20" s="180">
        <f t="shared" si="6"/>
        <v>19599.194527349995</v>
      </c>
      <c r="R20" s="181">
        <v>2027</v>
      </c>
      <c r="S20" s="424">
        <v>17300</v>
      </c>
      <c r="T20" s="424">
        <v>46200</v>
      </c>
      <c r="U20" s="424">
        <v>818600</v>
      </c>
      <c r="V20" s="424">
        <v>58</v>
      </c>
    </row>
    <row r="21" spans="2:31" x14ac:dyDescent="0.25">
      <c r="B21" s="2">
        <f t="shared" si="7"/>
        <v>2042</v>
      </c>
      <c r="C21" s="298">
        <f>($F21*$V$7*Assumptions!$D$14+$F21*$V$8*Assumptions!$D$15)/10^6</f>
        <v>428.57205551028619</v>
      </c>
      <c r="D21" s="299">
        <f t="shared" si="0"/>
        <v>32142.904163271465</v>
      </c>
      <c r="E21" s="185">
        <f>D21*(1+0.03)^-($B21-Assumptions!$D$4)</f>
        <v>16286.544310096131</v>
      </c>
      <c r="F21" s="320">
        <f>'Operation Benefits'!C22</f>
        <v>1088579.9387429059</v>
      </c>
      <c r="G21" s="322">
        <f>($F21*S$7*Assumptions!$D$14+$F21*S$8*Assumptions!$D$15)/10^6</f>
        <v>0.41717346686883705</v>
      </c>
      <c r="H21" s="323">
        <f>($F21*T$7*Assumptions!$D$14+$F21*T$8*Assumptions!$D$15)/10^6</f>
        <v>2.4986028741749585E-3</v>
      </c>
      <c r="I21" s="324">
        <f>($F21*U$7*Assumptions!$D$14+$F21*U$8*Assumptions!$D$15)/10^6</f>
        <v>8.7443212737172097E-3</v>
      </c>
      <c r="J21" s="290">
        <f t="shared" si="1"/>
        <v>7509.1224036390668</v>
      </c>
      <c r="K21" s="179">
        <f t="shared" si="2"/>
        <v>7509.1224036390668</v>
      </c>
      <c r="L21" s="180">
        <f t="shared" si="3"/>
        <v>2130.5586708089872</v>
      </c>
      <c r="M21" s="186">
        <f t="shared" si="10"/>
        <v>17148.80347808712</v>
      </c>
      <c r="N21" s="338">
        <f>M21*(1+0.07)^-(B21-Assumptions!$D$4)</f>
        <v>3617.4866468020114</v>
      </c>
      <c r="O21" s="340">
        <f t="shared" si="5"/>
        <v>49291.707641358589</v>
      </c>
      <c r="P21" s="180">
        <f t="shared" si="6"/>
        <v>19904.030956898143</v>
      </c>
      <c r="R21" s="181">
        <v>2028</v>
      </c>
      <c r="S21" s="424">
        <v>17500</v>
      </c>
      <c r="T21" s="424">
        <v>46900</v>
      </c>
      <c r="U21" s="424">
        <v>829800</v>
      </c>
      <c r="V21" s="424">
        <v>59</v>
      </c>
    </row>
    <row r="22" spans="2:31" x14ac:dyDescent="0.25">
      <c r="B22" s="2">
        <f t="shared" si="7"/>
        <v>2043</v>
      </c>
      <c r="C22" s="298">
        <f>($F22*$V$7*Assumptions!$D$14+$F22*$V$8*Assumptions!$D$15)/10^6</f>
        <v>441.28842116225519</v>
      </c>
      <c r="D22" s="299">
        <f t="shared" si="0"/>
        <v>33537.920008331392</v>
      </c>
      <c r="E22" s="185">
        <f>D22*(1+0.03)^-($B22-Assumptions!$D$4)</f>
        <v>16498.434298754051</v>
      </c>
      <c r="F22" s="320">
        <f>'Operation Benefits'!C23</f>
        <v>1120879.7127586678</v>
      </c>
      <c r="G22" s="322">
        <f>($F22*S$7*Assumptions!$D$14+$F22*S$8*Assumptions!$D$15)/10^6</f>
        <v>0.42955161956637433</v>
      </c>
      <c r="H22" s="323">
        <f>($F22*T$7*Assumptions!$D$14+$F22*T$8*Assumptions!$D$15)/10^6</f>
        <v>2.5727401105125874E-3</v>
      </c>
      <c r="I22" s="324">
        <f>($F22*U$7*Assumptions!$D$14+$F22*U$8*Assumptions!$D$15)/10^6</f>
        <v>9.0037781964567992E-3</v>
      </c>
      <c r="J22" s="290">
        <f t="shared" si="1"/>
        <v>7731.929152194738</v>
      </c>
      <c r="K22" s="179">
        <f t="shared" si="2"/>
        <v>7731.929152194738</v>
      </c>
      <c r="L22" s="180">
        <f t="shared" si="3"/>
        <v>2193.7754922340832</v>
      </c>
      <c r="M22" s="186">
        <f t="shared" si="10"/>
        <v>17657.633796623559</v>
      </c>
      <c r="N22" s="338">
        <f>M22*(1+0.07)^-(B22-Assumptions!$D$4)</f>
        <v>3481.142819297967</v>
      </c>
      <c r="O22" s="340">
        <f t="shared" si="5"/>
        <v>51195.55380495495</v>
      </c>
      <c r="P22" s="180">
        <f t="shared" si="6"/>
        <v>19979.577118052017</v>
      </c>
      <c r="R22" s="181">
        <v>2029</v>
      </c>
      <c r="S22" s="424">
        <v>17700</v>
      </c>
      <c r="T22" s="424">
        <v>47600</v>
      </c>
      <c r="U22" s="424">
        <v>841200</v>
      </c>
      <c r="V22" s="424">
        <v>60</v>
      </c>
    </row>
    <row r="23" spans="2:31" x14ac:dyDescent="0.25">
      <c r="B23" s="2">
        <f t="shared" si="7"/>
        <v>2044</v>
      </c>
      <c r="C23" s="298">
        <f>($F23*$V$7*Assumptions!$D$14+$F23*$V$8*Assumptions!$D$15)/10^6</f>
        <v>454.00478681422425</v>
      </c>
      <c r="D23" s="299">
        <f t="shared" si="0"/>
        <v>34958.368584695265</v>
      </c>
      <c r="E23" s="185">
        <f>D23*(1+0.03)^-($B23-Assumptions!$D$4)</f>
        <v>16696.3115283523</v>
      </c>
      <c r="F23" s="320">
        <f>'Operation Benefits'!C24</f>
        <v>1153179.4867744297</v>
      </c>
      <c r="G23" s="322">
        <f>($F23*S$7*Assumptions!$D$14+$F23*S$8*Assumptions!$D$15)/10^6</f>
        <v>0.4419297722639115</v>
      </c>
      <c r="H23" s="323">
        <f>($F23*T$7*Assumptions!$D$14+$F23*T$8*Assumptions!$D$15)/10^6</f>
        <v>2.6468773468502158E-3</v>
      </c>
      <c r="I23" s="324">
        <f>($F23*U$7*Assumptions!$D$14+$F23*U$8*Assumptions!$D$15)/10^6</f>
        <v>9.2632351191963887E-3</v>
      </c>
      <c r="J23" s="290">
        <f t="shared" si="1"/>
        <v>7954.7359007504074</v>
      </c>
      <c r="K23" s="179">
        <f t="shared" si="2"/>
        <v>7954.7359007504074</v>
      </c>
      <c r="L23" s="180">
        <f t="shared" si="3"/>
        <v>2256.9923136591792</v>
      </c>
      <c r="M23" s="186">
        <f t="shared" si="10"/>
        <v>18166.464115159994</v>
      </c>
      <c r="N23" s="338">
        <f>M23*(1+0.07)^-(B23-Assumptions!$D$4)</f>
        <v>3347.1560717055086</v>
      </c>
      <c r="O23" s="340">
        <f t="shared" si="5"/>
        <v>53124.832699855258</v>
      </c>
      <c r="P23" s="180">
        <f t="shared" si="6"/>
        <v>20043.467600057807</v>
      </c>
      <c r="R23" s="181">
        <v>2030</v>
      </c>
      <c r="S23" s="424">
        <v>18000</v>
      </c>
      <c r="T23" s="424">
        <v>48200</v>
      </c>
      <c r="U23" s="424">
        <v>852700</v>
      </c>
      <c r="V23" s="424">
        <v>61</v>
      </c>
    </row>
    <row r="24" spans="2:31" ht="15" customHeight="1" x14ac:dyDescent="0.25">
      <c r="B24" s="2">
        <f t="shared" si="7"/>
        <v>2045</v>
      </c>
      <c r="C24" s="298">
        <f>($F24*$V$7*Assumptions!$D$14+$F24*$V$8*Assumptions!$D$15)/10^6</f>
        <v>466.72115246619313</v>
      </c>
      <c r="D24" s="299">
        <f t="shared" si="0"/>
        <v>36404.249892363063</v>
      </c>
      <c r="E24" s="185">
        <f>D24*(1+0.03)^-($B24-Assumptions!$D$4)</f>
        <v>16880.458731442497</v>
      </c>
      <c r="F24" s="320">
        <f>'Operation Benefits'!C25</f>
        <v>1185479.2607901916</v>
      </c>
      <c r="G24" s="322">
        <f>($F24*S$7*Assumptions!$D$14+$F24*S$8*Assumptions!$D$15)/10^6</f>
        <v>0.45430792496144873</v>
      </c>
      <c r="H24" s="323">
        <f>($F24*T$7*Assumptions!$D$14+$F24*T$8*Assumptions!$D$15)/10^6</f>
        <v>2.7210145831878447E-3</v>
      </c>
      <c r="I24" s="324">
        <f>($F24*U$7*Assumptions!$D$14+$F24*U$8*Assumptions!$D$15)/10^6</f>
        <v>9.5226920419359783E-3</v>
      </c>
      <c r="J24" s="290">
        <f t="shared" si="1"/>
        <v>8177.5426493060768</v>
      </c>
      <c r="K24" s="179">
        <f t="shared" si="2"/>
        <v>8177.5426493060768</v>
      </c>
      <c r="L24" s="180">
        <f t="shared" si="3"/>
        <v>2320.2091350842752</v>
      </c>
      <c r="M24" s="186">
        <f t="shared" si="10"/>
        <v>18675.294433696428</v>
      </c>
      <c r="N24" s="338">
        <f>M24*(1+0.07)^-(B24-Assumptions!$D$4)</f>
        <v>3215.8015321441367</v>
      </c>
      <c r="O24" s="340">
        <f t="shared" si="5"/>
        <v>55079.544326059491</v>
      </c>
      <c r="P24" s="180">
        <f t="shared" si="6"/>
        <v>20096.260263586635</v>
      </c>
      <c r="R24" s="181">
        <v>2031</v>
      </c>
      <c r="S24" s="424">
        <v>18000</v>
      </c>
      <c r="T24" s="424">
        <v>48200</v>
      </c>
      <c r="U24" s="424">
        <v>852700</v>
      </c>
      <c r="V24" s="424">
        <v>62</v>
      </c>
      <c r="AA24" s="156" t="s">
        <v>111</v>
      </c>
      <c r="AB24" s="417" t="s">
        <v>231</v>
      </c>
      <c r="AC24" s="417" t="s">
        <v>232</v>
      </c>
      <c r="AD24" s="417" t="s">
        <v>233</v>
      </c>
      <c r="AE24" s="417" t="s">
        <v>234</v>
      </c>
    </row>
    <row r="25" spans="2:31" x14ac:dyDescent="0.25">
      <c r="B25" s="2">
        <f t="shared" si="7"/>
        <v>2046</v>
      </c>
      <c r="C25" s="298">
        <f>($F25*$V$7*Assumptions!$D$14+$F25*$V$8*Assumptions!$D$15)/10^6</f>
        <v>479.43751811816219</v>
      </c>
      <c r="D25" s="299">
        <f t="shared" si="0"/>
        <v>37875.563931334815</v>
      </c>
      <c r="E25" s="185">
        <f>D25*(1+0.03)^-($B25-Assumptions!$D$4)</f>
        <v>17051.164362834901</v>
      </c>
      <c r="F25" s="320">
        <f>'Operation Benefits'!C26</f>
        <v>1217779.0348059535</v>
      </c>
      <c r="G25" s="322">
        <f>($F25*S$7*Assumptions!$D$14+$F25*S$8*Assumptions!$D$15)/10^6</f>
        <v>0.46668607765898584</v>
      </c>
      <c r="H25" s="323">
        <f>($F25*T$7*Assumptions!$D$14+$F25*T$8*Assumptions!$D$15)/10^6</f>
        <v>2.795151819525474E-3</v>
      </c>
      <c r="I25" s="324">
        <f>($F25*U$7*Assumptions!$D$14+$F25*U$8*Assumptions!$D$15)/10^6</f>
        <v>9.7821489646755678E-3</v>
      </c>
      <c r="J25" s="290">
        <f t="shared" si="1"/>
        <v>8400.3493978617444</v>
      </c>
      <c r="K25" s="179">
        <f t="shared" si="2"/>
        <v>8400.3493978617444</v>
      </c>
      <c r="L25" s="180">
        <f t="shared" si="3"/>
        <v>2383.4259565093716</v>
      </c>
      <c r="M25" s="186">
        <f t="shared" si="4"/>
        <v>19184.124752232859</v>
      </c>
      <c r="N25" s="338">
        <f>M25*(1+0.07)^-(B25-Assumptions!$D$4)</f>
        <v>3087.3082427137238</v>
      </c>
      <c r="O25" s="340">
        <f t="shared" si="5"/>
        <v>57059.688683567671</v>
      </c>
      <c r="P25" s="180">
        <f t="shared" si="6"/>
        <v>20138.472605548624</v>
      </c>
      <c r="R25" s="181">
        <v>2032</v>
      </c>
      <c r="S25" s="424">
        <v>18000</v>
      </c>
      <c r="T25" s="424">
        <v>48200</v>
      </c>
      <c r="U25" s="424">
        <v>852700</v>
      </c>
      <c r="V25" s="424">
        <v>63</v>
      </c>
      <c r="AA25" s="156" t="s">
        <v>112</v>
      </c>
      <c r="AB25" s="423">
        <f>AVERAGE(AB7:AB10)</f>
        <v>0.22790983982547491</v>
      </c>
      <c r="AC25" s="423">
        <f t="shared" ref="AC25:AE25" si="11">AVERAGE(AC7:AC10)</f>
        <v>2.0699004398994176E-3</v>
      </c>
      <c r="AD25" s="423">
        <f t="shared" si="11"/>
        <v>5.8180715878192544E-3</v>
      </c>
      <c r="AE25" s="423">
        <f t="shared" si="11"/>
        <v>317.22468262036</v>
      </c>
    </row>
    <row r="26" spans="2:31" x14ac:dyDescent="0.25">
      <c r="B26" s="2">
        <f t="shared" si="7"/>
        <v>2047</v>
      </c>
      <c r="C26" s="298">
        <f>($F26*$V$7*Assumptions!$D$14+$F26*$V$8*Assumptions!$D$15)/10^6</f>
        <v>492.15388377013124</v>
      </c>
      <c r="D26" s="299">
        <f t="shared" si="0"/>
        <v>39372.310701610499</v>
      </c>
      <c r="E26" s="185">
        <f>D26*(1+0.03)^-($B26-Assumptions!$D$4)</f>
        <v>17208.721726277119</v>
      </c>
      <c r="F26" s="320">
        <f>'Operation Benefits'!C27</f>
        <v>1250078.8088217154</v>
      </c>
      <c r="G26" s="322">
        <f>($F26*S$7*Assumptions!$D$14+$F26*S$8*Assumptions!$D$15)/10^6</f>
        <v>0.47906423035652307</v>
      </c>
      <c r="H26" s="323">
        <f>($F26*T$7*Assumptions!$D$14+$F26*T$8*Assumptions!$D$15)/10^6</f>
        <v>2.8692890558631029E-3</v>
      </c>
      <c r="I26" s="324">
        <f>($F26*U$7*Assumptions!$D$14+$F26*U$8*Assumptions!$D$15)/10^6</f>
        <v>1.0041605887415157E-2</v>
      </c>
      <c r="J26" s="290">
        <f t="shared" si="1"/>
        <v>8623.1561464174156</v>
      </c>
      <c r="K26" s="179">
        <f t="shared" si="2"/>
        <v>8623.1561464174156</v>
      </c>
      <c r="L26" s="180">
        <f t="shared" si="3"/>
        <v>2446.6427779344676</v>
      </c>
      <c r="M26" s="186">
        <f t="shared" si="4"/>
        <v>19692.955070769298</v>
      </c>
      <c r="N26" s="338">
        <f>M26*(1+0.07)^-(B26-Assumptions!$D$4)</f>
        <v>2961.864011933998</v>
      </c>
      <c r="O26" s="340">
        <f t="shared" si="5"/>
        <v>59065.265772379797</v>
      </c>
      <c r="P26" s="180">
        <f t="shared" si="6"/>
        <v>20170.585738211117</v>
      </c>
      <c r="R26" s="181">
        <v>2033</v>
      </c>
      <c r="S26" s="424">
        <v>18000</v>
      </c>
      <c r="T26" s="424">
        <v>48200</v>
      </c>
      <c r="U26" s="424">
        <v>852700</v>
      </c>
      <c r="V26" s="424">
        <v>64</v>
      </c>
      <c r="AA26" s="156" t="s">
        <v>113</v>
      </c>
      <c r="AB26" s="423">
        <f>AVERAGE(AB11:AB19)</f>
        <v>2.099484306313415</v>
      </c>
      <c r="AC26" s="423">
        <f t="shared" ref="AC26:AE26" si="12">AVERAGE(AC11:AC19)</f>
        <v>4.7858028693373951E-3</v>
      </c>
      <c r="AD26" s="423">
        <f t="shared" si="12"/>
        <v>3.2505287070740692E-2</v>
      </c>
      <c r="AE26" s="423">
        <f t="shared" si="12"/>
        <v>1238.7315972924489</v>
      </c>
    </row>
    <row r="27" spans="2:31" x14ac:dyDescent="0.25">
      <c r="B27" s="2">
        <f t="shared" si="7"/>
        <v>2048</v>
      </c>
      <c r="C27" s="298">
        <f>($F27*$V$7*Assumptions!$D$14+$F27*$V$8*Assumptions!$D$15)/10^6</f>
        <v>504.87024942210019</v>
      </c>
      <c r="D27" s="299">
        <f t="shared" si="0"/>
        <v>40894.490203190115</v>
      </c>
      <c r="E27" s="185">
        <f>D27*(1+0.03)^-($B27-Assumptions!$D$4)</f>
        <v>17353.428155893314</v>
      </c>
      <c r="F27" s="320">
        <f>'Operation Benefits'!C28</f>
        <v>1282378.5828374773</v>
      </c>
      <c r="G27" s="322">
        <f>($F27*S$7*Assumptions!$D$14+$F27*S$8*Assumptions!$D$15)/10^6</f>
        <v>0.49144238305406029</v>
      </c>
      <c r="H27" s="323">
        <f>($F27*T$7*Assumptions!$D$14+$F27*T$8*Assumptions!$D$15)/10^6</f>
        <v>2.9434262922007313E-3</v>
      </c>
      <c r="I27" s="324">
        <f>($F27*U$7*Assumptions!$D$14+$F27*U$8*Assumptions!$D$15)/10^6</f>
        <v>1.0301062810154747E-2</v>
      </c>
      <c r="J27" s="290">
        <f t="shared" si="1"/>
        <v>8845.962894973085</v>
      </c>
      <c r="K27" s="179">
        <f t="shared" si="2"/>
        <v>8845.962894973085</v>
      </c>
      <c r="L27" s="180">
        <f t="shared" si="3"/>
        <v>2509.8595993595636</v>
      </c>
      <c r="M27" s="186">
        <f t="shared" si="4"/>
        <v>20201.785389305733</v>
      </c>
      <c r="N27" s="338">
        <f>M27*(1+0.07)^-(B27-Assumptions!$D$4)</f>
        <v>2839.6198295266236</v>
      </c>
      <c r="O27" s="340">
        <f t="shared" si="5"/>
        <v>61096.275592495847</v>
      </c>
      <c r="P27" s="180">
        <f t="shared" si="6"/>
        <v>20193.047985419937</v>
      </c>
      <c r="R27" s="181">
        <v>2034</v>
      </c>
      <c r="S27" s="424">
        <v>18000</v>
      </c>
      <c r="T27" s="424">
        <v>48200</v>
      </c>
      <c r="U27" s="424">
        <v>852700</v>
      </c>
      <c r="V27" s="424">
        <v>66</v>
      </c>
    </row>
    <row r="28" spans="2:31" ht="15" customHeight="1" x14ac:dyDescent="0.25">
      <c r="B28" s="2">
        <f t="shared" si="7"/>
        <v>2049</v>
      </c>
      <c r="C28" s="298">
        <f>($F28*$V$7*Assumptions!$D$14+$F28*$V$8*Assumptions!$D$15)/10^6</f>
        <v>517.5866150740693</v>
      </c>
      <c r="D28" s="299">
        <f t="shared" si="0"/>
        <v>42959.689051147754</v>
      </c>
      <c r="E28" s="185">
        <f>D28*(1+0.03)^-($B28-Assumptions!$D$4)</f>
        <v>17698.823081993349</v>
      </c>
      <c r="F28" s="320">
        <f>'Operation Benefits'!C29</f>
        <v>1314678.3568532392</v>
      </c>
      <c r="G28" s="322">
        <f>($F28*S$7*Assumptions!$D$14+$F28*S$8*Assumptions!$D$15)/10^6</f>
        <v>0.50382053575159746</v>
      </c>
      <c r="H28" s="323">
        <f>($F28*T$7*Assumptions!$D$14+$F28*T$8*Assumptions!$D$15)/10^6</f>
        <v>3.0175635285383607E-3</v>
      </c>
      <c r="I28" s="324">
        <f>($F28*U$7*Assumptions!$D$14+$F28*U$8*Assumptions!$D$15)/10^6</f>
        <v>1.0560519732894336E-2</v>
      </c>
      <c r="J28" s="290">
        <f t="shared" si="1"/>
        <v>9068.7696435287544</v>
      </c>
      <c r="K28" s="179">
        <f t="shared" si="2"/>
        <v>9068.7696435287544</v>
      </c>
      <c r="L28" s="180">
        <f t="shared" si="3"/>
        <v>2573.0764207846601</v>
      </c>
      <c r="M28" s="186">
        <f t="shared" si="4"/>
        <v>20710.615707842167</v>
      </c>
      <c r="N28" s="338">
        <f>M28*(1+0.07)^-(B28-Assumptions!$D$4)</f>
        <v>2720.6938800357902</v>
      </c>
      <c r="O28" s="340">
        <f t="shared" si="5"/>
        <v>63670.304758989922</v>
      </c>
      <c r="P28" s="180">
        <f t="shared" si="6"/>
        <v>20419.516962029138</v>
      </c>
      <c r="R28" s="181">
        <v>2035</v>
      </c>
      <c r="S28" s="424">
        <v>18000</v>
      </c>
      <c r="T28" s="424">
        <v>48200</v>
      </c>
      <c r="U28" s="424">
        <v>852700</v>
      </c>
      <c r="V28" s="424">
        <v>67</v>
      </c>
    </row>
    <row r="29" spans="2:31" x14ac:dyDescent="0.25">
      <c r="B29" s="2">
        <f t="shared" si="7"/>
        <v>2050</v>
      </c>
      <c r="C29" s="298">
        <f>($F29*$V$7*Assumptions!$D$14+$F29*$V$8*Assumptions!$D$15)/10^6</f>
        <v>530.30298072603819</v>
      </c>
      <c r="D29" s="299">
        <f t="shared" si="0"/>
        <v>44545.450380987211</v>
      </c>
      <c r="E29" s="185">
        <f>D29*(1+0.03)^-($B29-Assumptions!$D$4)</f>
        <v>17817.607527805376</v>
      </c>
      <c r="F29" s="320">
        <f>'Operation Benefits'!C30</f>
        <v>1346978.1308690012</v>
      </c>
      <c r="G29" s="322">
        <f>($F29*S$7*Assumptions!$D$14+$F29*S$8*Assumptions!$D$15)/10^6</f>
        <v>0.51619868844913475</v>
      </c>
      <c r="H29" s="323">
        <f>($F29*T$7*Assumptions!$D$14+$F29*T$8*Assumptions!$D$15)/10^6</f>
        <v>3.0917007648759891E-3</v>
      </c>
      <c r="I29" s="324">
        <f>($F29*U$7*Assumptions!$D$14+$F29*U$8*Assumptions!$D$15)/10^6</f>
        <v>1.0819976655633926E-2</v>
      </c>
      <c r="J29" s="290">
        <f t="shared" si="1"/>
        <v>9291.5763920844256</v>
      </c>
      <c r="K29" s="179">
        <f t="shared" si="2"/>
        <v>9291.5763920844256</v>
      </c>
      <c r="L29" s="180">
        <f t="shared" si="3"/>
        <v>2636.293242209756</v>
      </c>
      <c r="M29" s="186">
        <f t="shared" si="4"/>
        <v>21219.446026378606</v>
      </c>
      <c r="N29" s="338">
        <f>M29*(1+0.07)^-(B29-Assumptions!$D$4)</f>
        <v>2605.1751888810959</v>
      </c>
      <c r="O29" s="340">
        <f t="shared" si="5"/>
        <v>65764.896407365814</v>
      </c>
      <c r="P29" s="180">
        <f t="shared" si="6"/>
        <v>20422.782716686474</v>
      </c>
      <c r="R29" s="181">
        <v>2036</v>
      </c>
      <c r="S29" s="424">
        <v>18000</v>
      </c>
      <c r="T29" s="424">
        <v>48200</v>
      </c>
      <c r="U29" s="424">
        <v>852700</v>
      </c>
      <c r="V29" s="424">
        <v>68</v>
      </c>
    </row>
    <row r="30" spans="2:31" x14ac:dyDescent="0.25">
      <c r="B30" s="2">
        <f t="shared" si="7"/>
        <v>2051</v>
      </c>
      <c r="C30" s="298">
        <f>($F30*$V$7*Assumptions!$D$14+$F30*$V$8*Assumptions!$D$15)/10^6</f>
        <v>543.0193463780073</v>
      </c>
      <c r="D30" s="299">
        <f t="shared" si="0"/>
        <v>45613.625095752614</v>
      </c>
      <c r="E30" s="185">
        <f>D30*(1+0.03)^-($B30-Assumptions!$D$4)</f>
        <v>17713.459885920038</v>
      </c>
      <c r="F30" s="320">
        <f>'Operation Benefits'!C31</f>
        <v>1379277.9048847631</v>
      </c>
      <c r="G30" s="322">
        <f>($F30*S$7*Assumptions!$D$14+$F30*S$8*Assumptions!$D$15)/10^6</f>
        <v>0.52857684114667192</v>
      </c>
      <c r="H30" s="323">
        <f>($F30*T$7*Assumptions!$D$14+$F30*T$8*Assumptions!$D$15)/10^6</f>
        <v>3.1658380012136176E-3</v>
      </c>
      <c r="I30" s="324">
        <f>($F30*U$7*Assumptions!$D$14+$F30*U$8*Assumptions!$D$15)/10^6</f>
        <v>1.1079433578373515E-2</v>
      </c>
      <c r="J30" s="290">
        <f t="shared" si="1"/>
        <v>9514.383140640095</v>
      </c>
      <c r="K30" s="179">
        <f t="shared" si="2"/>
        <v>9514.383140640095</v>
      </c>
      <c r="L30" s="180">
        <f t="shared" si="3"/>
        <v>2699.5100636348516</v>
      </c>
      <c r="M30" s="186">
        <f t="shared" si="4"/>
        <v>21728.276344915041</v>
      </c>
      <c r="N30" s="338">
        <f>M30*(1+0.07)^-(B30-Assumptions!$D$4)</f>
        <v>2493.1269317580191</v>
      </c>
      <c r="O30" s="340">
        <f t="shared" si="5"/>
        <v>67341.901440667658</v>
      </c>
      <c r="P30" s="180">
        <f t="shared" si="6"/>
        <v>20206.586817678057</v>
      </c>
      <c r="R30" s="181">
        <v>2037</v>
      </c>
      <c r="S30" s="424">
        <v>18000</v>
      </c>
      <c r="T30" s="424">
        <v>48200</v>
      </c>
      <c r="U30" s="424">
        <v>852700</v>
      </c>
      <c r="V30" s="424">
        <v>69</v>
      </c>
    </row>
    <row r="31" spans="2:31" x14ac:dyDescent="0.25">
      <c r="B31" s="2">
        <f t="shared" si="7"/>
        <v>2052</v>
      </c>
      <c r="C31" s="298">
        <f>($F31*$V$7*Assumptions!$D$14+$F31*$V$8*Assumptions!$D$15)/10^6</f>
        <v>555.7357120299763</v>
      </c>
      <c r="D31" s="299">
        <f t="shared" si="0"/>
        <v>46681.799810518009</v>
      </c>
      <c r="E31" s="185">
        <f>D31*(1+0.03)^-($B31-Assumptions!$D$4)</f>
        <v>17600.263773390416</v>
      </c>
      <c r="F31" s="320">
        <f>'Operation Benefits'!C32</f>
        <v>1411577.678900525</v>
      </c>
      <c r="G31" s="322">
        <f>($F31*S$7*Assumptions!$D$14+$F31*S$8*Assumptions!$D$15)/10^6</f>
        <v>0.54095499384420898</v>
      </c>
      <c r="H31" s="323">
        <f>($F31*T$7*Assumptions!$D$14+$F31*T$8*Assumptions!$D$15)/10^6</f>
        <v>3.2399752375512469E-3</v>
      </c>
      <c r="I31" s="324">
        <f>($F31*U$7*Assumptions!$D$14+$F31*U$8*Assumptions!$D$15)/10^6</f>
        <v>1.1338890501113105E-2</v>
      </c>
      <c r="J31" s="290">
        <f t="shared" si="1"/>
        <v>9737.1898891957608</v>
      </c>
      <c r="K31" s="179">
        <f t="shared" si="2"/>
        <v>9737.1898891957608</v>
      </c>
      <c r="L31" s="180">
        <f t="shared" si="3"/>
        <v>2762.726885059948</v>
      </c>
      <c r="M31" s="186">
        <f t="shared" si="4"/>
        <v>22237.106663451468</v>
      </c>
      <c r="N31" s="338">
        <f>M31*(1+0.07)^-(B31-Assumptions!$D$4)</f>
        <v>2384.5894358293858</v>
      </c>
      <c r="O31" s="340">
        <f t="shared" si="5"/>
        <v>68918.906473969473</v>
      </c>
      <c r="P31" s="180">
        <f t="shared" si="6"/>
        <v>19984.8532092198</v>
      </c>
      <c r="R31" s="181">
        <v>2038</v>
      </c>
      <c r="S31" s="424">
        <v>18000</v>
      </c>
      <c r="T31" s="424">
        <v>48200</v>
      </c>
      <c r="U31" s="424">
        <v>852700</v>
      </c>
      <c r="V31" s="424">
        <v>70</v>
      </c>
    </row>
    <row r="32" spans="2:31" x14ac:dyDescent="0.25">
      <c r="B32" s="2">
        <f t="shared" si="7"/>
        <v>2053</v>
      </c>
      <c r="C32" s="298">
        <f>($F32*$V$7*Assumptions!$D$14+$F32*$V$8*Assumptions!$D$15)/10^6</f>
        <v>568.4520776819453</v>
      </c>
      <c r="D32" s="299">
        <f t="shared" si="0"/>
        <v>47749.974525283404</v>
      </c>
      <c r="E32" s="185">
        <f>D32*(1+0.03)^-($B32-Assumptions!$D$4)</f>
        <v>17478.634637820931</v>
      </c>
      <c r="F32" s="320">
        <f>'Operation Benefits'!C33</f>
        <v>1443877.4529162869</v>
      </c>
      <c r="G32" s="322">
        <f>($F32*S$7*Assumptions!$D$14+$F32*S$8*Assumptions!$D$15)/10^6</f>
        <v>0.55333314654174637</v>
      </c>
      <c r="H32" s="323">
        <f>($F32*T$7*Assumptions!$D$14+$F32*T$8*Assumptions!$D$15)/10^6</f>
        <v>3.3141124738888758E-3</v>
      </c>
      <c r="I32" s="324">
        <f>($F32*U$7*Assumptions!$D$14+$F32*U$8*Assumptions!$D$15)/10^6</f>
        <v>1.1598347423852694E-2</v>
      </c>
      <c r="J32" s="290">
        <f t="shared" si="1"/>
        <v>9959.9966377514338</v>
      </c>
      <c r="K32" s="179">
        <f t="shared" si="2"/>
        <v>9959.9966377514338</v>
      </c>
      <c r="L32" s="180">
        <f t="shared" si="3"/>
        <v>2825.9437064850445</v>
      </c>
      <c r="M32" s="186">
        <f t="shared" si="4"/>
        <v>22745.936981987914</v>
      </c>
      <c r="N32" s="338">
        <f>M32*(1+0.07)^-(B32-Assumptions!$D$4)</f>
        <v>2279.5828988705293</v>
      </c>
      <c r="O32" s="340">
        <f t="shared" si="5"/>
        <v>70495.911507271318</v>
      </c>
      <c r="P32" s="180">
        <f t="shared" si="6"/>
        <v>19758.21753669146</v>
      </c>
      <c r="R32" s="181">
        <v>2039</v>
      </c>
      <c r="S32" s="424">
        <v>18000</v>
      </c>
      <c r="T32" s="424">
        <v>48200</v>
      </c>
      <c r="U32" s="424">
        <v>852700</v>
      </c>
      <c r="V32" s="424">
        <v>71</v>
      </c>
    </row>
    <row r="33" spans="1:24" x14ac:dyDescent="0.25">
      <c r="B33" s="2">
        <f t="shared" si="7"/>
        <v>2054</v>
      </c>
      <c r="C33" s="298">
        <f>($F33*$V$7*Assumptions!$D$14+$F33*$V$8*Assumptions!$D$15)/10^6</f>
        <v>581.1684433339143</v>
      </c>
      <c r="D33" s="299">
        <f t="shared" si="0"/>
        <v>48818.149240048799</v>
      </c>
      <c r="E33" s="185">
        <f>D33*(1+0.03)^-($B33-Assumptions!$D$4)</f>
        <v>17349.159751645486</v>
      </c>
      <c r="F33" s="320">
        <f>'Operation Benefits'!C34</f>
        <v>1476177.2269320488</v>
      </c>
      <c r="G33" s="322">
        <f>($F33*S$7*Assumptions!$D$14+$F33*S$8*Assumptions!$D$15)/10^6</f>
        <v>0.56571129923928354</v>
      </c>
      <c r="H33" s="323">
        <f>($F33*T$7*Assumptions!$D$14+$F33*T$8*Assumptions!$D$15)/10^6</f>
        <v>3.3882497102265042E-3</v>
      </c>
      <c r="I33" s="324">
        <f>($F33*U$7*Assumptions!$D$14+$F33*U$8*Assumptions!$D$15)/10^6</f>
        <v>1.1857804346592284E-2</v>
      </c>
      <c r="J33" s="290">
        <f t="shared" si="1"/>
        <v>10182.803386307103</v>
      </c>
      <c r="K33" s="179">
        <f t="shared" si="2"/>
        <v>10182.803386307103</v>
      </c>
      <c r="L33" s="180">
        <f t="shared" si="3"/>
        <v>2889.16052791014</v>
      </c>
      <c r="M33" s="186">
        <f t="shared" si="4"/>
        <v>23254.767300524345</v>
      </c>
      <c r="N33" s="338">
        <f>M33*(1+0.07)^-(B33-Assumptions!$D$4)</f>
        <v>2178.1098504267134</v>
      </c>
      <c r="O33" s="340">
        <f t="shared" si="5"/>
        <v>72072.916540573147</v>
      </c>
      <c r="P33" s="180">
        <f t="shared" si="6"/>
        <v>19527.2696020722</v>
      </c>
      <c r="R33" s="181">
        <v>2040</v>
      </c>
      <c r="S33" s="424">
        <v>18000</v>
      </c>
      <c r="T33" s="424">
        <v>48200</v>
      </c>
      <c r="U33" s="424">
        <v>852700</v>
      </c>
      <c r="V33" s="424">
        <v>72</v>
      </c>
    </row>
    <row r="34" spans="1:24" ht="15.75" thickBot="1" x14ac:dyDescent="0.3">
      <c r="B34" s="3">
        <f t="shared" si="7"/>
        <v>2055</v>
      </c>
      <c r="C34" s="300">
        <f>($F34*$V$7*Assumptions!$D$14+$F34*$V$8*Assumptions!$D$15)/10^6</f>
        <v>593.88480898588318</v>
      </c>
      <c r="D34" s="301">
        <f t="shared" si="0"/>
        <v>49886.323954814186</v>
      </c>
      <c r="E34" s="288">
        <f>D34*(1+0.03)^-($B34-Assumptions!$D$4)</f>
        <v>17212.399331293022</v>
      </c>
      <c r="F34" s="321">
        <f>'Operation Benefits'!C35</f>
        <v>1508477.0009478107</v>
      </c>
      <c r="G34" s="325">
        <f>($F34*S$7*Assumptions!$D$14+$F34*S$8*Assumptions!$D$15)/10^6</f>
        <v>0.5780894519368206</v>
      </c>
      <c r="H34" s="326">
        <f>($F34*T$7*Assumptions!$D$14+$F34*T$8*Assumptions!$D$15)/10^6</f>
        <v>3.4623869465641331E-3</v>
      </c>
      <c r="I34" s="327">
        <f>($F34*U$7*Assumptions!$D$14+$F34*U$8*Assumptions!$D$15)/10^6</f>
        <v>1.2117261269331873E-2</v>
      </c>
      <c r="J34" s="291">
        <f t="shared" si="1"/>
        <v>10405.610134862771</v>
      </c>
      <c r="K34" s="287">
        <f t="shared" si="2"/>
        <v>10405.610134862771</v>
      </c>
      <c r="L34" s="288">
        <f t="shared" si="3"/>
        <v>2952.3773493352364</v>
      </c>
      <c r="M34" s="289">
        <f t="shared" si="4"/>
        <v>23763.597619060776</v>
      </c>
      <c r="N34" s="339">
        <f>M34*(1+0.07)^-(B34-Assumptions!$D$4)</f>
        <v>2080.1573771007411</v>
      </c>
      <c r="O34" s="301">
        <f t="shared" si="5"/>
        <v>73649.921573874963</v>
      </c>
      <c r="P34" s="288">
        <f t="shared" si="6"/>
        <v>19292.556708393764</v>
      </c>
      <c r="R34" s="181">
        <v>2041</v>
      </c>
      <c r="S34" s="424">
        <v>18000</v>
      </c>
      <c r="T34" s="424">
        <v>48200</v>
      </c>
      <c r="U34" s="424">
        <v>852700</v>
      </c>
      <c r="V34" s="424">
        <v>73</v>
      </c>
    </row>
    <row r="35" spans="1:24" x14ac:dyDescent="0.25">
      <c r="B35" s="4"/>
      <c r="C35" s="4"/>
      <c r="D35" s="183" t="s">
        <v>2</v>
      </c>
      <c r="E35" s="302">
        <f>SUM(E5:E34)</f>
        <v>455368.60510697612</v>
      </c>
      <c r="F35" s="182"/>
      <c r="G35" s="4"/>
      <c r="H35" s="4"/>
      <c r="I35" s="4"/>
      <c r="J35" s="4"/>
      <c r="K35" s="4"/>
      <c r="L35" s="4"/>
      <c r="M35" s="183" t="s">
        <v>2</v>
      </c>
      <c r="N35" s="302">
        <f>SUM(N5:N34)</f>
        <v>114732.30692390315</v>
      </c>
      <c r="O35" s="302">
        <f>SUM(O5:O34)</f>
        <v>1409722.6294427968</v>
      </c>
      <c r="P35" s="302">
        <f>SUM(P5:P34)</f>
        <v>570100.91203087918</v>
      </c>
      <c r="Q35" s="173"/>
      <c r="R35" s="181">
        <v>2042</v>
      </c>
      <c r="S35" s="424">
        <v>18000</v>
      </c>
      <c r="T35" s="424">
        <v>48200</v>
      </c>
      <c r="U35" s="424">
        <v>852700</v>
      </c>
      <c r="V35" s="424">
        <v>75</v>
      </c>
    </row>
    <row r="36" spans="1:24" x14ac:dyDescent="0.25">
      <c r="Q36" s="173"/>
      <c r="R36" s="181">
        <v>2043</v>
      </c>
      <c r="S36" s="424">
        <v>18000</v>
      </c>
      <c r="T36" s="424">
        <v>48200</v>
      </c>
      <c r="U36" s="424">
        <v>852700</v>
      </c>
      <c r="V36" s="424">
        <v>76</v>
      </c>
    </row>
    <row r="37" spans="1:24" x14ac:dyDescent="0.25">
      <c r="B37" s="12" t="s">
        <v>3</v>
      </c>
      <c r="C37" s="12"/>
      <c r="D37" s="12"/>
      <c r="E37" s="12"/>
      <c r="R37" s="181">
        <v>2044</v>
      </c>
      <c r="S37" s="424">
        <v>18000</v>
      </c>
      <c r="T37" s="424">
        <v>48200</v>
      </c>
      <c r="U37" s="424">
        <v>852700</v>
      </c>
      <c r="V37" s="424">
        <v>77</v>
      </c>
    </row>
    <row r="38" spans="1:24" ht="15" customHeight="1" x14ac:dyDescent="0.25">
      <c r="A38" s="13" t="s">
        <v>57</v>
      </c>
      <c r="B38" s="459" t="s">
        <v>263</v>
      </c>
      <c r="C38" s="459"/>
      <c r="D38" s="459"/>
      <c r="E38" s="459"/>
      <c r="F38" s="459"/>
      <c r="G38" s="459"/>
      <c r="H38" s="459"/>
      <c r="I38" s="459"/>
      <c r="J38" s="459"/>
      <c r="K38" s="459"/>
      <c r="L38" s="459"/>
      <c r="M38" s="459"/>
      <c r="R38" s="181">
        <v>2045</v>
      </c>
      <c r="S38" s="424">
        <v>18000</v>
      </c>
      <c r="T38" s="424">
        <v>48200</v>
      </c>
      <c r="U38" s="424">
        <v>852700</v>
      </c>
      <c r="V38" s="424">
        <v>78</v>
      </c>
    </row>
    <row r="39" spans="1:24" x14ac:dyDescent="0.25">
      <c r="B39" s="459"/>
      <c r="C39" s="459"/>
      <c r="D39" s="459"/>
      <c r="E39" s="459"/>
      <c r="F39" s="459"/>
      <c r="G39" s="459"/>
      <c r="H39" s="459"/>
      <c r="I39" s="459"/>
      <c r="J39" s="459"/>
      <c r="K39" s="459"/>
      <c r="L39" s="459"/>
      <c r="M39" s="459"/>
      <c r="R39" s="181">
        <v>2046</v>
      </c>
      <c r="S39" s="424">
        <v>18000</v>
      </c>
      <c r="T39" s="424">
        <v>48200</v>
      </c>
      <c r="U39" s="424">
        <v>852700</v>
      </c>
      <c r="V39" s="424">
        <v>79</v>
      </c>
    </row>
    <row r="40" spans="1:24" x14ac:dyDescent="0.25">
      <c r="B40" s="459"/>
      <c r="C40" s="459"/>
      <c r="D40" s="459"/>
      <c r="E40" s="459"/>
      <c r="F40" s="459"/>
      <c r="G40" s="459"/>
      <c r="H40" s="459"/>
      <c r="I40" s="459"/>
      <c r="J40" s="459"/>
      <c r="K40" s="459"/>
      <c r="L40" s="459"/>
      <c r="M40" s="459"/>
      <c r="R40" s="181">
        <v>2047</v>
      </c>
      <c r="S40" s="424">
        <v>18000</v>
      </c>
      <c r="T40" s="424">
        <v>48200</v>
      </c>
      <c r="U40" s="424">
        <v>852700</v>
      </c>
      <c r="V40" s="424">
        <v>80</v>
      </c>
    </row>
    <row r="41" spans="1:24" x14ac:dyDescent="0.25">
      <c r="B41" s="12"/>
      <c r="C41" s="12"/>
      <c r="D41" s="12"/>
      <c r="E41" s="12"/>
      <c r="R41" s="181">
        <v>2048</v>
      </c>
      <c r="S41" s="424">
        <v>18000</v>
      </c>
      <c r="T41" s="424">
        <v>48200</v>
      </c>
      <c r="U41" s="424">
        <v>852700</v>
      </c>
      <c r="V41" s="424">
        <v>81</v>
      </c>
    </row>
    <row r="42" spans="1:24" ht="15" customHeight="1" x14ac:dyDescent="0.25">
      <c r="A42" s="13" t="s">
        <v>71</v>
      </c>
      <c r="B42" s="472" t="s">
        <v>260</v>
      </c>
      <c r="C42" s="472"/>
      <c r="D42" s="472"/>
      <c r="E42" s="472"/>
      <c r="F42" s="472"/>
      <c r="G42" s="472"/>
      <c r="H42" s="472"/>
      <c r="I42" s="472"/>
      <c r="J42" s="472"/>
      <c r="K42" s="472"/>
      <c r="L42" s="472"/>
      <c r="M42" s="472"/>
      <c r="R42" s="181">
        <v>2049</v>
      </c>
      <c r="S42" s="424">
        <v>18000</v>
      </c>
      <c r="T42" s="424">
        <v>48200</v>
      </c>
      <c r="U42" s="424">
        <v>852700</v>
      </c>
      <c r="V42" s="424">
        <v>83</v>
      </c>
    </row>
    <row r="43" spans="1:24" ht="15.75" customHeight="1" x14ac:dyDescent="0.25">
      <c r="B43" s="472"/>
      <c r="C43" s="472"/>
      <c r="D43" s="472"/>
      <c r="E43" s="472"/>
      <c r="F43" s="472"/>
      <c r="G43" s="472"/>
      <c r="H43" s="472"/>
      <c r="I43" s="472"/>
      <c r="J43" s="472"/>
      <c r="K43" s="472"/>
      <c r="L43" s="472"/>
      <c r="M43" s="472"/>
      <c r="R43" s="181">
        <v>2050</v>
      </c>
      <c r="S43" s="424">
        <v>18000</v>
      </c>
      <c r="T43" s="424">
        <v>48200</v>
      </c>
      <c r="U43" s="424">
        <v>852700</v>
      </c>
      <c r="V43" s="424">
        <v>84</v>
      </c>
    </row>
    <row r="44" spans="1:24" x14ac:dyDescent="0.25">
      <c r="A44" s="13"/>
      <c r="B44" s="184"/>
      <c r="C44" s="184"/>
      <c r="D44" s="184"/>
      <c r="E44" s="184"/>
      <c r="F44" s="114"/>
      <c r="G44" s="173"/>
      <c r="H44" s="173"/>
      <c r="I44" s="114"/>
      <c r="R44" s="435">
        <v>2051</v>
      </c>
      <c r="S44" s="436">
        <f>S43</f>
        <v>18000</v>
      </c>
      <c r="T44" s="436">
        <f t="shared" ref="T44:U44" si="13">T43</f>
        <v>48200</v>
      </c>
      <c r="U44" s="436">
        <f t="shared" si="13"/>
        <v>852700</v>
      </c>
      <c r="V44" s="436">
        <f>V43</f>
        <v>84</v>
      </c>
      <c r="W44" s="491" t="s">
        <v>262</v>
      </c>
      <c r="X44" s="472"/>
    </row>
    <row r="45" spans="1:24" ht="15" customHeight="1" x14ac:dyDescent="0.25">
      <c r="A45" s="13" t="s">
        <v>72</v>
      </c>
      <c r="B45" s="472" t="s">
        <v>225</v>
      </c>
      <c r="C45" s="472"/>
      <c r="D45" s="472"/>
      <c r="E45" s="472"/>
      <c r="F45" s="472"/>
      <c r="G45" s="472"/>
      <c r="H45" s="472"/>
      <c r="I45" s="472"/>
      <c r="J45" s="472"/>
      <c r="K45" s="472"/>
      <c r="L45" s="472"/>
      <c r="M45" s="472"/>
      <c r="R45" s="435">
        <v>2052</v>
      </c>
      <c r="S45" s="436">
        <f t="shared" ref="S45:S47" si="14">S44</f>
        <v>18000</v>
      </c>
      <c r="T45" s="436">
        <f t="shared" ref="T45:T47" si="15">T44</f>
        <v>48200</v>
      </c>
      <c r="U45" s="436">
        <f t="shared" ref="U45:U47" si="16">U44</f>
        <v>852700</v>
      </c>
      <c r="V45" s="436">
        <f t="shared" ref="V45:V47" si="17">V44</f>
        <v>84</v>
      </c>
      <c r="W45" s="491"/>
      <c r="X45" s="472"/>
    </row>
    <row r="46" spans="1:24" x14ac:dyDescent="0.25">
      <c r="B46" s="472"/>
      <c r="C46" s="472"/>
      <c r="D46" s="472"/>
      <c r="E46" s="472"/>
      <c r="F46" s="472"/>
      <c r="G46" s="472"/>
      <c r="H46" s="472"/>
      <c r="I46" s="472"/>
      <c r="J46" s="472"/>
      <c r="K46" s="472"/>
      <c r="L46" s="472"/>
      <c r="M46" s="472"/>
      <c r="R46" s="435">
        <v>2053</v>
      </c>
      <c r="S46" s="436">
        <f t="shared" si="14"/>
        <v>18000</v>
      </c>
      <c r="T46" s="436">
        <f t="shared" si="15"/>
        <v>48200</v>
      </c>
      <c r="U46" s="436">
        <f t="shared" si="16"/>
        <v>852700</v>
      </c>
      <c r="V46" s="436">
        <f t="shared" si="17"/>
        <v>84</v>
      </c>
      <c r="W46" s="491"/>
      <c r="X46" s="472"/>
    </row>
    <row r="47" spans="1:24" x14ac:dyDescent="0.25">
      <c r="A47" s="13"/>
      <c r="B47" s="472"/>
      <c r="C47" s="472"/>
      <c r="D47" s="472"/>
      <c r="E47" s="472"/>
      <c r="F47" s="472"/>
      <c r="G47" s="472"/>
      <c r="H47" s="472"/>
      <c r="I47" s="472"/>
      <c r="J47" s="472"/>
      <c r="K47" s="472"/>
      <c r="L47" s="472"/>
      <c r="M47" s="472"/>
      <c r="R47" s="435">
        <v>2054</v>
      </c>
      <c r="S47" s="436">
        <f t="shared" si="14"/>
        <v>18000</v>
      </c>
      <c r="T47" s="436">
        <f t="shared" si="15"/>
        <v>48200</v>
      </c>
      <c r="U47" s="436">
        <f t="shared" si="16"/>
        <v>852700</v>
      </c>
      <c r="V47" s="436">
        <f t="shared" si="17"/>
        <v>84</v>
      </c>
      <c r="W47" s="491"/>
      <c r="X47" s="472"/>
    </row>
    <row r="48" spans="1:24" x14ac:dyDescent="0.25">
      <c r="A48" s="13"/>
      <c r="B48" s="309"/>
      <c r="C48" s="309"/>
      <c r="D48" s="309"/>
      <c r="E48" s="309"/>
      <c r="F48" s="309"/>
      <c r="G48" s="309"/>
      <c r="H48" s="309"/>
      <c r="I48" s="309"/>
      <c r="R48" s="435">
        <v>2055</v>
      </c>
      <c r="S48" s="436">
        <f t="shared" ref="S48" si="18">S47</f>
        <v>18000</v>
      </c>
      <c r="T48" s="436">
        <f t="shared" ref="T48" si="19">T47</f>
        <v>48200</v>
      </c>
      <c r="U48" s="436">
        <f t="shared" ref="U48" si="20">U47</f>
        <v>852700</v>
      </c>
      <c r="V48" s="436">
        <f t="shared" ref="V48" si="21">V47</f>
        <v>84</v>
      </c>
      <c r="W48" s="491"/>
      <c r="X48" s="472"/>
    </row>
    <row r="49" spans="1:16" x14ac:dyDescent="0.25">
      <c r="A49" s="13"/>
      <c r="B49" s="309"/>
      <c r="C49" s="309"/>
      <c r="D49" s="309"/>
      <c r="E49" s="309"/>
      <c r="F49" s="309"/>
      <c r="G49" s="309"/>
      <c r="H49" s="309"/>
      <c r="I49" s="309"/>
    </row>
    <row r="50" spans="1:16" x14ac:dyDescent="0.25">
      <c r="A50" s="13"/>
      <c r="B50" s="309"/>
      <c r="C50" s="309"/>
      <c r="D50" s="309"/>
      <c r="E50" s="309"/>
      <c r="F50" s="309"/>
      <c r="G50" s="309"/>
      <c r="H50" s="309"/>
      <c r="I50" s="309"/>
    </row>
    <row r="51" spans="1:16" x14ac:dyDescent="0.25">
      <c r="A51" s="13"/>
      <c r="B51" s="309"/>
      <c r="C51" s="309"/>
      <c r="D51" s="309"/>
      <c r="E51" s="309"/>
      <c r="F51" s="309"/>
      <c r="G51" s="309"/>
      <c r="H51" s="309"/>
      <c r="I51" s="309"/>
    </row>
    <row r="52" spans="1:16" x14ac:dyDescent="0.25">
      <c r="A52" s="13"/>
      <c r="B52" s="309"/>
      <c r="C52" s="309"/>
      <c r="D52" s="309"/>
      <c r="E52" s="309"/>
      <c r="F52" s="309"/>
      <c r="G52" s="309"/>
      <c r="H52" s="309"/>
      <c r="I52" s="309"/>
    </row>
    <row r="53" spans="1:16" x14ac:dyDescent="0.25">
      <c r="A53" s="13"/>
      <c r="B53" s="184"/>
      <c r="C53" s="184"/>
      <c r="D53" s="184"/>
      <c r="E53" s="184"/>
      <c r="F53" s="114"/>
      <c r="G53" s="114"/>
      <c r="H53" s="114"/>
      <c r="I53" s="114"/>
      <c r="N53" s="310"/>
      <c r="O53" s="310"/>
      <c r="P53" s="310"/>
    </row>
    <row r="54" spans="1:16" x14ac:dyDescent="0.25">
      <c r="B54" s="184"/>
      <c r="C54" s="184"/>
      <c r="D54" s="184"/>
      <c r="E54" s="184"/>
      <c r="F54" s="114"/>
      <c r="G54" s="114"/>
      <c r="H54" s="114"/>
      <c r="I54" s="114"/>
      <c r="N54" s="310"/>
      <c r="O54" s="310"/>
      <c r="P54" s="310"/>
    </row>
    <row r="55" spans="1:16" x14ac:dyDescent="0.25">
      <c r="B55" s="184"/>
      <c r="C55" s="184"/>
      <c r="D55" s="184"/>
      <c r="E55" s="184"/>
      <c r="F55" s="114"/>
      <c r="G55" s="114"/>
      <c r="H55" s="114"/>
      <c r="I55" s="114"/>
      <c r="J55" s="99"/>
      <c r="L55" s="173"/>
      <c r="M55" s="173"/>
      <c r="N55" s="310"/>
      <c r="O55" s="310"/>
      <c r="P55" s="310"/>
    </row>
    <row r="56" spans="1:16" x14ac:dyDescent="0.25">
      <c r="B56" s="184"/>
      <c r="C56" s="184"/>
      <c r="D56" s="184"/>
      <c r="E56" s="184"/>
      <c r="F56" s="114"/>
      <c r="G56" s="114"/>
      <c r="H56" s="114"/>
      <c r="I56" s="114"/>
      <c r="J56" s="99"/>
      <c r="L56" s="173"/>
      <c r="M56" s="173"/>
    </row>
    <row r="57" spans="1:16" x14ac:dyDescent="0.25">
      <c r="A57" s="13"/>
      <c r="B57" s="184"/>
      <c r="C57" s="184"/>
      <c r="D57" s="184"/>
      <c r="E57" s="184"/>
      <c r="F57" s="114"/>
      <c r="G57" s="114"/>
      <c r="H57" s="114"/>
      <c r="I57" s="114"/>
      <c r="L57" s="173"/>
      <c r="M57" s="173"/>
    </row>
    <row r="58" spans="1:16" x14ac:dyDescent="0.25">
      <c r="B58" s="184"/>
      <c r="C58" s="184"/>
      <c r="D58" s="184"/>
      <c r="E58" s="184"/>
      <c r="F58" s="114"/>
      <c r="G58" s="114"/>
      <c r="H58" s="114"/>
      <c r="I58" s="114"/>
      <c r="L58" s="173"/>
      <c r="M58" s="173"/>
    </row>
    <row r="59" spans="1:16" x14ac:dyDescent="0.25">
      <c r="B59" s="184"/>
      <c r="C59" s="184"/>
      <c r="D59" s="184"/>
      <c r="E59" s="184"/>
      <c r="F59" s="114"/>
      <c r="G59" s="114"/>
      <c r="H59" s="114"/>
      <c r="I59" s="114"/>
      <c r="J59" s="173"/>
      <c r="K59" s="173"/>
      <c r="L59" s="173"/>
      <c r="M59" s="173"/>
    </row>
    <row r="60" spans="1:16" x14ac:dyDescent="0.25">
      <c r="B60" s="184"/>
      <c r="C60" s="184"/>
      <c r="D60" s="184"/>
      <c r="E60" s="184"/>
      <c r="F60" s="114"/>
      <c r="G60" s="114"/>
      <c r="H60" s="114"/>
      <c r="I60" s="114"/>
      <c r="K60" s="173"/>
      <c r="L60" s="173"/>
      <c r="M60" s="173"/>
    </row>
    <row r="61" spans="1:16" x14ac:dyDescent="0.25">
      <c r="B61" s="184"/>
      <c r="C61" s="184"/>
      <c r="D61" s="184"/>
      <c r="E61" s="184"/>
      <c r="F61" s="114"/>
      <c r="G61" s="114"/>
      <c r="H61" s="114"/>
      <c r="I61" s="114"/>
      <c r="J61" s="114"/>
      <c r="L61" s="173"/>
      <c r="M61" s="173"/>
    </row>
    <row r="62" spans="1:16" x14ac:dyDescent="0.25">
      <c r="B62" s="184"/>
      <c r="C62" s="184"/>
      <c r="D62" s="184"/>
      <c r="E62" s="184"/>
      <c r="F62" s="114"/>
      <c r="G62" s="114"/>
      <c r="H62" s="114"/>
      <c r="I62" s="114"/>
      <c r="J62" s="114"/>
    </row>
    <row r="63" spans="1:16" x14ac:dyDescent="0.25">
      <c r="B63" s="184"/>
      <c r="C63" s="184"/>
      <c r="D63" s="184"/>
      <c r="E63" s="184"/>
      <c r="F63" s="114"/>
      <c r="G63" s="114"/>
      <c r="H63" s="114"/>
      <c r="I63" s="114"/>
      <c r="J63" s="114"/>
      <c r="K63" s="114"/>
    </row>
    <row r="64" spans="1:16" x14ac:dyDescent="0.25">
      <c r="B64" s="184"/>
      <c r="C64" s="184"/>
      <c r="D64" s="184"/>
      <c r="E64" s="184"/>
      <c r="F64" s="114"/>
      <c r="G64" s="114"/>
      <c r="H64" s="114"/>
      <c r="I64" s="114"/>
      <c r="J64" s="114"/>
      <c r="K64" s="114"/>
    </row>
    <row r="65" spans="1:12" x14ac:dyDescent="0.25">
      <c r="A65" s="13"/>
      <c r="B65" s="184"/>
      <c r="C65" s="184"/>
      <c r="D65" s="184"/>
      <c r="E65" s="184"/>
      <c r="F65" s="114"/>
      <c r="G65" s="114"/>
      <c r="H65" s="114"/>
      <c r="I65" s="114"/>
      <c r="J65" s="114"/>
      <c r="K65" s="114"/>
    </row>
    <row r="66" spans="1:12" x14ac:dyDescent="0.25">
      <c r="J66" s="114"/>
      <c r="K66" s="114"/>
    </row>
    <row r="67" spans="1:12" x14ac:dyDescent="0.25">
      <c r="F67" s="173"/>
      <c r="I67" s="173"/>
      <c r="J67" s="114"/>
      <c r="K67" s="114"/>
    </row>
    <row r="68" spans="1:12" x14ac:dyDescent="0.25">
      <c r="B68" s="173"/>
      <c r="C68" s="173"/>
      <c r="D68" s="173"/>
      <c r="E68" s="173"/>
      <c r="F68" s="173"/>
      <c r="I68" s="173"/>
      <c r="J68" s="114"/>
      <c r="K68" s="114"/>
    </row>
    <row r="69" spans="1:12" x14ac:dyDescent="0.25">
      <c r="J69" s="114"/>
      <c r="K69" s="114"/>
    </row>
    <row r="70" spans="1:12" x14ac:dyDescent="0.25">
      <c r="A70" s="13"/>
      <c r="B70" s="114"/>
      <c r="C70" s="114"/>
      <c r="D70" s="114"/>
      <c r="E70" s="114"/>
      <c r="F70" s="114"/>
      <c r="G70" s="114"/>
      <c r="H70" s="114"/>
      <c r="I70" s="114"/>
      <c r="J70" s="114"/>
      <c r="K70" s="114"/>
    </row>
    <row r="71" spans="1:12" x14ac:dyDescent="0.25">
      <c r="B71" s="114"/>
      <c r="C71" s="114"/>
      <c r="D71" s="114"/>
      <c r="E71" s="114"/>
      <c r="F71" s="114"/>
      <c r="G71" s="114"/>
      <c r="H71" s="114"/>
      <c r="J71" s="114"/>
      <c r="K71" s="114"/>
    </row>
    <row r="72" spans="1:12" x14ac:dyDescent="0.25">
      <c r="J72" s="114"/>
      <c r="K72" s="114"/>
    </row>
    <row r="73" spans="1:12" x14ac:dyDescent="0.25">
      <c r="A73" s="13"/>
      <c r="J73" s="114"/>
      <c r="K73" s="114"/>
    </row>
    <row r="74" spans="1:12" x14ac:dyDescent="0.25">
      <c r="J74" s="114"/>
      <c r="K74" s="114"/>
    </row>
    <row r="76" spans="1:12" x14ac:dyDescent="0.25">
      <c r="J76" s="173"/>
    </row>
    <row r="77" spans="1:12" x14ac:dyDescent="0.25">
      <c r="J77" s="173"/>
      <c r="L77" s="114"/>
    </row>
    <row r="79" spans="1:12" x14ac:dyDescent="0.25">
      <c r="J79" s="114"/>
      <c r="K79" s="114"/>
    </row>
  </sheetData>
  <mergeCells count="22">
    <mergeCell ref="O3:O4"/>
    <mergeCell ref="O2:P2"/>
    <mergeCell ref="F2:N2"/>
    <mergeCell ref="L3:L4"/>
    <mergeCell ref="M3:M4"/>
    <mergeCell ref="N3:N4"/>
    <mergeCell ref="B45:M47"/>
    <mergeCell ref="W44:X48"/>
    <mergeCell ref="C2:E2"/>
    <mergeCell ref="B38:M40"/>
    <mergeCell ref="B42:M43"/>
    <mergeCell ref="F3:F4"/>
    <mergeCell ref="K3:K4"/>
    <mergeCell ref="G3:G4"/>
    <mergeCell ref="H3:H4"/>
    <mergeCell ref="I3:I4"/>
    <mergeCell ref="J3:J4"/>
    <mergeCell ref="B3:B4"/>
    <mergeCell ref="C3:C4"/>
    <mergeCell ref="D3:D4"/>
    <mergeCell ref="E3:E4"/>
    <mergeCell ref="P3:P4"/>
  </mergeCells>
  <pageMargins left="0.25" right="0.25" top="0.75" bottom="0.75" header="0.3" footer="0.3"/>
  <pageSetup paperSize="3"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442D0-9A3A-4DD4-814B-F857395D9C21}">
  <sheetPr>
    <tabColor rgb="FFC00000"/>
    <pageSetUpPr fitToPage="1"/>
  </sheetPr>
  <dimension ref="A1:P61"/>
  <sheetViews>
    <sheetView view="pageBreakPreview" zoomScale="85" zoomScaleNormal="85" zoomScaleSheetLayoutView="85" workbookViewId="0">
      <selection activeCell="O15" sqref="O15"/>
    </sheetView>
  </sheetViews>
  <sheetFormatPr defaultRowHeight="15" x14ac:dyDescent="0.25"/>
  <cols>
    <col min="1" max="1" width="9.140625" style="147"/>
    <col min="2" max="4" width="15.7109375" style="147" customWidth="1"/>
    <col min="5" max="6" width="15.5703125" style="147" customWidth="1"/>
    <col min="7" max="7" width="27.5703125" style="147" customWidth="1"/>
    <col min="8" max="8" width="25.7109375" style="147" customWidth="1"/>
    <col min="9" max="10" width="22.7109375" style="147" customWidth="1"/>
    <col min="11" max="13" width="9.140625" style="147"/>
    <col min="14" max="14" width="28.7109375" style="147" bestFit="1" customWidth="1"/>
    <col min="15" max="15" width="9.140625" style="147"/>
    <col min="16" max="16" width="11.28515625" style="147" bestFit="1" customWidth="1"/>
    <col min="17" max="16384" width="9.140625" style="147"/>
  </cols>
  <sheetData>
    <row r="1" spans="2:16" x14ac:dyDescent="0.25">
      <c r="C1" s="147">
        <v>2</v>
      </c>
    </row>
    <row r="2" spans="2:16" ht="15.75" thickBot="1" x14ac:dyDescent="0.3">
      <c r="B2" s="12" t="s">
        <v>31</v>
      </c>
    </row>
    <row r="3" spans="2:16" ht="22.5" customHeight="1" x14ac:dyDescent="0.25">
      <c r="B3" s="475" t="s">
        <v>0</v>
      </c>
      <c r="C3" s="513" t="s">
        <v>162</v>
      </c>
      <c r="D3" s="465" t="s">
        <v>163</v>
      </c>
      <c r="E3" s="465" t="s">
        <v>94</v>
      </c>
      <c r="F3" s="307"/>
    </row>
    <row r="4" spans="2:16" ht="22.5" customHeight="1" thickBot="1" x14ac:dyDescent="0.3">
      <c r="B4" s="476"/>
      <c r="C4" s="514"/>
      <c r="D4" s="466"/>
      <c r="E4" s="466"/>
      <c r="F4" s="307"/>
    </row>
    <row r="5" spans="2:16" ht="15.75" customHeight="1" x14ac:dyDescent="0.25">
      <c r="B5" s="382">
        <f>Assumptions!$D$8</f>
        <v>2026</v>
      </c>
      <c r="C5" s="388">
        <v>2000</v>
      </c>
      <c r="D5" s="20">
        <f t="shared" ref="D5:D34" si="0">$H$15/5280*8200</f>
        <v>27799.242424242424</v>
      </c>
      <c r="E5" s="20">
        <f>SUM(C5:D5)*(1+0.07)^-($B5-Assumptions!$D$4)</f>
        <v>18557.470528053327</v>
      </c>
    </row>
    <row r="6" spans="2:16" ht="15.75" customHeight="1" x14ac:dyDescent="0.25">
      <c r="B6" s="384">
        <f>B5+1</f>
        <v>2027</v>
      </c>
      <c r="C6" s="387">
        <v>2000</v>
      </c>
      <c r="D6" s="385">
        <f t="shared" si="0"/>
        <v>27799.242424242424</v>
      </c>
      <c r="E6" s="385">
        <f>SUM(C6:D6)*(1+0.07)^-($B6-Assumptions!$D$4)</f>
        <v>17343.430400049838</v>
      </c>
    </row>
    <row r="7" spans="2:16" ht="15.75" customHeight="1" x14ac:dyDescent="0.25">
      <c r="B7" s="2">
        <f>+B6+1</f>
        <v>2028</v>
      </c>
      <c r="C7" s="367">
        <v>2000</v>
      </c>
      <c r="D7" s="9">
        <f t="shared" si="0"/>
        <v>27799.242424242424</v>
      </c>
      <c r="E7" s="9">
        <f>SUM(C7:D7)*(1+0.07)^-($B7-Assumptions!$D$4)</f>
        <v>16208.813457990504</v>
      </c>
      <c r="G7" s="156" t="s">
        <v>172</v>
      </c>
      <c r="H7" s="156" t="s">
        <v>179</v>
      </c>
    </row>
    <row r="8" spans="2:16" ht="15.75" customHeight="1" x14ac:dyDescent="0.25">
      <c r="B8" s="2">
        <f t="shared" ref="B8:B34" si="1">+B7+1</f>
        <v>2029</v>
      </c>
      <c r="C8" s="367">
        <v>2000</v>
      </c>
      <c r="D8" s="9">
        <f t="shared" si="0"/>
        <v>27799.242424242424</v>
      </c>
      <c r="E8" s="9">
        <f>SUM(C8:D8)*(1+0.07)^-($B8-Assumptions!$D$4)</f>
        <v>15148.423792514488</v>
      </c>
      <c r="G8" s="369" t="s">
        <v>165</v>
      </c>
      <c r="H8" s="369">
        <f>18*100</f>
        <v>1800</v>
      </c>
    </row>
    <row r="9" spans="2:16" ht="15.75" customHeight="1" x14ac:dyDescent="0.25">
      <c r="B9" s="2">
        <f t="shared" si="1"/>
        <v>2030</v>
      </c>
      <c r="C9" s="367">
        <v>2000</v>
      </c>
      <c r="D9" s="9">
        <f t="shared" si="0"/>
        <v>27799.242424242424</v>
      </c>
      <c r="E9" s="9">
        <f>SUM(C9:D9)*(1+0.07)^-($B9-Assumptions!$D$4)</f>
        <v>14157.40541356494</v>
      </c>
      <c r="G9" s="369" t="s">
        <v>164</v>
      </c>
      <c r="H9" s="369">
        <f>12*100</f>
        <v>1200</v>
      </c>
    </row>
    <row r="10" spans="2:16" ht="15.75" customHeight="1" x14ac:dyDescent="0.25">
      <c r="B10" s="2">
        <f t="shared" si="1"/>
        <v>2031</v>
      </c>
      <c r="C10" s="367">
        <v>2000</v>
      </c>
      <c r="D10" s="9">
        <f t="shared" si="0"/>
        <v>27799.242424242424</v>
      </c>
      <c r="E10" s="9">
        <f>SUM(C10:D10)*(1+0.07)^-($B10-Assumptions!$D$4)</f>
        <v>13231.220012677517</v>
      </c>
      <c r="G10" s="369" t="s">
        <v>166</v>
      </c>
      <c r="H10" s="369">
        <f>31*2*100</f>
        <v>6200</v>
      </c>
    </row>
    <row r="11" spans="2:16" ht="15.75" customHeight="1" x14ac:dyDescent="0.25">
      <c r="B11" s="2">
        <f t="shared" si="1"/>
        <v>2032</v>
      </c>
      <c r="C11" s="367">
        <v>2000</v>
      </c>
      <c r="D11" s="9">
        <f t="shared" si="0"/>
        <v>27799.242424242424</v>
      </c>
      <c r="E11" s="9">
        <f>SUM(C11:D11)*(1+0.07)^-($B11-Assumptions!$D$4)</f>
        <v>12365.626180072444</v>
      </c>
      <c r="G11" s="369" t="s">
        <v>167</v>
      </c>
      <c r="H11" s="369">
        <f>2*2*100</f>
        <v>400</v>
      </c>
    </row>
    <row r="12" spans="2:16" ht="15.75" customHeight="1" x14ac:dyDescent="0.25">
      <c r="B12" s="2">
        <f t="shared" si="1"/>
        <v>2033</v>
      </c>
      <c r="C12" s="367">
        <v>2000</v>
      </c>
      <c r="D12" s="9">
        <f t="shared" si="0"/>
        <v>27799.242424242424</v>
      </c>
      <c r="E12" s="9">
        <f>SUM(C12:D12)*(1+0.07)^-($B12-Assumptions!$D$4)</f>
        <v>11556.659981376117</v>
      </c>
      <c r="G12" s="369" t="s">
        <v>168</v>
      </c>
      <c r="H12" s="369">
        <f>19*100</f>
        <v>1900</v>
      </c>
    </row>
    <row r="13" spans="2:16" ht="15.75" customHeight="1" x14ac:dyDescent="0.25">
      <c r="B13" s="2">
        <f t="shared" si="1"/>
        <v>2034</v>
      </c>
      <c r="C13" s="367">
        <v>2000</v>
      </c>
      <c r="D13" s="9">
        <f t="shared" si="0"/>
        <v>27799.242424242424</v>
      </c>
      <c r="E13" s="9">
        <f>SUM(C13:D13)*(1+0.07)^-($B13-Assumptions!$D$4)</f>
        <v>10800.616805024407</v>
      </c>
      <c r="G13" s="369" t="s">
        <v>169</v>
      </c>
      <c r="H13" s="369">
        <f>10*100</f>
        <v>1000</v>
      </c>
    </row>
    <row r="14" spans="2:16" ht="15.75" customHeight="1" x14ac:dyDescent="0.25">
      <c r="B14" s="2">
        <f t="shared" si="1"/>
        <v>2035</v>
      </c>
      <c r="C14" s="367">
        <v>2000</v>
      </c>
      <c r="D14" s="9">
        <f t="shared" si="0"/>
        <v>27799.242424242424</v>
      </c>
      <c r="E14" s="9">
        <f>SUM(C14:D14)*(1+0.07)^-($B14-Assumptions!$D$4)</f>
        <v>10094.034397219073</v>
      </c>
      <c r="G14" s="369" t="s">
        <v>170</v>
      </c>
      <c r="H14" s="369">
        <f>18*100*3</f>
        <v>5400</v>
      </c>
      <c r="N14" s="376" t="s">
        <v>173</v>
      </c>
      <c r="O14" s="377">
        <f>SUM(C5:C34)</f>
        <v>60000</v>
      </c>
      <c r="P14" s="378">
        <f>MROUND(O14,1000)</f>
        <v>60000</v>
      </c>
    </row>
    <row r="15" spans="2:16" ht="15.75" customHeight="1" x14ac:dyDescent="0.25">
      <c r="B15" s="2">
        <f t="shared" si="1"/>
        <v>2036</v>
      </c>
      <c r="C15" s="367">
        <v>2000</v>
      </c>
      <c r="D15" s="9">
        <f t="shared" si="0"/>
        <v>27799.242424242424</v>
      </c>
      <c r="E15" s="9">
        <f>SUM(C15:D15)*(1+0.07)^-($B15-Assumptions!$D$4)</f>
        <v>9433.6770067467987</v>
      </c>
      <c r="G15" s="156" t="s">
        <v>7</v>
      </c>
      <c r="H15" s="156">
        <f>SUM(H8:H14)</f>
        <v>17900</v>
      </c>
      <c r="N15" s="379" t="s">
        <v>174</v>
      </c>
      <c r="O15" s="380">
        <f>SUM(D5:D34)</f>
        <v>833977.27272727282</v>
      </c>
      <c r="P15" s="381">
        <f>MROUND(O15,1000)</f>
        <v>834000</v>
      </c>
    </row>
    <row r="16" spans="2:16" ht="15.75" customHeight="1" x14ac:dyDescent="0.25">
      <c r="B16" s="2">
        <f t="shared" si="1"/>
        <v>2037</v>
      </c>
      <c r="C16" s="367">
        <v>2000</v>
      </c>
      <c r="D16" s="9">
        <f t="shared" si="0"/>
        <v>27799.242424242424</v>
      </c>
      <c r="E16" s="9">
        <f>SUM(C16:D16)*(1+0.07)^-($B16-Assumptions!$D$4)</f>
        <v>8816.5205670530813</v>
      </c>
    </row>
    <row r="17" spans="2:5" ht="15.75" customHeight="1" x14ac:dyDescent="0.25">
      <c r="B17" s="2">
        <f t="shared" si="1"/>
        <v>2038</v>
      </c>
      <c r="C17" s="367">
        <v>2000</v>
      </c>
      <c r="D17" s="9">
        <f t="shared" si="0"/>
        <v>27799.242424242424</v>
      </c>
      <c r="E17" s="9">
        <f>SUM(C17:D17)*(1+0.07)^-($B17-Assumptions!$D$4)</f>
        <v>8239.7388477131608</v>
      </c>
    </row>
    <row r="18" spans="2:5" ht="15.75" customHeight="1" x14ac:dyDescent="0.25">
      <c r="B18" s="2">
        <f t="shared" si="1"/>
        <v>2039</v>
      </c>
      <c r="C18" s="367">
        <v>2000</v>
      </c>
      <c r="D18" s="9">
        <f t="shared" si="0"/>
        <v>27799.242424242424</v>
      </c>
      <c r="E18" s="9">
        <f>SUM(C18:D18)*(1+0.07)^-($B18-Assumptions!$D$4)</f>
        <v>7700.6905118814584</v>
      </c>
    </row>
    <row r="19" spans="2:5" ht="15.75" customHeight="1" x14ac:dyDescent="0.25">
      <c r="B19" s="2">
        <f t="shared" si="1"/>
        <v>2040</v>
      </c>
      <c r="C19" s="367">
        <v>2000</v>
      </c>
      <c r="D19" s="9">
        <f t="shared" si="0"/>
        <v>27799.242424242424</v>
      </c>
      <c r="E19" s="9">
        <f>SUM(C19:D19)*(1+0.07)^-($B19-Assumptions!$D$4)</f>
        <v>7196.9070204499612</v>
      </c>
    </row>
    <row r="20" spans="2:5" ht="15.75" customHeight="1" x14ac:dyDescent="0.25">
      <c r="B20" s="2">
        <f t="shared" si="1"/>
        <v>2041</v>
      </c>
      <c r="C20" s="367">
        <v>2000</v>
      </c>
      <c r="D20" s="9">
        <f t="shared" si="0"/>
        <v>27799.242424242424</v>
      </c>
      <c r="E20" s="9">
        <f>SUM(C20:D20)*(1+0.07)^-($B20-Assumptions!$D$4)</f>
        <v>6726.0813275233286</v>
      </c>
    </row>
    <row r="21" spans="2:5" ht="15.75" customHeight="1" x14ac:dyDescent="0.25">
      <c r="B21" s="2">
        <f t="shared" si="1"/>
        <v>2042</v>
      </c>
      <c r="C21" s="367">
        <v>2000</v>
      </c>
      <c r="D21" s="9">
        <f t="shared" si="0"/>
        <v>27799.242424242424</v>
      </c>
      <c r="E21" s="9">
        <f>SUM(C21:D21)*(1+0.07)^-($B21-Assumptions!$D$4)</f>
        <v>6286.0573154423628</v>
      </c>
    </row>
    <row r="22" spans="2:5" ht="15.75" customHeight="1" x14ac:dyDescent="0.25">
      <c r="B22" s="2">
        <f t="shared" si="1"/>
        <v>2043</v>
      </c>
      <c r="C22" s="367">
        <v>2000</v>
      </c>
      <c r="D22" s="9">
        <f t="shared" si="0"/>
        <v>27799.242424242424</v>
      </c>
      <c r="E22" s="9">
        <f>SUM(C22:D22)*(1+0.07)^-($B22-Assumptions!$D$4)</f>
        <v>5874.8199209741706</v>
      </c>
    </row>
    <row r="23" spans="2:5" ht="15.75" customHeight="1" x14ac:dyDescent="0.25">
      <c r="B23" s="2">
        <f t="shared" si="1"/>
        <v>2044</v>
      </c>
      <c r="C23" s="367">
        <v>2000</v>
      </c>
      <c r="D23" s="9">
        <f t="shared" si="0"/>
        <v>27799.242424242424</v>
      </c>
      <c r="E23" s="9">
        <f>SUM(C23:D23)*(1+0.07)^-($B23-Assumptions!$D$4)</f>
        <v>5490.4859074524948</v>
      </c>
    </row>
    <row r="24" spans="2:5" ht="15.75" customHeight="1" x14ac:dyDescent="0.25">
      <c r="B24" s="2">
        <f t="shared" si="1"/>
        <v>2045</v>
      </c>
      <c r="C24" s="367">
        <v>2000</v>
      </c>
      <c r="D24" s="9">
        <f t="shared" si="0"/>
        <v>27799.242424242424</v>
      </c>
      <c r="E24" s="9">
        <f>SUM(C24:D24)*(1+0.07)^-($B24-Assumptions!$D$4)</f>
        <v>5131.2952406098093</v>
      </c>
    </row>
    <row r="25" spans="2:5" ht="15.75" customHeight="1" x14ac:dyDescent="0.25">
      <c r="B25" s="2">
        <f t="shared" si="1"/>
        <v>2046</v>
      </c>
      <c r="C25" s="367">
        <v>2000</v>
      </c>
      <c r="D25" s="9">
        <f t="shared" si="0"/>
        <v>27799.242424242424</v>
      </c>
      <c r="E25" s="9">
        <f>SUM(C25:D25)*(1+0.07)^-($B25-Assumptions!$D$4)</f>
        <v>4795.6030286072973</v>
      </c>
    </row>
    <row r="26" spans="2:5" ht="15.75" customHeight="1" x14ac:dyDescent="0.25">
      <c r="B26" s="2">
        <f t="shared" si="1"/>
        <v>2047</v>
      </c>
      <c r="C26" s="367">
        <v>2000</v>
      </c>
      <c r="D26" s="9">
        <f t="shared" si="0"/>
        <v>27799.242424242424</v>
      </c>
      <c r="E26" s="9">
        <f>SUM(C26:D26)*(1+0.07)^-($B26-Assumptions!$D$4)</f>
        <v>4481.8719893526149</v>
      </c>
    </row>
    <row r="27" spans="2:5" ht="15.75" customHeight="1" x14ac:dyDescent="0.25">
      <c r="B27" s="2">
        <f t="shared" si="1"/>
        <v>2048</v>
      </c>
      <c r="C27" s="367">
        <v>2000</v>
      </c>
      <c r="D27" s="9">
        <f t="shared" si="0"/>
        <v>27799.242424242424</v>
      </c>
      <c r="E27" s="9">
        <f>SUM(C27:D27)*(1+0.07)^-($B27-Assumptions!$D$4)</f>
        <v>4188.6654106099204</v>
      </c>
    </row>
    <row r="28" spans="2:5" ht="15.75" customHeight="1" x14ac:dyDescent="0.25">
      <c r="B28" s="2">
        <f t="shared" si="1"/>
        <v>2049</v>
      </c>
      <c r="C28" s="367">
        <v>2000</v>
      </c>
      <c r="D28" s="9">
        <f t="shared" si="0"/>
        <v>27799.242424242424</v>
      </c>
      <c r="E28" s="9">
        <f>SUM(C28:D28)*(1+0.07)^-($B28-Assumptions!$D$4)</f>
        <v>3914.6405706634778</v>
      </c>
    </row>
    <row r="29" spans="2:5" ht="15.75" customHeight="1" x14ac:dyDescent="0.25">
      <c r="B29" s="2">
        <f t="shared" si="1"/>
        <v>2050</v>
      </c>
      <c r="C29" s="367">
        <v>2000</v>
      </c>
      <c r="D29" s="9">
        <f t="shared" si="0"/>
        <v>27799.242424242424</v>
      </c>
      <c r="E29" s="9">
        <f>SUM(C29:D29)*(1+0.07)^-($B29-Assumptions!$D$4)</f>
        <v>3658.5425894051182</v>
      </c>
    </row>
    <row r="30" spans="2:5" ht="15.75" customHeight="1" x14ac:dyDescent="0.25">
      <c r="B30" s="2">
        <f t="shared" si="1"/>
        <v>2051</v>
      </c>
      <c r="C30" s="367">
        <v>2000</v>
      </c>
      <c r="D30" s="9">
        <f t="shared" si="0"/>
        <v>27799.242424242424</v>
      </c>
      <c r="E30" s="9">
        <f>SUM(C30:D30)*(1+0.07)^-($B30-Assumptions!$D$4)</f>
        <v>3419.1986816870267</v>
      </c>
    </row>
    <row r="31" spans="2:5" ht="15.75" customHeight="1" x14ac:dyDescent="0.25">
      <c r="B31" s="2">
        <f t="shared" si="1"/>
        <v>2052</v>
      </c>
      <c r="C31" s="367">
        <v>2000</v>
      </c>
      <c r="D31" s="9">
        <f t="shared" si="0"/>
        <v>27799.242424242424</v>
      </c>
      <c r="E31" s="9">
        <f>SUM(C31:D31)*(1+0.07)^-($B31-Assumptions!$D$4)</f>
        <v>3195.5127866233897</v>
      </c>
    </row>
    <row r="32" spans="2:5" ht="15.75" customHeight="1" x14ac:dyDescent="0.25">
      <c r="B32" s="2">
        <f t="shared" si="1"/>
        <v>2053</v>
      </c>
      <c r="C32" s="367">
        <v>2000</v>
      </c>
      <c r="D32" s="9">
        <f t="shared" si="0"/>
        <v>27799.242424242424</v>
      </c>
      <c r="E32" s="9">
        <f>SUM(C32:D32)*(1+0.07)^-($B32-Assumptions!$D$4)</f>
        <v>2986.4605482461589</v>
      </c>
    </row>
    <row r="33" spans="1:5" ht="15.75" customHeight="1" x14ac:dyDescent="0.25">
      <c r="B33" s="2">
        <f t="shared" si="1"/>
        <v>2054</v>
      </c>
      <c r="C33" s="367">
        <v>2000</v>
      </c>
      <c r="D33" s="9">
        <f t="shared" si="0"/>
        <v>27799.242424242424</v>
      </c>
      <c r="E33" s="9">
        <f>SUM(C33:D33)*(1+0.07)^-($B33-Assumptions!$D$4)</f>
        <v>2791.0846245291195</v>
      </c>
    </row>
    <row r="34" spans="1:5" ht="15.75" customHeight="1" thickBot="1" x14ac:dyDescent="0.3">
      <c r="B34" s="3">
        <f t="shared" si="1"/>
        <v>2055</v>
      </c>
      <c r="C34" s="26">
        <v>2000</v>
      </c>
      <c r="D34" s="10">
        <f t="shared" si="0"/>
        <v>27799.242424242424</v>
      </c>
      <c r="E34" s="10">
        <f>SUM(C34:D34)*(1+0.07)^-($B34-Assumptions!$D$4)</f>
        <v>2608.4903032982429</v>
      </c>
    </row>
    <row r="35" spans="1:5" ht="15.75" customHeight="1" x14ac:dyDescent="0.25">
      <c r="B35" s="4"/>
      <c r="C35" s="6">
        <f>SUM(C5:C34)</f>
        <v>60000</v>
      </c>
      <c r="D35" s="11">
        <f>SUM(D5:D34)</f>
        <v>833977.27272727282</v>
      </c>
      <c r="E35" s="6">
        <f>SUM(E5:E34)</f>
        <v>246400.04516741165</v>
      </c>
    </row>
    <row r="36" spans="1:5" ht="15.75" customHeight="1" x14ac:dyDescent="0.25">
      <c r="B36" s="4"/>
      <c r="C36" s="4"/>
      <c r="D36" s="6"/>
      <c r="E36" s="169"/>
    </row>
    <row r="37" spans="1:5" ht="15.75" customHeight="1" x14ac:dyDescent="0.25"/>
    <row r="38" spans="1:5" ht="15.75" customHeight="1" x14ac:dyDescent="0.25">
      <c r="B38" s="12" t="s">
        <v>3</v>
      </c>
    </row>
    <row r="39" spans="1:5" ht="15.75" customHeight="1" x14ac:dyDescent="0.25">
      <c r="A39" s="13" t="s">
        <v>57</v>
      </c>
      <c r="B39" s="459" t="s">
        <v>226</v>
      </c>
      <c r="C39" s="459"/>
      <c r="D39" s="459"/>
      <c r="E39" s="459"/>
    </row>
    <row r="40" spans="1:5" ht="15.75" customHeight="1" x14ac:dyDescent="0.25">
      <c r="B40" s="459"/>
      <c r="C40" s="459"/>
      <c r="D40" s="459"/>
      <c r="E40" s="459"/>
    </row>
    <row r="41" spans="1:5" ht="15.75" customHeight="1" x14ac:dyDescent="0.25">
      <c r="B41" s="459"/>
      <c r="C41" s="459"/>
      <c r="D41" s="459"/>
      <c r="E41" s="459"/>
    </row>
    <row r="42" spans="1:5" ht="15.75" customHeight="1" x14ac:dyDescent="0.25">
      <c r="B42" s="459"/>
      <c r="C42" s="459"/>
      <c r="D42" s="459"/>
      <c r="E42" s="459"/>
    </row>
    <row r="43" spans="1:5" ht="15.75" customHeight="1" x14ac:dyDescent="0.25">
      <c r="A43" s="44"/>
      <c r="B43" s="459"/>
      <c r="C43" s="459"/>
      <c r="D43" s="459"/>
      <c r="E43" s="459"/>
    </row>
    <row r="44" spans="1:5" ht="15.75" customHeight="1" x14ac:dyDescent="0.25">
      <c r="A44" s="37"/>
      <c r="B44" s="459"/>
      <c r="C44" s="459"/>
      <c r="D44" s="459"/>
      <c r="E44" s="459"/>
    </row>
    <row r="45" spans="1:5" ht="15.75" customHeight="1" x14ac:dyDescent="0.25">
      <c r="A45" s="44"/>
      <c r="B45" s="459"/>
      <c r="C45" s="459"/>
      <c r="D45" s="459"/>
      <c r="E45" s="459"/>
    </row>
    <row r="46" spans="1:5" x14ac:dyDescent="0.25">
      <c r="A46" s="37"/>
      <c r="B46" s="459"/>
      <c r="C46" s="459"/>
      <c r="D46" s="459"/>
      <c r="E46" s="459"/>
    </row>
    <row r="47" spans="1:5" x14ac:dyDescent="0.25">
      <c r="A47" s="37"/>
      <c r="B47" s="459"/>
      <c r="C47" s="459"/>
      <c r="D47" s="459"/>
      <c r="E47" s="459"/>
    </row>
    <row r="48" spans="1:5" x14ac:dyDescent="0.25">
      <c r="A48" s="37"/>
      <c r="B48" s="459"/>
      <c r="C48" s="459"/>
      <c r="D48" s="459"/>
      <c r="E48" s="459"/>
    </row>
    <row r="49" spans="1:5" x14ac:dyDescent="0.25">
      <c r="A49" s="37"/>
      <c r="B49" s="459"/>
      <c r="C49" s="459"/>
      <c r="D49" s="459"/>
      <c r="E49" s="459"/>
    </row>
    <row r="50" spans="1:5" x14ac:dyDescent="0.25">
      <c r="A50" s="37"/>
      <c r="B50" s="48"/>
      <c r="C50" s="48"/>
      <c r="D50" s="48"/>
    </row>
    <row r="51" spans="1:5" ht="15" customHeight="1" x14ac:dyDescent="0.25">
      <c r="A51" s="37"/>
      <c r="B51" s="48"/>
      <c r="C51" s="48"/>
      <c r="D51" s="48"/>
    </row>
    <row r="55" spans="1:5" x14ac:dyDescent="0.25">
      <c r="A55" s="13"/>
    </row>
    <row r="57" spans="1:5" ht="15" customHeight="1" x14ac:dyDescent="0.25"/>
    <row r="61" spans="1:5" x14ac:dyDescent="0.25">
      <c r="A61" s="13"/>
    </row>
  </sheetData>
  <mergeCells count="5">
    <mergeCell ref="E3:E4"/>
    <mergeCell ref="B3:B4"/>
    <mergeCell ref="C3:C4"/>
    <mergeCell ref="D3:D4"/>
    <mergeCell ref="B39:E49"/>
  </mergeCells>
  <pageMargins left="0.25" right="0.25" top="0.75" bottom="0.75" header="0.3" footer="0.3"/>
  <pageSetup paperSize="3"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1447E-4568-464D-AE1B-323783893167}">
  <sheetPr>
    <tabColor rgb="FFC00000"/>
    <pageSetUpPr fitToPage="1"/>
  </sheetPr>
  <dimension ref="A1:M71"/>
  <sheetViews>
    <sheetView view="pageBreakPreview" zoomScale="85" zoomScaleNormal="85" zoomScaleSheetLayoutView="85" workbookViewId="0">
      <selection activeCell="M16" sqref="M16"/>
    </sheetView>
  </sheetViews>
  <sheetFormatPr defaultRowHeight="15" x14ac:dyDescent="0.25"/>
  <cols>
    <col min="1" max="1" width="9.140625" style="147"/>
    <col min="2" max="5" width="15.7109375" style="147" customWidth="1"/>
    <col min="6" max="7" width="15.5703125" style="147" customWidth="1"/>
    <col min="8" max="8" width="27.5703125" style="147" customWidth="1"/>
    <col min="9" max="9" width="25.42578125" style="147" customWidth="1"/>
    <col min="10" max="10" width="20.28515625" style="147" bestFit="1" customWidth="1"/>
    <col min="11" max="11" width="22.5703125" style="147" bestFit="1" customWidth="1"/>
    <col min="12" max="15" width="22.7109375" style="147" customWidth="1"/>
    <col min="16" max="16384" width="9.140625" style="147"/>
  </cols>
  <sheetData>
    <row r="1" spans="2:13" x14ac:dyDescent="0.25">
      <c r="C1" s="147">
        <v>2</v>
      </c>
    </row>
    <row r="2" spans="2:13" ht="15.75" thickBot="1" x14ac:dyDescent="0.3">
      <c r="B2" s="12" t="s">
        <v>31</v>
      </c>
    </row>
    <row r="3" spans="2:13" ht="22.5" customHeight="1" x14ac:dyDescent="0.25">
      <c r="B3" s="475" t="s">
        <v>0</v>
      </c>
      <c r="C3" s="513" t="s">
        <v>42</v>
      </c>
      <c r="D3" s="469" t="s">
        <v>1</v>
      </c>
      <c r="E3" s="513" t="s">
        <v>32</v>
      </c>
      <c r="F3" s="465" t="s">
        <v>94</v>
      </c>
      <c r="G3" s="307"/>
    </row>
    <row r="4" spans="2:13" ht="22.5" customHeight="1" thickBot="1" x14ac:dyDescent="0.3">
      <c r="B4" s="476"/>
      <c r="C4" s="514"/>
      <c r="D4" s="470"/>
      <c r="E4" s="514"/>
      <c r="F4" s="466"/>
      <c r="G4" s="307"/>
      <c r="I4" s="12" t="s">
        <v>43</v>
      </c>
    </row>
    <row r="5" spans="2:13" ht="15.75" customHeight="1" x14ac:dyDescent="0.25">
      <c r="B5" s="19">
        <f>Assumptions!D5</f>
        <v>2023</v>
      </c>
      <c r="C5" s="160">
        <f>$K$21*(_xlfn.XLOOKUP($B5,$I$6:$I$7,$J$6:$J$7)/$J$9)</f>
        <v>7966073.8329545464</v>
      </c>
      <c r="D5" s="20">
        <f>C5*(1+0.07)^-($B5-Assumptions!$D$4)</f>
        <v>6077279.5859781001</v>
      </c>
      <c r="E5" s="23" t="s">
        <v>27</v>
      </c>
      <c r="F5" s="20" t="str">
        <f>+E5</f>
        <v>N/A</v>
      </c>
      <c r="I5" s="412" t="s">
        <v>26</v>
      </c>
      <c r="J5" s="413">
        <f>Assumptions!D6</f>
        <v>3</v>
      </c>
    </row>
    <row r="6" spans="2:13" ht="15.75" customHeight="1" x14ac:dyDescent="0.25">
      <c r="B6" s="389">
        <f>B5+1</f>
        <v>2024</v>
      </c>
      <c r="C6" s="430">
        <f>$K$21*(_xlfn.XLOOKUP($B6,$I$6:$I$7,$J$6:$J$7)/$J$9)</f>
        <v>23898221.498863637</v>
      </c>
      <c r="D6" s="431">
        <f>C6*(1+0.07)^-($B6-Assumptions!$D$4)</f>
        <v>17039101.642929252</v>
      </c>
      <c r="E6" s="432" t="s">
        <v>27</v>
      </c>
      <c r="F6" s="431" t="str">
        <f t="shared" ref="F6:F36" si="0">+E6</f>
        <v>N/A</v>
      </c>
      <c r="I6" s="259">
        <v>2023</v>
      </c>
      <c r="J6" s="414">
        <v>4</v>
      </c>
    </row>
    <row r="7" spans="2:13" ht="15.75" customHeight="1" thickBot="1" x14ac:dyDescent="0.3">
      <c r="B7" s="3">
        <f>B6+1</f>
        <v>2025</v>
      </c>
      <c r="C7" s="433">
        <f>$K$21*(_xlfn.XLOOKUP($B7,$I$6:$I$8,$J$6:$J$8)/$J$9)</f>
        <v>11949110.749431819</v>
      </c>
      <c r="D7" s="10">
        <f>C7*(1+0.07)^-($B7-Assumptions!$D$4)</f>
        <v>7962197.0294061927</v>
      </c>
      <c r="E7" s="8" t="s">
        <v>27</v>
      </c>
      <c r="F7" s="10" t="str">
        <f t="shared" si="0"/>
        <v>N/A</v>
      </c>
      <c r="I7" s="259">
        <v>2024</v>
      </c>
      <c r="J7" s="414">
        <v>12</v>
      </c>
    </row>
    <row r="8" spans="2:13" ht="15.75" customHeight="1" x14ac:dyDescent="0.25">
      <c r="B8" s="384">
        <f>+B7+1</f>
        <v>2026</v>
      </c>
      <c r="C8" s="161"/>
      <c r="D8" s="385">
        <f>C8*(1+0.07)^-($B8-Assumptions!$D$4)</f>
        <v>0</v>
      </c>
      <c r="E8" s="386" t="s">
        <v>27</v>
      </c>
      <c r="F8" s="385" t="str">
        <f t="shared" si="0"/>
        <v>N/A</v>
      </c>
      <c r="I8" s="428">
        <v>2025</v>
      </c>
      <c r="J8" s="429">
        <v>6</v>
      </c>
    </row>
    <row r="9" spans="2:13" ht="15.75" customHeight="1" thickBot="1" x14ac:dyDescent="0.3">
      <c r="B9" s="2">
        <f t="shared" ref="B9:B28" si="1">+B8+1</f>
        <v>2027</v>
      </c>
      <c r="C9" s="7"/>
      <c r="D9" s="9">
        <f>C9*(1+0.07)^-($B9-Assumptions!$D$4)</f>
        <v>0</v>
      </c>
      <c r="E9" s="7" t="s">
        <v>27</v>
      </c>
      <c r="F9" s="9" t="str">
        <f t="shared" ref="F9:F10" si="2">+E9</f>
        <v>N/A</v>
      </c>
      <c r="I9" s="261" t="s">
        <v>199</v>
      </c>
      <c r="J9" s="415">
        <f>SUM(J6:J8)</f>
        <v>22</v>
      </c>
    </row>
    <row r="10" spans="2:13" ht="15.75" customHeight="1" thickBot="1" x14ac:dyDescent="0.3">
      <c r="B10" s="2">
        <f t="shared" si="1"/>
        <v>2028</v>
      </c>
      <c r="C10" s="7"/>
      <c r="D10" s="9">
        <f>C10*(1+0.07)^-($B10-Assumptions!$D$4)</f>
        <v>0</v>
      </c>
      <c r="E10" s="7" t="s">
        <v>27</v>
      </c>
      <c r="F10" s="9" t="str">
        <f t="shared" si="2"/>
        <v>N/A</v>
      </c>
      <c r="J10" s="21"/>
    </row>
    <row r="11" spans="2:13" ht="15.75" customHeight="1" x14ac:dyDescent="0.25">
      <c r="B11" s="2">
        <f t="shared" si="1"/>
        <v>2029</v>
      </c>
      <c r="C11" s="7"/>
      <c r="D11" s="9">
        <f>C11*(1+0.07)^-($B11-Assumptions!$D$4)</f>
        <v>0</v>
      </c>
      <c r="E11" s="7" t="s">
        <v>27</v>
      </c>
      <c r="F11" s="9" t="str">
        <f t="shared" ref="F11:F21" si="3">+E11</f>
        <v>N/A</v>
      </c>
      <c r="I11" s="274" t="s">
        <v>44</v>
      </c>
      <c r="J11" s="275"/>
      <c r="K11" s="276"/>
    </row>
    <row r="12" spans="2:13" ht="15.75" customHeight="1" x14ac:dyDescent="0.25">
      <c r="B12" s="2">
        <f t="shared" si="1"/>
        <v>2030</v>
      </c>
      <c r="C12" s="7"/>
      <c r="D12" s="9">
        <f>C12*(1+0.07)^-($B12-Assumptions!$D$4)</f>
        <v>0</v>
      </c>
      <c r="E12" s="7" t="s">
        <v>27</v>
      </c>
      <c r="F12" s="9" t="str">
        <f t="shared" si="3"/>
        <v>N/A</v>
      </c>
      <c r="I12" s="278"/>
      <c r="J12" s="68"/>
      <c r="K12" s="225" t="s">
        <v>4</v>
      </c>
    </row>
    <row r="13" spans="2:13" ht="15.75" customHeight="1" x14ac:dyDescent="0.25">
      <c r="B13" s="2">
        <f t="shared" si="1"/>
        <v>2031</v>
      </c>
      <c r="C13" s="7"/>
      <c r="D13" s="9">
        <f>C13*(1+0.07)^-($B13-Assumptions!$D$4)</f>
        <v>0</v>
      </c>
      <c r="E13" s="7" t="s">
        <v>27</v>
      </c>
      <c r="F13" s="9" t="str">
        <f t="shared" si="3"/>
        <v>N/A</v>
      </c>
      <c r="I13" s="254"/>
      <c r="J13" s="69"/>
      <c r="K13" s="226" t="s">
        <v>5</v>
      </c>
    </row>
    <row r="14" spans="2:13" ht="15.75" customHeight="1" x14ac:dyDescent="0.25">
      <c r="B14" s="2">
        <f t="shared" si="1"/>
        <v>2032</v>
      </c>
      <c r="C14" s="7"/>
      <c r="D14" s="9">
        <f>C14*(1+0.07)^-($B14-Assumptions!$D$4)</f>
        <v>0</v>
      </c>
      <c r="E14" s="7" t="s">
        <v>27</v>
      </c>
      <c r="F14" s="9" t="str">
        <f t="shared" si="3"/>
        <v>N/A</v>
      </c>
      <c r="I14" s="255" t="s">
        <v>6</v>
      </c>
      <c r="J14" s="70" t="s">
        <v>49</v>
      </c>
      <c r="K14" s="70" t="s">
        <v>11</v>
      </c>
      <c r="M14" s="427" t="s">
        <v>246</v>
      </c>
    </row>
    <row r="15" spans="2:13" ht="15.75" customHeight="1" x14ac:dyDescent="0.25">
      <c r="B15" s="2">
        <f t="shared" si="1"/>
        <v>2033</v>
      </c>
      <c r="C15" s="7"/>
      <c r="D15" s="9">
        <f>C15*(1+0.07)^-($B15-Assumptions!$D$4)</f>
        <v>0</v>
      </c>
      <c r="E15" s="7" t="s">
        <v>27</v>
      </c>
      <c r="F15" s="9" t="str">
        <f t="shared" si="3"/>
        <v>N/A</v>
      </c>
      <c r="I15" s="279" t="s">
        <v>64</v>
      </c>
      <c r="J15" s="227">
        <v>100</v>
      </c>
      <c r="K15" s="14">
        <f>M15*$I$36</f>
        <v>4376970</v>
      </c>
      <c r="M15" s="418">
        <v>4300000</v>
      </c>
    </row>
    <row r="16" spans="2:13" ht="15.75" customHeight="1" x14ac:dyDescent="0.25">
      <c r="B16" s="2">
        <f t="shared" si="1"/>
        <v>2034</v>
      </c>
      <c r="C16" s="7"/>
      <c r="D16" s="9">
        <f>C16*(1+0.07)^-($B16-Assumptions!$D$4)</f>
        <v>0</v>
      </c>
      <c r="E16" s="7" t="s">
        <v>27</v>
      </c>
      <c r="F16" s="9" t="str">
        <f t="shared" si="3"/>
        <v>N/A</v>
      </c>
      <c r="I16" s="279" t="s">
        <v>65</v>
      </c>
      <c r="J16" s="228">
        <v>60</v>
      </c>
      <c r="K16" s="16">
        <f t="shared" ref="K16:K20" si="4">M16*$I$36</f>
        <v>7287896.7993421145</v>
      </c>
      <c r="M16" s="418">
        <v>7159737.4981256649</v>
      </c>
    </row>
    <row r="17" spans="2:13" ht="15.75" customHeight="1" x14ac:dyDescent="0.25">
      <c r="B17" s="2">
        <f t="shared" si="1"/>
        <v>2035</v>
      </c>
      <c r="C17" s="7"/>
      <c r="D17" s="9">
        <f>C17*(1+0.07)^-($B17-Assumptions!$D$4)</f>
        <v>0</v>
      </c>
      <c r="E17" s="7" t="s">
        <v>27</v>
      </c>
      <c r="F17" s="9" t="str">
        <f t="shared" si="3"/>
        <v>N/A</v>
      </c>
      <c r="I17" s="279" t="s">
        <v>66</v>
      </c>
      <c r="J17" s="228">
        <v>50</v>
      </c>
      <c r="K17" s="16">
        <f t="shared" si="4"/>
        <v>6295521.2049913378</v>
      </c>
      <c r="M17" s="418">
        <v>6184813.051371783</v>
      </c>
    </row>
    <row r="18" spans="2:13" ht="15.75" customHeight="1" x14ac:dyDescent="0.25">
      <c r="B18" s="2">
        <f t="shared" si="1"/>
        <v>2036</v>
      </c>
      <c r="C18" s="7"/>
      <c r="D18" s="9">
        <f>C18*(1+0.07)^-($B18-Assumptions!$D$4)</f>
        <v>0</v>
      </c>
      <c r="E18" s="7" t="s">
        <v>27</v>
      </c>
      <c r="F18" s="9" t="str">
        <f t="shared" si="3"/>
        <v>N/A</v>
      </c>
      <c r="I18" s="279" t="s">
        <v>67</v>
      </c>
      <c r="J18" s="228">
        <v>40</v>
      </c>
      <c r="K18" s="16">
        <f t="shared" si="4"/>
        <v>6852893.927559576</v>
      </c>
      <c r="M18" s="418">
        <v>6732384.2494936399</v>
      </c>
    </row>
    <row r="19" spans="2:13" ht="15.75" customHeight="1" x14ac:dyDescent="0.25">
      <c r="B19" s="2">
        <f t="shared" si="1"/>
        <v>2037</v>
      </c>
      <c r="C19" s="7"/>
      <c r="D19" s="9">
        <f>C19*(1+0.07)^-($B19-Assumptions!$D$4)</f>
        <v>0</v>
      </c>
      <c r="E19" s="7" t="s">
        <v>27</v>
      </c>
      <c r="F19" s="9" t="str">
        <f t="shared" si="3"/>
        <v>N/A</v>
      </c>
      <c r="I19" s="279" t="s">
        <v>68</v>
      </c>
      <c r="J19" s="228">
        <v>25</v>
      </c>
      <c r="K19" s="16">
        <f t="shared" si="4"/>
        <v>7272066.4622503174</v>
      </c>
      <c r="M19" s="418">
        <v>7144185.5410652496</v>
      </c>
    </row>
    <row r="20" spans="2:13" ht="15.75" customHeight="1" x14ac:dyDescent="0.25">
      <c r="B20" s="2">
        <f t="shared" si="1"/>
        <v>2038</v>
      </c>
      <c r="C20" s="7"/>
      <c r="D20" s="9">
        <f>C20*(1+0.07)^-($B20-Assumptions!$D$4)</f>
        <v>0</v>
      </c>
      <c r="E20" s="7" t="s">
        <v>27</v>
      </c>
      <c r="F20" s="9" t="str">
        <f t="shared" si="3"/>
        <v>N/A</v>
      </c>
      <c r="I20" s="279" t="s">
        <v>69</v>
      </c>
      <c r="J20" s="229">
        <v>0</v>
      </c>
      <c r="K20" s="18">
        <f t="shared" si="4"/>
        <v>11728057.687106658</v>
      </c>
      <c r="M20" s="418">
        <v>11521817.159943666</v>
      </c>
    </row>
    <row r="21" spans="2:13" ht="15.75" customHeight="1" thickBot="1" x14ac:dyDescent="0.3">
      <c r="B21" s="2">
        <f t="shared" si="1"/>
        <v>2039</v>
      </c>
      <c r="C21" s="7"/>
      <c r="D21" s="9">
        <f>C21*(1+0.07)^-($B21-Assumptions!$D$4)</f>
        <v>0</v>
      </c>
      <c r="E21" s="7" t="s">
        <v>27</v>
      </c>
      <c r="F21" s="9" t="str">
        <f t="shared" si="3"/>
        <v>N/A</v>
      </c>
      <c r="I21" s="280" t="s">
        <v>7</v>
      </c>
      <c r="J21" s="277"/>
      <c r="K21" s="273">
        <f>SUM(K15:K20)</f>
        <v>43813406.081250004</v>
      </c>
      <c r="M21" s="418">
        <v>43042937.5</v>
      </c>
    </row>
    <row r="22" spans="2:13" ht="15.75" customHeight="1" thickBot="1" x14ac:dyDescent="0.3">
      <c r="B22" s="2">
        <f t="shared" si="1"/>
        <v>2040</v>
      </c>
      <c r="C22" s="7"/>
      <c r="D22" s="9">
        <f>C22*(1+0.07)^-($B22-Assumptions!$D$4)</f>
        <v>0</v>
      </c>
      <c r="E22" s="7" t="s">
        <v>27</v>
      </c>
      <c r="F22" s="9" t="str">
        <f t="shared" ref="F22:F28" si="5">+E22</f>
        <v>N/A</v>
      </c>
      <c r="I22" s="164"/>
      <c r="J22" s="54"/>
      <c r="K22" s="165"/>
    </row>
    <row r="23" spans="2:13" ht="15.75" customHeight="1" x14ac:dyDescent="0.25">
      <c r="B23" s="2">
        <f t="shared" si="1"/>
        <v>2041</v>
      </c>
      <c r="C23" s="7"/>
      <c r="D23" s="9">
        <f>C23*(1+0.07)^-($B23-Assumptions!$D$4)</f>
        <v>0</v>
      </c>
      <c r="E23" s="7" t="s">
        <v>27</v>
      </c>
      <c r="F23" s="9" t="str">
        <f t="shared" si="5"/>
        <v>N/A</v>
      </c>
      <c r="I23" s="264" t="s">
        <v>45</v>
      </c>
      <c r="J23" s="265"/>
      <c r="K23" s="515"/>
      <c r="L23" s="516"/>
    </row>
    <row r="24" spans="2:13" ht="15.75" customHeight="1" x14ac:dyDescent="0.25">
      <c r="B24" s="2">
        <f t="shared" si="1"/>
        <v>2042</v>
      </c>
      <c r="C24" s="7"/>
      <c r="D24" s="9">
        <f>C24*(1+0.07)^-($B24-Assumptions!$D$4)</f>
        <v>0</v>
      </c>
      <c r="E24" s="7" t="s">
        <v>27</v>
      </c>
      <c r="F24" s="9" t="str">
        <f t="shared" si="5"/>
        <v>N/A</v>
      </c>
      <c r="I24" s="266"/>
      <c r="J24" s="162"/>
      <c r="K24" s="162" t="s">
        <v>4</v>
      </c>
      <c r="L24" s="162" t="s">
        <v>8</v>
      </c>
    </row>
    <row r="25" spans="2:13" ht="15.75" customHeight="1" x14ac:dyDescent="0.25">
      <c r="B25" s="2">
        <f t="shared" si="1"/>
        <v>2043</v>
      </c>
      <c r="C25" s="7"/>
      <c r="D25" s="9">
        <f>C25*(1+0.07)^-($B25-Assumptions!$D$4)</f>
        <v>0</v>
      </c>
      <c r="E25" s="7" t="s">
        <v>27</v>
      </c>
      <c r="F25" s="9" t="str">
        <f t="shared" si="5"/>
        <v>N/A</v>
      </c>
      <c r="I25" s="267"/>
      <c r="J25" s="166" t="s">
        <v>29</v>
      </c>
      <c r="K25" s="163" t="s">
        <v>9</v>
      </c>
      <c r="L25" s="163" t="s">
        <v>10</v>
      </c>
    </row>
    <row r="26" spans="2:13" ht="15.75" customHeight="1" x14ac:dyDescent="0.25">
      <c r="B26" s="2">
        <f t="shared" si="1"/>
        <v>2044</v>
      </c>
      <c r="C26" s="7"/>
      <c r="D26" s="9">
        <f>C26*(1+0.07)^-($B26-Assumptions!$D$4)</f>
        <v>0</v>
      </c>
      <c r="E26" s="7" t="s">
        <v>27</v>
      </c>
      <c r="F26" s="9" t="str">
        <f t="shared" si="5"/>
        <v>N/A</v>
      </c>
      <c r="I26" s="268" t="s">
        <v>6</v>
      </c>
      <c r="J26" s="73" t="s">
        <v>30</v>
      </c>
      <c r="K26" s="163" t="s">
        <v>28</v>
      </c>
      <c r="L26" s="163" t="s">
        <v>12</v>
      </c>
    </row>
    <row r="27" spans="2:13" ht="15.75" customHeight="1" x14ac:dyDescent="0.25">
      <c r="B27" s="2">
        <f t="shared" si="1"/>
        <v>2045</v>
      </c>
      <c r="C27" s="7"/>
      <c r="D27" s="9">
        <f>C27*(1+0.07)^-($B27-Assumptions!$D$4)</f>
        <v>0</v>
      </c>
      <c r="E27" s="7" t="s">
        <v>27</v>
      </c>
      <c r="F27" s="9" t="str">
        <f t="shared" si="5"/>
        <v>N/A</v>
      </c>
      <c r="I27" s="269" t="str">
        <f>I15</f>
        <v>Right-of-Way</v>
      </c>
      <c r="J27" s="167">
        <v>0.99237091208782646</v>
      </c>
      <c r="K27" s="71">
        <f t="shared" ref="K27:K32" si="6">K15</f>
        <v>4376970</v>
      </c>
      <c r="L27" s="14">
        <f t="shared" ref="L27:L32" si="7">K27*$J27</f>
        <v>4343577.7110810541</v>
      </c>
    </row>
    <row r="28" spans="2:13" ht="15.75" customHeight="1" x14ac:dyDescent="0.25">
      <c r="B28" s="2">
        <f t="shared" si="1"/>
        <v>2046</v>
      </c>
      <c r="C28" s="7"/>
      <c r="D28" s="9">
        <f>C28*(1+0.07)^-($B28-Assumptions!$D$4)</f>
        <v>0</v>
      </c>
      <c r="E28" s="7" t="s">
        <v>27</v>
      </c>
      <c r="F28" s="9" t="str">
        <f t="shared" si="5"/>
        <v>N/A</v>
      </c>
      <c r="I28" s="269" t="str">
        <f t="shared" ref="I28:I32" si="8">I16</f>
        <v>Major Structures</v>
      </c>
      <c r="J28" s="168">
        <v>0.88388639269896585</v>
      </c>
      <c r="K28" s="15">
        <f t="shared" si="6"/>
        <v>7287896.7993421145</v>
      </c>
      <c r="L28" s="16">
        <f t="shared" si="7"/>
        <v>6441672.8123328406</v>
      </c>
    </row>
    <row r="29" spans="2:13" ht="15.75" customHeight="1" x14ac:dyDescent="0.25">
      <c r="B29" s="2">
        <f t="shared" ref="B29:B37" si="9">+B28+1</f>
        <v>2047</v>
      </c>
      <c r="C29" s="7"/>
      <c r="D29" s="9">
        <f>C29*(1+0.07)^-($B29-Assumptions!$D$4)</f>
        <v>0</v>
      </c>
      <c r="E29" s="7" t="s">
        <v>27</v>
      </c>
      <c r="F29" s="9" t="str">
        <f t="shared" si="0"/>
        <v>N/A</v>
      </c>
      <c r="I29" s="269" t="str">
        <f t="shared" si="8"/>
        <v>Grading and Drainage</v>
      </c>
      <c r="J29" s="168">
        <v>0.76764067825056037</v>
      </c>
      <c r="K29" s="15">
        <f t="shared" si="6"/>
        <v>6295521.2049913378</v>
      </c>
      <c r="L29" s="16">
        <f t="shared" si="7"/>
        <v>4832698.1677403357</v>
      </c>
    </row>
    <row r="30" spans="2:13" ht="15.75" customHeight="1" x14ac:dyDescent="0.25">
      <c r="B30" s="2">
        <f t="shared" si="9"/>
        <v>2048</v>
      </c>
      <c r="C30" s="7"/>
      <c r="D30" s="9">
        <f>C30*(1+0.07)^-($B30-Assumptions!$D$4)</f>
        <v>0</v>
      </c>
      <c r="E30" s="7" t="s">
        <v>27</v>
      </c>
      <c r="F30" s="9" t="str">
        <f t="shared" si="0"/>
        <v>N/A</v>
      </c>
      <c r="I30" s="269" t="str">
        <f t="shared" si="8"/>
        <v>Sub Base and Base</v>
      </c>
      <c r="J30" s="168">
        <v>0.52683280319393944</v>
      </c>
      <c r="K30" s="15">
        <f t="shared" si="6"/>
        <v>6852893.927559576</v>
      </c>
      <c r="L30" s="16">
        <f t="shared" si="7"/>
        <v>3610329.3178469366</v>
      </c>
    </row>
    <row r="31" spans="2:13" ht="15.75" customHeight="1" x14ac:dyDescent="0.25">
      <c r="B31" s="2">
        <f t="shared" si="9"/>
        <v>2049</v>
      </c>
      <c r="C31" s="7"/>
      <c r="D31" s="9">
        <f>C31*(1+0.07)^-($B31-Assumptions!$D$4)</f>
        <v>0</v>
      </c>
      <c r="E31" s="7" t="s">
        <v>27</v>
      </c>
      <c r="F31" s="9" t="str">
        <f t="shared" ref="F31:F35" si="10">+E31</f>
        <v>N/A</v>
      </c>
      <c r="I31" s="269" t="str">
        <f t="shared" si="8"/>
        <v>Surface</v>
      </c>
      <c r="J31" s="168">
        <v>0</v>
      </c>
      <c r="K31" s="15">
        <f t="shared" si="6"/>
        <v>7272066.4622503174</v>
      </c>
      <c r="L31" s="16">
        <f t="shared" si="7"/>
        <v>0</v>
      </c>
    </row>
    <row r="32" spans="2:13" ht="15.75" customHeight="1" x14ac:dyDescent="0.25">
      <c r="B32" s="2">
        <f t="shared" si="9"/>
        <v>2050</v>
      </c>
      <c r="C32" s="7"/>
      <c r="D32" s="9">
        <f>C32*(1+0.07)^-($B32-Assumptions!$D$4)</f>
        <v>0</v>
      </c>
      <c r="E32" s="7" t="s">
        <v>27</v>
      </c>
      <c r="F32" s="9" t="str">
        <f t="shared" si="10"/>
        <v>N/A</v>
      </c>
      <c r="I32" s="269" t="str">
        <f t="shared" si="8"/>
        <v>Miscellaneous (Sunk)</v>
      </c>
      <c r="J32" s="170">
        <f>'RCV Calculator'!N20</f>
        <v>0</v>
      </c>
      <c r="K32" s="72">
        <f t="shared" si="6"/>
        <v>11728057.687106658</v>
      </c>
      <c r="L32" s="18">
        <f t="shared" si="7"/>
        <v>0</v>
      </c>
    </row>
    <row r="33" spans="1:12" ht="15.75" customHeight="1" thickBot="1" x14ac:dyDescent="0.3">
      <c r="B33" s="2">
        <f t="shared" si="9"/>
        <v>2051</v>
      </c>
      <c r="C33" s="7"/>
      <c r="D33" s="9">
        <f>C33*(1+0.07)^-($B33-Assumptions!$D$4)</f>
        <v>0</v>
      </c>
      <c r="E33" s="7" t="s">
        <v>27</v>
      </c>
      <c r="F33" s="9" t="str">
        <f t="shared" si="10"/>
        <v>N/A</v>
      </c>
      <c r="I33" s="270" t="s">
        <v>13</v>
      </c>
      <c r="J33" s="271"/>
      <c r="K33" s="272"/>
      <c r="L33" s="273">
        <f>SUM(L27:L32)</f>
        <v>19228278.009001166</v>
      </c>
    </row>
    <row r="34" spans="1:12" ht="15.75" customHeight="1" x14ac:dyDescent="0.25">
      <c r="B34" s="2">
        <f t="shared" si="9"/>
        <v>2052</v>
      </c>
      <c r="C34" s="7"/>
      <c r="D34" s="9">
        <f>C34*(1+0.07)^-($B34-Assumptions!$D$4)</f>
        <v>0</v>
      </c>
      <c r="E34" s="7" t="s">
        <v>27</v>
      </c>
      <c r="F34" s="9" t="str">
        <f t="shared" si="10"/>
        <v>N/A</v>
      </c>
    </row>
    <row r="35" spans="1:12" ht="15.75" customHeight="1" x14ac:dyDescent="0.25">
      <c r="B35" s="2">
        <f t="shared" si="9"/>
        <v>2053</v>
      </c>
      <c r="C35" s="7"/>
      <c r="D35" s="9">
        <f>C35*(1+0.07)^-($B35-Assumptions!$D$4)</f>
        <v>0</v>
      </c>
      <c r="E35" s="7" t="s">
        <v>27</v>
      </c>
      <c r="F35" s="9" t="str">
        <f t="shared" si="10"/>
        <v>N/A</v>
      </c>
      <c r="I35" s="12" t="s">
        <v>230</v>
      </c>
    </row>
    <row r="36" spans="1:12" ht="15.75" customHeight="1" x14ac:dyDescent="0.25">
      <c r="B36" s="2">
        <f t="shared" si="9"/>
        <v>2054</v>
      </c>
      <c r="C36" s="7"/>
      <c r="D36" s="9">
        <f>C36*(1+0.07)^-($B36-Assumptions!$D$4)</f>
        <v>0</v>
      </c>
      <c r="E36" s="7" t="s">
        <v>27</v>
      </c>
      <c r="F36" s="9" t="str">
        <f t="shared" si="0"/>
        <v>N/A</v>
      </c>
      <c r="I36" s="369">
        <v>1.0179</v>
      </c>
    </row>
    <row r="37" spans="1:12" ht="15.75" customHeight="1" thickBot="1" x14ac:dyDescent="0.3">
      <c r="B37" s="3">
        <f t="shared" si="9"/>
        <v>2055</v>
      </c>
      <c r="C37" s="8"/>
      <c r="D37" s="10">
        <f>C37*(1+0.07)^-($B37-Assumptions!$D$4)</f>
        <v>0</v>
      </c>
      <c r="E37" s="26">
        <f>+L33</f>
        <v>19228278.009001166</v>
      </c>
      <c r="F37" s="10">
        <f>E37*(1+0.07)^-($B37-Assumptions!$D$4)</f>
        <v>1683156.1024785852</v>
      </c>
    </row>
    <row r="38" spans="1:12" ht="15.75" customHeight="1" x14ac:dyDescent="0.25">
      <c r="B38" s="4"/>
      <c r="C38" s="6">
        <f>SUM(C5:C37)</f>
        <v>43813406.081250004</v>
      </c>
      <c r="D38" s="11">
        <f>SUM(D5:D37)</f>
        <v>31078578.258313548</v>
      </c>
      <c r="E38" s="25"/>
      <c r="F38" s="6">
        <f>SUM(F5:F37)</f>
        <v>1683156.1024785852</v>
      </c>
    </row>
    <row r="39" spans="1:12" ht="15.75" customHeight="1" x14ac:dyDescent="0.25">
      <c r="B39" s="4"/>
      <c r="C39" s="4"/>
      <c r="D39" s="6"/>
      <c r="E39" s="25"/>
      <c r="F39" s="169"/>
    </row>
    <row r="40" spans="1:12" ht="15.75" customHeight="1" x14ac:dyDescent="0.25">
      <c r="B40" s="312"/>
      <c r="C40" s="313"/>
      <c r="D40" s="313"/>
      <c r="E40" s="25"/>
      <c r="F40" s="169"/>
    </row>
    <row r="41" spans="1:12" ht="15.75" customHeight="1" x14ac:dyDescent="0.25">
      <c r="B41" s="171" t="s">
        <v>93</v>
      </c>
      <c r="C41" s="172">
        <f>D38</f>
        <v>31078578.258313548</v>
      </c>
      <c r="D41" s="314"/>
    </row>
    <row r="42" spans="1:12" ht="15.75" customHeight="1" x14ac:dyDescent="0.25"/>
    <row r="43" spans="1:12" ht="15.75" customHeight="1" x14ac:dyDescent="0.25">
      <c r="B43" s="12" t="s">
        <v>3</v>
      </c>
    </row>
    <row r="44" spans="1:12" ht="15.75" customHeight="1" x14ac:dyDescent="0.25">
      <c r="A44" s="13" t="s">
        <v>57</v>
      </c>
      <c r="B44" s="472" t="s">
        <v>248</v>
      </c>
      <c r="C44" s="472"/>
      <c r="D44" s="472"/>
      <c r="E44" s="472"/>
      <c r="F44" s="472"/>
    </row>
    <row r="45" spans="1:12" ht="15.75" customHeight="1" x14ac:dyDescent="0.25">
      <c r="B45" s="472"/>
      <c r="C45" s="472"/>
      <c r="D45" s="472"/>
      <c r="E45" s="472"/>
      <c r="F45" s="472"/>
    </row>
    <row r="46" spans="1:12" ht="15.75" customHeight="1" x14ac:dyDescent="0.25">
      <c r="B46" s="472"/>
      <c r="C46" s="472"/>
      <c r="D46" s="472"/>
      <c r="E46" s="472"/>
      <c r="F46" s="472"/>
    </row>
    <row r="47" spans="1:12" x14ac:dyDescent="0.25">
      <c r="B47" s="472"/>
      <c r="C47" s="472"/>
      <c r="D47" s="472"/>
      <c r="E47" s="472"/>
      <c r="F47" s="472"/>
    </row>
    <row r="48" spans="1:12" ht="15" customHeight="1" x14ac:dyDescent="0.25">
      <c r="B48" s="174"/>
      <c r="C48" s="174"/>
      <c r="D48" s="174"/>
      <c r="E48" s="174"/>
      <c r="F48" s="174"/>
    </row>
    <row r="49" spans="1:6" x14ac:dyDescent="0.25">
      <c r="A49" s="13" t="s">
        <v>71</v>
      </c>
      <c r="B49" s="472" t="s">
        <v>247</v>
      </c>
      <c r="C49" s="472"/>
      <c r="D49" s="472"/>
      <c r="E49" s="472"/>
      <c r="F49" s="472"/>
    </row>
    <row r="50" spans="1:6" x14ac:dyDescent="0.25">
      <c r="B50" s="472"/>
      <c r="C50" s="472"/>
      <c r="D50" s="472"/>
      <c r="E50" s="472"/>
      <c r="F50" s="472"/>
    </row>
    <row r="51" spans="1:6" x14ac:dyDescent="0.25">
      <c r="A51" s="13"/>
      <c r="B51" s="472"/>
      <c r="C51" s="472"/>
      <c r="D51" s="472"/>
      <c r="E51" s="472"/>
      <c r="F51" s="472"/>
    </row>
    <row r="52" spans="1:6" x14ac:dyDescent="0.25">
      <c r="B52" s="472"/>
      <c r="C52" s="472"/>
      <c r="D52" s="472"/>
      <c r="E52" s="472"/>
      <c r="F52" s="472"/>
    </row>
    <row r="53" spans="1:6" x14ac:dyDescent="0.25">
      <c r="B53" s="472"/>
      <c r="C53" s="472"/>
      <c r="D53" s="472"/>
      <c r="E53" s="472"/>
      <c r="F53" s="472"/>
    </row>
    <row r="54" spans="1:6" x14ac:dyDescent="0.25">
      <c r="B54" s="472"/>
      <c r="C54" s="472"/>
      <c r="D54" s="472"/>
      <c r="E54" s="472"/>
      <c r="F54" s="472"/>
    </row>
    <row r="55" spans="1:6" x14ac:dyDescent="0.25">
      <c r="B55" s="472"/>
      <c r="C55" s="472"/>
      <c r="D55" s="472"/>
      <c r="E55" s="472"/>
      <c r="F55" s="472"/>
    </row>
    <row r="56" spans="1:6" ht="15" customHeight="1" x14ac:dyDescent="0.25">
      <c r="B56" s="472"/>
      <c r="C56" s="472"/>
      <c r="D56" s="472"/>
      <c r="E56" s="472"/>
      <c r="F56" s="472"/>
    </row>
    <row r="57" spans="1:6" x14ac:dyDescent="0.25">
      <c r="B57" s="472"/>
      <c r="C57" s="472"/>
      <c r="D57" s="472"/>
      <c r="E57" s="472"/>
      <c r="F57" s="472"/>
    </row>
    <row r="58" spans="1:6" x14ac:dyDescent="0.25">
      <c r="B58" s="472"/>
      <c r="C58" s="472"/>
      <c r="D58" s="472"/>
      <c r="E58" s="472"/>
      <c r="F58" s="472"/>
    </row>
    <row r="59" spans="1:6" x14ac:dyDescent="0.25">
      <c r="B59" s="472"/>
      <c r="C59" s="472"/>
      <c r="D59" s="472"/>
      <c r="E59" s="472"/>
      <c r="F59" s="472"/>
    </row>
    <row r="60" spans="1:6" x14ac:dyDescent="0.25">
      <c r="B60" s="472"/>
      <c r="C60" s="472"/>
      <c r="D60" s="472"/>
      <c r="E60" s="472"/>
      <c r="F60" s="472"/>
    </row>
    <row r="61" spans="1:6" x14ac:dyDescent="0.25">
      <c r="B61" s="472"/>
      <c r="C61" s="472"/>
      <c r="D61" s="472"/>
      <c r="E61" s="472"/>
      <c r="F61" s="472"/>
    </row>
    <row r="62" spans="1:6" ht="15" customHeight="1" x14ac:dyDescent="0.25"/>
    <row r="65" spans="1:1" x14ac:dyDescent="0.25">
      <c r="A65" s="13"/>
    </row>
    <row r="71" spans="1:1" x14ac:dyDescent="0.25">
      <c r="A71" s="13"/>
    </row>
  </sheetData>
  <mergeCells count="8">
    <mergeCell ref="B44:F47"/>
    <mergeCell ref="B49:F61"/>
    <mergeCell ref="F3:F4"/>
    <mergeCell ref="K23:L23"/>
    <mergeCell ref="B3:B4"/>
    <mergeCell ref="C3:C4"/>
    <mergeCell ref="D3:D4"/>
    <mergeCell ref="E3:E4"/>
  </mergeCells>
  <pageMargins left="0.25" right="0.25" top="0.75" bottom="0.75" header="0.3" footer="0.3"/>
  <pageSetup paperSize="3"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34998626667073579"/>
  </sheetPr>
  <dimension ref="C3:O23"/>
  <sheetViews>
    <sheetView workbookViewId="0">
      <selection activeCell="O18" sqref="O18"/>
    </sheetView>
  </sheetViews>
  <sheetFormatPr defaultRowHeight="15" x14ac:dyDescent="0.25"/>
  <cols>
    <col min="3" max="3" width="23.140625" bestFit="1" customWidth="1"/>
    <col min="4" max="4" width="4.42578125" customWidth="1"/>
    <col min="5" max="5" width="20.5703125" customWidth="1"/>
  </cols>
  <sheetData>
    <row r="3" spans="3:15" x14ac:dyDescent="0.25">
      <c r="C3" t="s">
        <v>14</v>
      </c>
    </row>
    <row r="5" spans="3:15" x14ac:dyDescent="0.25">
      <c r="C5" t="s">
        <v>15</v>
      </c>
      <c r="D5" s="21" t="s">
        <v>16</v>
      </c>
      <c r="E5">
        <f>(1+H10)^H11</f>
        <v>1.9671513572895656</v>
      </c>
      <c r="G5" t="s">
        <v>17</v>
      </c>
    </row>
    <row r="6" spans="3:15" x14ac:dyDescent="0.25">
      <c r="C6" t="s">
        <v>18</v>
      </c>
      <c r="D6" s="21" t="s">
        <v>16</v>
      </c>
      <c r="E6">
        <f>((1+H10)^H12-1)/(H10*(1+H10)^H12)</f>
        <v>13.800746294033972</v>
      </c>
      <c r="G6" t="s">
        <v>19</v>
      </c>
    </row>
    <row r="7" spans="3:15" x14ac:dyDescent="0.25">
      <c r="C7" t="s">
        <v>20</v>
      </c>
      <c r="D7" s="21" t="s">
        <v>16</v>
      </c>
      <c r="E7">
        <f>((1+H10)^H11-1)/(H10*(1+H10)^H11)</f>
        <v>7.0235815409326028</v>
      </c>
      <c r="G7" t="s">
        <v>21</v>
      </c>
    </row>
    <row r="10" spans="3:15" x14ac:dyDescent="0.25">
      <c r="G10" t="s">
        <v>22</v>
      </c>
      <c r="H10" s="22">
        <v>7.0000000000000007E-2</v>
      </c>
    </row>
    <row r="11" spans="3:15" x14ac:dyDescent="0.25">
      <c r="G11" t="s">
        <v>23</v>
      </c>
      <c r="H11">
        <v>10</v>
      </c>
    </row>
    <row r="12" spans="3:15" x14ac:dyDescent="0.25">
      <c r="G12" t="s">
        <v>24</v>
      </c>
      <c r="H12">
        <v>50</v>
      </c>
    </row>
    <row r="13" spans="3:15" ht="15.75" thickBot="1" x14ac:dyDescent="0.3"/>
    <row r="14" spans="3:15" x14ac:dyDescent="0.25">
      <c r="G14" t="s">
        <v>25</v>
      </c>
      <c r="H14">
        <f>E5*(E6-E7)/E6</f>
        <v>0.96601361684343312</v>
      </c>
      <c r="L14" s="253"/>
      <c r="M14" s="257">
        <v>3</v>
      </c>
      <c r="N14" s="258" t="s">
        <v>180</v>
      </c>
      <c r="O14" t="s">
        <v>181</v>
      </c>
    </row>
    <row r="15" spans="3:15" x14ac:dyDescent="0.25">
      <c r="L15" s="259">
        <v>100</v>
      </c>
      <c r="M15" s="256">
        <v>0.95575347064936278</v>
      </c>
      <c r="N15" s="260">
        <v>0.99668901533542642</v>
      </c>
      <c r="O15" s="147">
        <v>0.99237091208782646</v>
      </c>
    </row>
    <row r="16" spans="3:15" x14ac:dyDescent="0.25">
      <c r="L16" s="259">
        <v>60</v>
      </c>
      <c r="M16" s="256">
        <v>0.83520510198329501</v>
      </c>
      <c r="N16" s="260">
        <v>0.94960729545289124</v>
      </c>
      <c r="O16" s="147">
        <v>0.88388639269896585</v>
      </c>
    </row>
    <row r="17" spans="12:15" x14ac:dyDescent="0.25">
      <c r="L17" s="259">
        <v>50</v>
      </c>
      <c r="M17" s="256">
        <v>0.76178084432220416</v>
      </c>
      <c r="N17" s="260">
        <v>0.89915725708762961</v>
      </c>
      <c r="O17" s="147">
        <v>0.76764067825056037</v>
      </c>
    </row>
    <row r="18" spans="12:15" x14ac:dyDescent="0.25">
      <c r="L18" s="259">
        <v>40</v>
      </c>
      <c r="M18" s="256">
        <v>0.6436349394688875</v>
      </c>
      <c r="N18" s="260">
        <v>0.79464788577092815</v>
      </c>
      <c r="O18" s="147">
        <v>0.52683280319393944</v>
      </c>
    </row>
    <row r="19" spans="12:15" x14ac:dyDescent="0.25">
      <c r="L19" s="259">
        <v>25</v>
      </c>
      <c r="M19" s="256">
        <v>0.26300283374317435</v>
      </c>
      <c r="N19" s="260">
        <v>0.35184006268551071</v>
      </c>
      <c r="O19" s="147">
        <v>0</v>
      </c>
    </row>
    <row r="20" spans="12:15" ht="15.75" thickBot="1" x14ac:dyDescent="0.3">
      <c r="L20" s="261">
        <v>0</v>
      </c>
      <c r="M20" s="262">
        <v>0</v>
      </c>
      <c r="N20" s="263">
        <v>0</v>
      </c>
    </row>
    <row r="22" spans="12:15" x14ac:dyDescent="0.25">
      <c r="L22">
        <v>20</v>
      </c>
      <c r="N22">
        <v>0.66297641084495229</v>
      </c>
    </row>
    <row r="23" spans="12:15" x14ac:dyDescent="0.25">
      <c r="L23">
        <v>50</v>
      </c>
      <c r="N23">
        <v>0.96601361684343312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33</vt:i4>
      </vt:variant>
    </vt:vector>
  </HeadingPairs>
  <TitlesOfParts>
    <vt:vector size="42" baseType="lpstr">
      <vt:lpstr>Assumptions</vt:lpstr>
      <vt:lpstr>BCA Summary </vt:lpstr>
      <vt:lpstr>Travel Time Savings </vt:lpstr>
      <vt:lpstr>Operation Benefits</vt:lpstr>
      <vt:lpstr>SafetyBenefits</vt:lpstr>
      <vt:lpstr>Air Quality</vt:lpstr>
      <vt:lpstr>Operating and Maintenance Costs</vt:lpstr>
      <vt:lpstr>Capital Cost and RCV Calc</vt:lpstr>
      <vt:lpstr>RCV Calculator</vt:lpstr>
      <vt:lpstr>AnalysisPeriod</vt:lpstr>
      <vt:lpstr>AutoCost</vt:lpstr>
      <vt:lpstr>CompositeCost</vt:lpstr>
      <vt:lpstr>Daysinyr</vt:lpstr>
      <vt:lpstr>DiscountRate</vt:lpstr>
      <vt:lpstr>EndYear</vt:lpstr>
      <vt:lpstr>PeakLngthE</vt:lpstr>
      <vt:lpstr>PercentAutoW</vt:lpstr>
      <vt:lpstr>PercentAutoWO</vt:lpstr>
      <vt:lpstr>PercentTrucksW</vt:lpstr>
      <vt:lpstr>PercentTrucksWO</vt:lpstr>
      <vt:lpstr>PercTruckW</vt:lpstr>
      <vt:lpstr>PerTruckE</vt:lpstr>
      <vt:lpstr>PerTruckN</vt:lpstr>
      <vt:lpstr>'Air Quality'!Print_Area</vt:lpstr>
      <vt:lpstr>Assumptions!Print_Area</vt:lpstr>
      <vt:lpstr>'BCA Summary '!Print_Area</vt:lpstr>
      <vt:lpstr>'Capital Cost and RCV Calc'!Print_Area</vt:lpstr>
      <vt:lpstr>'Operating and Maintenance Costs'!Print_Area</vt:lpstr>
      <vt:lpstr>'Operation Benefits'!Print_Area</vt:lpstr>
      <vt:lpstr>SafetyBenefits!Print_Area</vt:lpstr>
      <vt:lpstr>'Travel Time Savings '!Print_Area</vt:lpstr>
      <vt:lpstr>ProjLoc</vt:lpstr>
      <vt:lpstr>Projlocation</vt:lpstr>
      <vt:lpstr>ProjName</vt:lpstr>
      <vt:lpstr>SRFProjectNum</vt:lpstr>
      <vt:lpstr>StartYear</vt:lpstr>
      <vt:lpstr>TAccReductPer</vt:lpstr>
      <vt:lpstr>TAptFW</vt:lpstr>
      <vt:lpstr>TPerHwy</vt:lpstr>
      <vt:lpstr>TruckSpeed</vt:lpstr>
      <vt:lpstr>TVehMiBW</vt:lpstr>
      <vt:lpstr>TVehMiFW</vt:lpstr>
    </vt:vector>
  </TitlesOfParts>
  <Company>SRF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Loos</dc:creator>
  <cp:lastModifiedBy>Justin Scott</cp:lastModifiedBy>
  <cp:lastPrinted>2015-06-02T17:19:45Z</cp:lastPrinted>
  <dcterms:created xsi:type="dcterms:W3CDTF">2013-05-17T20:57:43Z</dcterms:created>
  <dcterms:modified xsi:type="dcterms:W3CDTF">2021-03-17T22:32:45Z</dcterms:modified>
</cp:coreProperties>
</file>