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K:\Trans\Grant Applications\2021 Grants\INFRA\SDDOT - 14436\BCA\"/>
    </mc:Choice>
  </mc:AlternateContent>
  <xr:revisionPtr revIDLastSave="0" documentId="8_{1F947331-F8F9-445E-B20E-996A3FB8B30D}" xr6:coauthVersionLast="45" xr6:coauthVersionMax="45" xr10:uidLastSave="{00000000-0000-0000-0000-000000000000}"/>
  <bookViews>
    <workbookView xWindow="-25320" yWindow="480" windowWidth="25440" windowHeight="15540" tabRatio="914" activeTab="1" xr2:uid="{00000000-000D-0000-FFFF-FFFF00000000}"/>
  </bookViews>
  <sheets>
    <sheet name="Assumptions" sheetId="51" r:id="rId1"/>
    <sheet name="BCA Summary" sheetId="12" r:id="rId2"/>
    <sheet name="Safety Benefits - Side Slope" sheetId="52" r:id="rId3"/>
    <sheet name="Safety Benefits - Extend Acel" sheetId="72" r:id="rId4"/>
    <sheet name="Travel Time Cost - Construction" sheetId="64" r:id="rId5"/>
    <sheet name="Travel Time Cost Savings-Detour" sheetId="46" r:id="rId6"/>
    <sheet name="Operating Cost-Detour" sheetId="63" r:id="rId7"/>
    <sheet name="Operating Cost-Roughness" sheetId="71" r:id="rId8"/>
    <sheet name="Air Quality" sheetId="73" r:id="rId9"/>
    <sheet name="Operation and Maintenance" sheetId="48" r:id="rId10"/>
    <sheet name="Capital Costs and RCV Calc" sheetId="8" r:id="rId11"/>
    <sheet name="Data from Needs Book" sheetId="36" r:id="rId12"/>
    <sheet name="05HQ - Associated Crash Data" sheetId="68" r:id="rId13"/>
    <sheet name="05T2 - Associated Crash Data" sheetId="69" r:id="rId14"/>
    <sheet name="05T3 - Associated Crash Data" sheetId="70" r:id="rId15"/>
    <sheet name="Remaining Service Life - Struct" sheetId="62" r:id="rId16"/>
    <sheet name="05HQ - Costs" sheetId="55" r:id="rId17"/>
    <sheet name="05T2 - Costs" sheetId="56" r:id="rId18"/>
    <sheet name="05T3 - Costs" sheetId="57" r:id="rId19"/>
    <sheet name="05HP - Costs" sheetId="58" r:id="rId20"/>
    <sheet name="Crashes By Project ID" sheetId="60" r:id="rId21"/>
  </sheets>
  <externalReferences>
    <externalReference r:id="rId22"/>
    <externalReference r:id="rId23"/>
  </externalReferences>
  <definedNames>
    <definedName name="_xlnm._FilterDatabase" localSheetId="12" hidden="1">'05HQ - Associated Crash Data'!$V$1:$V$57</definedName>
    <definedName name="_xlnm._FilterDatabase" localSheetId="13" hidden="1">'05T2 - Associated Crash Data'!$V$1:$V$65</definedName>
    <definedName name="_xlnm._FilterDatabase" localSheetId="14" hidden="1">'05T3 - Associated Crash Data'!$V$1:$V$53</definedName>
    <definedName name="_xlnm._FilterDatabase" localSheetId="20" hidden="1">'Crashes By Project ID'!$A$1:$A$490</definedName>
    <definedName name="_xlnm._FilterDatabase" localSheetId="15" hidden="1">'Remaining Service Life - Struct'!$R$1:$R$56</definedName>
    <definedName name="BCAnalysisPeriod" localSheetId="8">[1]Assumptions!#REF!</definedName>
    <definedName name="BCAnalysisPeriod">[2]Assumptions!#REF!</definedName>
    <definedName name="_xlnm.Print_Area" localSheetId="8">'Air Quality'!$A$1:$X$48</definedName>
    <definedName name="_xlnm.Print_Area" localSheetId="0">Assumptions!$B$2:$J$52</definedName>
    <definedName name="_xlnm.Print_Area" localSheetId="1">'BCA Summary'!$A$1:$N$76</definedName>
    <definedName name="_xlnm.Print_Area" localSheetId="10">'Capital Costs and RCV Calc'!$A$2:$T$46</definedName>
    <definedName name="_xlnm.Print_Area" localSheetId="11">'Data from Needs Book'!#REF!</definedName>
    <definedName name="_xlnm.Print_Area" localSheetId="6">'Operating Cost-Detour'!$A$2:$R$50</definedName>
    <definedName name="_xlnm.Print_Area" localSheetId="7">'Operating Cost-Roughness'!$A$2:$O$58</definedName>
    <definedName name="_xlnm.Print_Area" localSheetId="9">'Operation and Maintenance'!$A$2:$G$58</definedName>
    <definedName name="_xlnm.Print_Area" localSheetId="3">'Safety Benefits - Extend Acel'!$A$2:$Q$60</definedName>
    <definedName name="_xlnm.Print_Area" localSheetId="2">'Safety Benefits - Side Slope'!$A$2:$O$58</definedName>
    <definedName name="_xlnm.Print_Area" localSheetId="4">'Travel Time Cost - Construction'!$A$2:$P$50</definedName>
    <definedName name="_xlnm.Print_Area" localSheetId="5">'Travel Time Cost Savings-Detour'!$A$2:$R$53</definedName>
    <definedName name="TruckCost" localSheetId="8">[1]Assumptions!#REF!</definedName>
    <definedName name="TruckCost">[2]Assumptions!#REF!</definedName>
    <definedName name="yrofanalysis">Assumptions!#REF!</definedName>
    <definedName name="yrofcurrentdollars">Assumptions!#REF!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2" l="1"/>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7" i="12"/>
  <c r="F48" i="48"/>
  <c r="E8" i="48"/>
  <c r="F8" i="48" s="1"/>
  <c r="E9" i="48"/>
  <c r="F9" i="48" s="1"/>
  <c r="E10" i="48"/>
  <c r="F10" i="48" s="1"/>
  <c r="C8" i="48"/>
  <c r="D8" i="48"/>
  <c r="C9" i="48"/>
  <c r="D9" i="48"/>
  <c r="C10" i="48"/>
  <c r="D10" i="48"/>
  <c r="B8" i="48"/>
  <c r="B9" i="48"/>
  <c r="B10" i="48" s="1"/>
  <c r="AL18" i="48"/>
  <c r="AL32" i="4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B56" i="12"/>
  <c r="C56" i="12"/>
  <c r="D56" i="12" s="1"/>
  <c r="B57" i="12"/>
  <c r="C57" i="12" s="1"/>
  <c r="D57" i="12" s="1"/>
  <c r="B7" i="71"/>
  <c r="C11" i="63"/>
  <c r="D11" i="63"/>
  <c r="C6" i="63"/>
  <c r="D6" i="63"/>
  <c r="C11" i="46"/>
  <c r="D11" i="46"/>
  <c r="D6" i="46"/>
  <c r="C6" i="46"/>
  <c r="C7" i="71"/>
  <c r="L46" i="71"/>
  <c r="L50" i="71" s="1"/>
  <c r="L39" i="71"/>
  <c r="L38" i="71"/>
  <c r="L34" i="71"/>
  <c r="L27" i="71"/>
  <c r="L26" i="71"/>
  <c r="L22" i="71"/>
  <c r="L36" i="71"/>
  <c r="L33" i="71"/>
  <c r="L32" i="71"/>
  <c r="B58" i="12" l="1"/>
  <c r="L51" i="71"/>
  <c r="L35" i="71"/>
  <c r="L48" i="71"/>
  <c r="L45" i="71"/>
  <c r="L44" i="71"/>
  <c r="L24" i="71"/>
  <c r="L21" i="71"/>
  <c r="L20" i="71"/>
  <c r="C58" i="12" l="1"/>
  <c r="D58" i="12" s="1"/>
  <c r="B59" i="12"/>
  <c r="C59" i="12" s="1"/>
  <c r="D59" i="12" s="1"/>
  <c r="AL12" i="71"/>
  <c r="AM12" i="71"/>
  <c r="AN12" i="71"/>
  <c r="AO12" i="71"/>
  <c r="AK12" i="71"/>
  <c r="AL11" i="71"/>
  <c r="AM11" i="71"/>
  <c r="AN11" i="71"/>
  <c r="AO11" i="71"/>
  <c r="AK11" i="71"/>
  <c r="AJ12" i="71"/>
  <c r="AQ12" i="71" s="1"/>
  <c r="AJ11" i="71"/>
  <c r="AQ11" i="71" s="1"/>
  <c r="AT12" i="71" l="1"/>
  <c r="AR12" i="71"/>
  <c r="AT11" i="71"/>
  <c r="AR11" i="71"/>
  <c r="AU12" i="71"/>
  <c r="AS12" i="71"/>
  <c r="AV12" i="71" s="1"/>
  <c r="AW12" i="71" s="1"/>
  <c r="AX12" i="71" s="1"/>
  <c r="L7" i="71" s="1"/>
  <c r="M7" i="71" s="1"/>
  <c r="AU11" i="71"/>
  <c r="AS11" i="71"/>
  <c r="AV11" i="71" s="1"/>
  <c r="AW11" i="71" s="1"/>
  <c r="AX11" i="71" s="1"/>
  <c r="L6" i="71" s="1"/>
  <c r="M6" i="71" s="1"/>
  <c r="C6" i="71"/>
  <c r="AK18" i="48"/>
  <c r="AJ18" i="48"/>
  <c r="AI18" i="48"/>
  <c r="AH18" i="48"/>
  <c r="AG18" i="48"/>
  <c r="AF18" i="48"/>
  <c r="AE18" i="48"/>
  <c r="AD18" i="48"/>
  <c r="AC18" i="48"/>
  <c r="AB18" i="48"/>
  <c r="AA18" i="48"/>
  <c r="Z18" i="48"/>
  <c r="Y18" i="48"/>
  <c r="X18" i="48"/>
  <c r="X5" i="48"/>
  <c r="T4" i="48"/>
  <c r="U4" i="48"/>
  <c r="V4" i="48"/>
  <c r="W4" i="48"/>
  <c r="X4" i="48"/>
  <c r="Y4" i="48"/>
  <c r="Z4" i="48"/>
  <c r="AA4" i="48"/>
  <c r="AB4" i="48"/>
  <c r="AC4" i="48"/>
  <c r="AD4" i="48"/>
  <c r="AE4" i="48"/>
  <c r="AF4" i="48"/>
  <c r="AG4" i="48"/>
  <c r="AH4" i="48"/>
  <c r="AI4" i="48"/>
  <c r="AJ4" i="48"/>
  <c r="AK4" i="48"/>
  <c r="S4" i="48"/>
  <c r="T2" i="48"/>
  <c r="U2" i="48"/>
  <c r="V2" i="48"/>
  <c r="W2" i="48"/>
  <c r="X2" i="48"/>
  <c r="Y2" i="48"/>
  <c r="Z2" i="48"/>
  <c r="AA2" i="48"/>
  <c r="AB2" i="48"/>
  <c r="AC2" i="48"/>
  <c r="AD2" i="48"/>
  <c r="AE2" i="48"/>
  <c r="AF2" i="48"/>
  <c r="AG2" i="48"/>
  <c r="AH2" i="48"/>
  <c r="AI2" i="48"/>
  <c r="AJ2" i="48"/>
  <c r="AK2" i="48"/>
  <c r="T3" i="48"/>
  <c r="U3" i="48"/>
  <c r="V3" i="48"/>
  <c r="W3" i="48"/>
  <c r="X3" i="48"/>
  <c r="Y3" i="48"/>
  <c r="Z3" i="48"/>
  <c r="AA3" i="48"/>
  <c r="AB3" i="48"/>
  <c r="AC3" i="48"/>
  <c r="AD3" i="48"/>
  <c r="AE3" i="48"/>
  <c r="AF3" i="48"/>
  <c r="AG3" i="48"/>
  <c r="AH3" i="48"/>
  <c r="AI3" i="48"/>
  <c r="AJ3" i="48"/>
  <c r="AK3" i="48"/>
  <c r="S3" i="48"/>
  <c r="S2" i="48"/>
  <c r="S18" i="48" s="1"/>
  <c r="V18" i="48" l="1"/>
  <c r="T18" i="48"/>
  <c r="W18" i="48"/>
  <c r="U18" i="48"/>
  <c r="I52" i="52"/>
  <c r="K48" i="52"/>
  <c r="K49" i="52"/>
  <c r="K50" i="52"/>
  <c r="K47" i="52"/>
  <c r="L12" i="52"/>
  <c r="N13" i="52"/>
  <c r="M13" i="52"/>
  <c r="N12" i="52"/>
  <c r="M12" i="52"/>
  <c r="J53" i="52"/>
  <c r="K53" i="52" s="1"/>
  <c r="J56" i="52"/>
  <c r="K56" i="52" s="1"/>
  <c r="J55" i="52"/>
  <c r="K55" i="52" s="1"/>
  <c r="J54" i="52"/>
  <c r="K54" i="52" s="1"/>
  <c r="C74" i="69"/>
  <c r="C73" i="69"/>
  <c r="C72" i="69"/>
  <c r="C71" i="69"/>
  <c r="C70" i="69"/>
  <c r="J47" i="52"/>
  <c r="J51" i="52"/>
  <c r="K51" i="52" s="1"/>
  <c r="J50" i="52"/>
  <c r="J49" i="52"/>
  <c r="J48" i="52"/>
  <c r="I46" i="52"/>
  <c r="K13" i="52"/>
  <c r="K12" i="52"/>
  <c r="K11" i="52"/>
  <c r="C72" i="68"/>
  <c r="N11" i="52" s="1"/>
  <c r="K44" i="52" s="1"/>
  <c r="M11" i="52"/>
  <c r="L11" i="52"/>
  <c r="L13" i="52"/>
  <c r="J45" i="52"/>
  <c r="J44" i="52"/>
  <c r="J43" i="52"/>
  <c r="J42" i="52"/>
  <c r="I41" i="52"/>
  <c r="C73" i="68"/>
  <c r="J41" i="52"/>
  <c r="C71" i="68"/>
  <c r="C69" i="68"/>
  <c r="C70" i="68" s="1"/>
  <c r="K52" i="72"/>
  <c r="K51" i="72"/>
  <c r="I52" i="72"/>
  <c r="I51" i="72"/>
  <c r="J52" i="52" l="1"/>
  <c r="K45" i="52"/>
  <c r="K43" i="52"/>
  <c r="K42" i="52"/>
  <c r="K41" i="52" s="1"/>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D1" i="8"/>
  <c r="E1" i="8" s="1"/>
  <c r="F1" i="8" s="1"/>
  <c r="G1" i="8" s="1"/>
  <c r="H1" i="8" s="1"/>
  <c r="I1" i="8" s="1"/>
  <c r="J1" i="8" s="1"/>
  <c r="K1" i="8" s="1"/>
  <c r="C1" i="8"/>
  <c r="I35" i="8"/>
  <c r="I34" i="8"/>
  <c r="I33" i="8"/>
  <c r="I32" i="8"/>
  <c r="I31" i="8"/>
  <c r="I30" i="8"/>
  <c r="I29" i="8"/>
  <c r="I28" i="8"/>
  <c r="I27" i="8"/>
  <c r="I26" i="8"/>
  <c r="I25" i="8"/>
  <c r="I24" i="8"/>
  <c r="I23" i="8"/>
  <c r="I22" i="8"/>
  <c r="I21" i="8"/>
  <c r="I20" i="8"/>
  <c r="I19" i="8"/>
  <c r="I18" i="8"/>
  <c r="I17" i="8"/>
  <c r="I16" i="8"/>
  <c r="I15" i="8"/>
  <c r="I14" i="8"/>
  <c r="I13" i="8"/>
  <c r="I12" i="8"/>
  <c r="I11" i="8"/>
  <c r="I10" i="8"/>
  <c r="I9" i="8"/>
  <c r="I8" i="8"/>
  <c r="I7" i="8"/>
  <c r="K7" i="8"/>
  <c r="AI26" i="48" l="1"/>
  <c r="AJ26" i="48" s="1"/>
  <c r="AK26" i="48" s="1"/>
  <c r="AL26" i="48" s="1"/>
  <c r="AI20" i="48"/>
  <c r="AJ20" i="48" s="1"/>
  <c r="AK20" i="48" s="1"/>
  <c r="AL20" i="48" s="1"/>
  <c r="AI12" i="48"/>
  <c r="AJ12" i="48" s="1"/>
  <c r="AK12" i="48" s="1"/>
  <c r="AL12" i="48" s="1"/>
  <c r="AI6" i="48"/>
  <c r="AJ6" i="48" s="1"/>
  <c r="AK6" i="48" s="1"/>
  <c r="AL6" i="48" s="1"/>
  <c r="AK32" i="48"/>
  <c r="AJ32" i="48"/>
  <c r="AI32" i="48"/>
  <c r="D7" i="51"/>
  <c r="B5" i="73" s="1"/>
  <c r="D9" i="51" l="1"/>
  <c r="B6" i="63"/>
  <c r="F5" i="73" s="1"/>
  <c r="R8" i="8"/>
  <c r="S8" i="8" s="1"/>
  <c r="R7" i="8"/>
  <c r="S7" i="8" s="1"/>
  <c r="R9" i="8"/>
  <c r="S9" i="8" s="1"/>
  <c r="B6" i="46"/>
  <c r="I11" i="52"/>
  <c r="I13" i="52"/>
  <c r="I12" i="52"/>
  <c r="R8" i="46"/>
  <c r="R24" i="46" s="1"/>
  <c r="R7" i="46"/>
  <c r="R23" i="46" s="1"/>
  <c r="O8" i="46"/>
  <c r="O24" i="46" s="1"/>
  <c r="O7" i="46"/>
  <c r="O23" i="46" s="1"/>
  <c r="B42" i="36"/>
  <c r="N7" i="63" s="1"/>
  <c r="N23" i="63" s="1"/>
  <c r="B50" i="36"/>
  <c r="Q8" i="63" s="1"/>
  <c r="Q24" i="63" s="1"/>
  <c r="Q7" i="63"/>
  <c r="Q23" i="63" s="1"/>
  <c r="L15" i="46"/>
  <c r="L14" i="46"/>
  <c r="O23" i="64"/>
  <c r="O24" i="64"/>
  <c r="O25" i="64"/>
  <c r="O26" i="64"/>
  <c r="O27" i="64"/>
  <c r="L12" i="71"/>
  <c r="M12" i="71"/>
  <c r="V44" i="73"/>
  <c r="V45" i="73" s="1"/>
  <c r="V46" i="73" s="1"/>
  <c r="V47" i="73" s="1"/>
  <c r="V48" i="73" s="1"/>
  <c r="U44" i="73"/>
  <c r="U45" i="73" s="1"/>
  <c r="U46" i="73" s="1"/>
  <c r="U47" i="73" s="1"/>
  <c r="U48" i="73" s="1"/>
  <c r="T44" i="73"/>
  <c r="T45" i="73" s="1"/>
  <c r="T46" i="73" s="1"/>
  <c r="T47" i="73" s="1"/>
  <c r="T48" i="73" s="1"/>
  <c r="S44" i="73"/>
  <c r="S45" i="73" s="1"/>
  <c r="S46" i="73" s="1"/>
  <c r="S47" i="73" s="1"/>
  <c r="S48" i="73" s="1"/>
  <c r="AE26" i="73"/>
  <c r="AD26" i="73"/>
  <c r="AC26" i="73"/>
  <c r="AB26" i="73"/>
  <c r="AE25" i="73"/>
  <c r="AD25" i="73"/>
  <c r="AC25" i="73"/>
  <c r="AB25" i="73"/>
  <c r="V8" i="73"/>
  <c r="U8" i="73"/>
  <c r="T8" i="73"/>
  <c r="S8" i="73"/>
  <c r="V7" i="73"/>
  <c r="U7" i="73"/>
  <c r="T7" i="73"/>
  <c r="S7" i="73"/>
  <c r="B6" i="73"/>
  <c r="B7" i="73" l="1"/>
  <c r="Q9" i="63"/>
  <c r="N8" i="63"/>
  <c r="N24" i="63" s="1"/>
  <c r="L47" i="71"/>
  <c r="L23" i="71"/>
  <c r="H47" i="72"/>
  <c r="D75" i="70"/>
  <c r="D78" i="70" s="1"/>
  <c r="B75" i="70"/>
  <c r="C75" i="70" s="1"/>
  <c r="C78" i="70" s="1"/>
  <c r="I11" i="72" s="1"/>
  <c r="D72" i="70"/>
  <c r="C72" i="70"/>
  <c r="B72" i="70"/>
  <c r="H46" i="72"/>
  <c r="H45" i="72"/>
  <c r="J36" i="72"/>
  <c r="I45" i="72" s="1"/>
  <c r="B66" i="69"/>
  <c r="B66" i="68"/>
  <c r="B67" i="70"/>
  <c r="B66" i="70"/>
  <c r="AQ6" i="71"/>
  <c r="AR6" i="71"/>
  <c r="AS6" i="71"/>
  <c r="AT6" i="71"/>
  <c r="AU6" i="71"/>
  <c r="AQ7" i="71"/>
  <c r="AR7" i="71"/>
  <c r="AS7" i="71"/>
  <c r="AT7" i="71"/>
  <c r="AU7" i="71"/>
  <c r="AQ8" i="71"/>
  <c r="AR8" i="71"/>
  <c r="AS8" i="71"/>
  <c r="AT8" i="71"/>
  <c r="AU8" i="71"/>
  <c r="AQ9" i="71"/>
  <c r="AR9" i="71"/>
  <c r="AS9" i="71"/>
  <c r="AT9" i="71"/>
  <c r="AU9" i="71"/>
  <c r="AQ10" i="71"/>
  <c r="AR10" i="71"/>
  <c r="AS10" i="71"/>
  <c r="AT10" i="71"/>
  <c r="AU10" i="71"/>
  <c r="AJ15" i="71"/>
  <c r="AJ16" i="71"/>
  <c r="B64" i="68"/>
  <c r="B77" i="70" s="1"/>
  <c r="D77" i="70"/>
  <c r="C76" i="70"/>
  <c r="D76" i="70"/>
  <c r="B76" i="70"/>
  <c r="D64" i="69"/>
  <c r="B60" i="68"/>
  <c r="G59" i="68"/>
  <c r="I59" i="68"/>
  <c r="J59" i="68"/>
  <c r="K59" i="68" s="1"/>
  <c r="G60" i="68"/>
  <c r="I60" i="68"/>
  <c r="J60" i="68" s="1"/>
  <c r="K60" i="68" s="1"/>
  <c r="J18" i="72"/>
  <c r="J19" i="72"/>
  <c r="J20" i="72"/>
  <c r="J21" i="72"/>
  <c r="J22" i="72"/>
  <c r="J17" i="72"/>
  <c r="J40" i="72"/>
  <c r="I47" i="72" s="1"/>
  <c r="J38" i="72"/>
  <c r="I46" i="72" s="1"/>
  <c r="J39" i="72"/>
  <c r="L36" i="72"/>
  <c r="K45" i="72" s="1"/>
  <c r="J37" i="72"/>
  <c r="J41" i="72"/>
  <c r="E25" i="72"/>
  <c r="E24" i="72"/>
  <c r="E23" i="72"/>
  <c r="E22" i="72"/>
  <c r="E21" i="72"/>
  <c r="E20" i="72"/>
  <c r="E19" i="72"/>
  <c r="E18" i="72"/>
  <c r="E17" i="72"/>
  <c r="E16" i="72"/>
  <c r="E15" i="72"/>
  <c r="E14" i="72"/>
  <c r="B7" i="72"/>
  <c r="B8" i="72" s="1"/>
  <c r="B9" i="72" s="1"/>
  <c r="E14" i="52"/>
  <c r="E15" i="52"/>
  <c r="E16" i="52"/>
  <c r="E17" i="52"/>
  <c r="E18" i="52"/>
  <c r="E19" i="52"/>
  <c r="E20" i="52"/>
  <c r="E21" i="52"/>
  <c r="E22" i="52"/>
  <c r="E23" i="52"/>
  <c r="E24" i="52"/>
  <c r="E25" i="52"/>
  <c r="J37" i="52"/>
  <c r="J36" i="52"/>
  <c r="J35" i="52"/>
  <c r="J34" i="52"/>
  <c r="J33" i="52"/>
  <c r="J32" i="52" s="1"/>
  <c r="J31" i="52"/>
  <c r="J30" i="52"/>
  <c r="J29" i="52"/>
  <c r="J28" i="52"/>
  <c r="J27" i="52"/>
  <c r="J25" i="52"/>
  <c r="J24" i="52"/>
  <c r="J23" i="52"/>
  <c r="J22" i="52"/>
  <c r="I59" i="69"/>
  <c r="B59" i="69"/>
  <c r="B8" i="73" l="1"/>
  <c r="AV6" i="71"/>
  <c r="AW6" i="71" s="1"/>
  <c r="AX6" i="71" s="1"/>
  <c r="J21" i="52"/>
  <c r="J26" i="52"/>
  <c r="L40" i="72"/>
  <c r="K47" i="72" s="1"/>
  <c r="L38" i="72"/>
  <c r="K46" i="72" s="1"/>
  <c r="AV10" i="71"/>
  <c r="AW10" i="71" s="1"/>
  <c r="AX10" i="71" s="1"/>
  <c r="AV8" i="71"/>
  <c r="AW8" i="71" s="1"/>
  <c r="AX8" i="71" s="1"/>
  <c r="AV9" i="71"/>
  <c r="AW9" i="71" s="1"/>
  <c r="AX9" i="71" s="1"/>
  <c r="AV7" i="71"/>
  <c r="AW7" i="71" s="1"/>
  <c r="AX7" i="71" s="1"/>
  <c r="B10" i="72"/>
  <c r="B11" i="72" s="1"/>
  <c r="J11" i="52"/>
  <c r="B9" i="73" l="1"/>
  <c r="B12" i="72"/>
  <c r="J12" i="52"/>
  <c r="B67" i="69"/>
  <c r="B67" i="68"/>
  <c r="T41" i="69"/>
  <c r="T35" i="69"/>
  <c r="T33" i="69"/>
  <c r="T48" i="70"/>
  <c r="T30" i="70"/>
  <c r="T23" i="70"/>
  <c r="T48" i="68"/>
  <c r="T28" i="68"/>
  <c r="T27" i="68"/>
  <c r="T13" i="68"/>
  <c r="U27" i="68"/>
  <c r="U28" i="68"/>
  <c r="U48" i="68"/>
  <c r="B59" i="68"/>
  <c r="B10" i="73" l="1"/>
  <c r="B13" i="72"/>
  <c r="K29" i="52"/>
  <c r="K31" i="52"/>
  <c r="K28" i="52"/>
  <c r="K30" i="52"/>
  <c r="K27" i="52"/>
  <c r="Q43" i="63"/>
  <c r="N43" i="63"/>
  <c r="Q42" i="63"/>
  <c r="N42" i="63"/>
  <c r="Q40" i="63"/>
  <c r="N40" i="63"/>
  <c r="Q39" i="63"/>
  <c r="N39" i="63"/>
  <c r="Q34" i="63"/>
  <c r="Q50" i="63" s="1"/>
  <c r="N34" i="63"/>
  <c r="N50" i="63" s="1"/>
  <c r="Q33" i="63"/>
  <c r="Q49" i="63" s="1"/>
  <c r="N33" i="63"/>
  <c r="N49" i="63" s="1"/>
  <c r="Q31" i="63"/>
  <c r="Q47" i="63" s="1"/>
  <c r="N31" i="63"/>
  <c r="N47" i="63" s="1"/>
  <c r="Q30" i="63"/>
  <c r="Q46" i="63" s="1"/>
  <c r="N30" i="63"/>
  <c r="N46" i="63" s="1"/>
  <c r="Q25" i="63"/>
  <c r="N25" i="63"/>
  <c r="Q18" i="63"/>
  <c r="N18" i="63"/>
  <c r="Q17" i="63"/>
  <c r="N17" i="63"/>
  <c r="Q15" i="63"/>
  <c r="N15" i="63"/>
  <c r="Q14" i="63"/>
  <c r="N14" i="63"/>
  <c r="N9" i="63"/>
  <c r="R40" i="46"/>
  <c r="R39" i="46"/>
  <c r="R42" i="46"/>
  <c r="R43" i="46"/>
  <c r="O43" i="46"/>
  <c r="O42" i="46"/>
  <c r="R34" i="46"/>
  <c r="R33" i="46"/>
  <c r="R31" i="46"/>
  <c r="R47" i="46" s="1"/>
  <c r="R30" i="46"/>
  <c r="O40" i="46"/>
  <c r="O39" i="46"/>
  <c r="O34" i="46"/>
  <c r="O50" i="46" s="1"/>
  <c r="O33" i="46"/>
  <c r="O31" i="46"/>
  <c r="O47" i="46" s="1"/>
  <c r="O30" i="46"/>
  <c r="R18" i="46"/>
  <c r="R17" i="46"/>
  <c r="R15" i="46"/>
  <c r="R14" i="46"/>
  <c r="O18" i="46"/>
  <c r="O17" i="46"/>
  <c r="O15" i="46"/>
  <c r="O14" i="46"/>
  <c r="R50" i="46"/>
  <c r="R46" i="46"/>
  <c r="O49" i="46"/>
  <c r="O46" i="46"/>
  <c r="R25" i="46"/>
  <c r="O25" i="46"/>
  <c r="R9" i="46"/>
  <c r="O9" i="46"/>
  <c r="L11" i="71"/>
  <c r="B55" i="36"/>
  <c r="B54" i="36"/>
  <c r="K23" i="52" s="1"/>
  <c r="B53" i="36"/>
  <c r="B11" i="73" l="1"/>
  <c r="K26" i="52"/>
  <c r="K22" i="52"/>
  <c r="K25" i="52"/>
  <c r="K24" i="52"/>
  <c r="B14" i="72"/>
  <c r="F14" i="72" s="1"/>
  <c r="R49" i="46"/>
  <c r="B8" i="71"/>
  <c r="C8" i="71" s="1"/>
  <c r="P26" i="64"/>
  <c r="P27" i="64"/>
  <c r="U2" i="70"/>
  <c r="U3" i="70"/>
  <c r="U4" i="70"/>
  <c r="U5" i="70"/>
  <c r="U6" i="70"/>
  <c r="U7" i="70"/>
  <c r="U8" i="70"/>
  <c r="U9" i="70"/>
  <c r="U10" i="70"/>
  <c r="U11" i="70"/>
  <c r="U12" i="70"/>
  <c r="U13" i="70"/>
  <c r="U14" i="70"/>
  <c r="U15" i="70"/>
  <c r="U16" i="70"/>
  <c r="U17" i="70"/>
  <c r="U18" i="70"/>
  <c r="U19" i="70"/>
  <c r="U20" i="70"/>
  <c r="U21" i="70"/>
  <c r="U22" i="70"/>
  <c r="U23" i="70"/>
  <c r="U24" i="70"/>
  <c r="U25" i="70"/>
  <c r="U26" i="70"/>
  <c r="U27" i="70"/>
  <c r="U28" i="70"/>
  <c r="U29" i="70"/>
  <c r="U30" i="70"/>
  <c r="U31" i="70"/>
  <c r="U32" i="70"/>
  <c r="U33" i="70"/>
  <c r="U34" i="70"/>
  <c r="U35" i="70"/>
  <c r="U36" i="70"/>
  <c r="U37" i="70"/>
  <c r="U38" i="70"/>
  <c r="U39" i="70"/>
  <c r="U40" i="70"/>
  <c r="U41" i="70"/>
  <c r="U42" i="70"/>
  <c r="U43" i="70"/>
  <c r="U44" i="70"/>
  <c r="U45" i="70"/>
  <c r="U46" i="70"/>
  <c r="U47" i="70"/>
  <c r="U48" i="70"/>
  <c r="U49" i="70"/>
  <c r="U50" i="70"/>
  <c r="U51" i="70"/>
  <c r="U52" i="70"/>
  <c r="U53" i="70"/>
  <c r="U2" i="69"/>
  <c r="U3" i="69"/>
  <c r="U4" i="69"/>
  <c r="U5" i="69"/>
  <c r="U6" i="69"/>
  <c r="U7" i="69"/>
  <c r="U8" i="69"/>
  <c r="U9" i="69"/>
  <c r="U10" i="69"/>
  <c r="U11" i="69"/>
  <c r="U12" i="69"/>
  <c r="U13" i="69"/>
  <c r="U14" i="69"/>
  <c r="U15" i="69"/>
  <c r="U16" i="69"/>
  <c r="U17" i="69"/>
  <c r="U18" i="69"/>
  <c r="U19" i="69"/>
  <c r="U20" i="69"/>
  <c r="U21" i="69"/>
  <c r="U22" i="69"/>
  <c r="U23" i="69"/>
  <c r="U24" i="69"/>
  <c r="U25" i="69"/>
  <c r="U26" i="69"/>
  <c r="U27" i="69"/>
  <c r="U28" i="69"/>
  <c r="U29" i="69"/>
  <c r="U30" i="69"/>
  <c r="U31" i="69"/>
  <c r="U32" i="69"/>
  <c r="U33" i="69"/>
  <c r="U34" i="69"/>
  <c r="U35" i="69"/>
  <c r="U36" i="69"/>
  <c r="U37" i="69"/>
  <c r="U38" i="69"/>
  <c r="U39" i="69"/>
  <c r="U40" i="69"/>
  <c r="U41" i="69"/>
  <c r="U42" i="69"/>
  <c r="U43" i="69"/>
  <c r="U44" i="69"/>
  <c r="U45" i="69"/>
  <c r="U46" i="69"/>
  <c r="U47" i="69"/>
  <c r="U48" i="69"/>
  <c r="U49" i="69"/>
  <c r="U50" i="69"/>
  <c r="U51" i="69"/>
  <c r="U52" i="69"/>
  <c r="U53" i="69"/>
  <c r="G59" i="69"/>
  <c r="J59" i="69"/>
  <c r="K59" i="69" s="1"/>
  <c r="B60" i="69"/>
  <c r="G60" i="69" s="1"/>
  <c r="I60" i="69"/>
  <c r="B63" i="69"/>
  <c r="C63" i="69" s="1"/>
  <c r="D63" i="69"/>
  <c r="B64" i="69"/>
  <c r="C64" i="69"/>
  <c r="U2" i="68"/>
  <c r="U3" i="68"/>
  <c r="U4" i="68"/>
  <c r="U5" i="68"/>
  <c r="U6" i="68"/>
  <c r="U7" i="68"/>
  <c r="U8" i="68"/>
  <c r="U9" i="68"/>
  <c r="U10" i="68"/>
  <c r="U11" i="68"/>
  <c r="U12" i="68"/>
  <c r="U13" i="68"/>
  <c r="U14" i="68"/>
  <c r="U15" i="68"/>
  <c r="U16" i="68"/>
  <c r="U17" i="68"/>
  <c r="U18" i="68"/>
  <c r="U19" i="68"/>
  <c r="U20" i="68"/>
  <c r="U21" i="68"/>
  <c r="U22" i="68"/>
  <c r="U23" i="68"/>
  <c r="U24" i="68"/>
  <c r="U25" i="68"/>
  <c r="U26" i="68"/>
  <c r="U29" i="68"/>
  <c r="U30" i="68"/>
  <c r="U31" i="68"/>
  <c r="U32" i="68"/>
  <c r="U33" i="68"/>
  <c r="U34" i="68"/>
  <c r="U35" i="68"/>
  <c r="U36" i="68"/>
  <c r="U37" i="68"/>
  <c r="U38" i="68"/>
  <c r="U39" i="68"/>
  <c r="U40" i="68"/>
  <c r="U41" i="68"/>
  <c r="U42" i="68"/>
  <c r="U43" i="68"/>
  <c r="U44" i="68"/>
  <c r="U45" i="68"/>
  <c r="U46" i="68"/>
  <c r="U47" i="68"/>
  <c r="U49" i="68"/>
  <c r="U50" i="68"/>
  <c r="U51" i="68"/>
  <c r="U52" i="68"/>
  <c r="U53" i="68"/>
  <c r="P22" i="64"/>
  <c r="O22" i="64"/>
  <c r="P23" i="64"/>
  <c r="B63" i="68"/>
  <c r="C63" i="68" s="1"/>
  <c r="D63" i="68"/>
  <c r="C64" i="68"/>
  <c r="C77" i="70" s="1"/>
  <c r="D64" i="68"/>
  <c r="L11" i="64"/>
  <c r="L10" i="64" s="1"/>
  <c r="L7" i="64"/>
  <c r="L6" i="64"/>
  <c r="B7" i="64"/>
  <c r="B8" i="64" s="1"/>
  <c r="B9" i="64" s="1"/>
  <c r="B10" i="64" s="1"/>
  <c r="B11" i="64" s="1"/>
  <c r="B12" i="64" s="1"/>
  <c r="B13" i="64" s="1"/>
  <c r="B14" i="64" s="1"/>
  <c r="B15" i="64" s="1"/>
  <c r="B16" i="64" s="1"/>
  <c r="B17" i="64" s="1"/>
  <c r="B18" i="64" s="1"/>
  <c r="B19" i="64" s="1"/>
  <c r="B20" i="64" s="1"/>
  <c r="B21" i="64" s="1"/>
  <c r="B22" i="64" s="1"/>
  <c r="B23" i="64" s="1"/>
  <c r="B24" i="64" s="1"/>
  <c r="B25" i="64" s="1"/>
  <c r="D25" i="64" s="1"/>
  <c r="B12" i="73" l="1"/>
  <c r="K46" i="52"/>
  <c r="J46" i="52"/>
  <c r="B9" i="71"/>
  <c r="C9" i="71" s="1"/>
  <c r="B60" i="70"/>
  <c r="B64" i="70"/>
  <c r="B74" i="70" s="1"/>
  <c r="D64" i="70"/>
  <c r="D74" i="70" s="1"/>
  <c r="D80" i="70" s="1"/>
  <c r="B63" i="70"/>
  <c r="D63" i="70"/>
  <c r="D73" i="70" s="1"/>
  <c r="D79" i="70" s="1"/>
  <c r="K21" i="52"/>
  <c r="B59" i="70"/>
  <c r="C64" i="70"/>
  <c r="C74" i="70" s="1"/>
  <c r="C80" i="70" s="1"/>
  <c r="J11" i="72" s="1"/>
  <c r="B15" i="72"/>
  <c r="F15" i="72" s="1"/>
  <c r="C8" i="64"/>
  <c r="C6" i="64"/>
  <c r="D6" i="64"/>
  <c r="D8" i="64"/>
  <c r="C9" i="64"/>
  <c r="C10" i="64"/>
  <c r="D24" i="64"/>
  <c r="D23" i="64"/>
  <c r="D22" i="64"/>
  <c r="D21" i="64"/>
  <c r="D20" i="64"/>
  <c r="D19" i="64"/>
  <c r="D18" i="64"/>
  <c r="D17" i="64"/>
  <c r="D16" i="64"/>
  <c r="D15" i="64"/>
  <c r="D14" i="64"/>
  <c r="D13" i="64"/>
  <c r="D12" i="64"/>
  <c r="D11" i="64"/>
  <c r="C25" i="64"/>
  <c r="D9" i="64"/>
  <c r="D10" i="64"/>
  <c r="C24" i="64"/>
  <c r="C23" i="64"/>
  <c r="C22" i="64"/>
  <c r="C21" i="64"/>
  <c r="C20" i="64"/>
  <c r="C19" i="64"/>
  <c r="C18" i="64"/>
  <c r="C17" i="64"/>
  <c r="C16" i="64"/>
  <c r="C15" i="64"/>
  <c r="C14" i="64"/>
  <c r="C13" i="64"/>
  <c r="C12" i="64"/>
  <c r="C11" i="64"/>
  <c r="J60" i="69"/>
  <c r="K60" i="69" s="1"/>
  <c r="L18" i="64"/>
  <c r="K11" i="63"/>
  <c r="K10" i="63" s="1"/>
  <c r="K7" i="63"/>
  <c r="K6" i="63"/>
  <c r="L6" i="46"/>
  <c r="L7" i="46"/>
  <c r="L11" i="46"/>
  <c r="L10" i="46" s="1"/>
  <c r="B13" i="73" l="1"/>
  <c r="J12" i="72"/>
  <c r="J51" i="72"/>
  <c r="J52" i="72"/>
  <c r="L52" i="72"/>
  <c r="L51" i="72"/>
  <c r="B10" i="71"/>
  <c r="C10" i="71" s="1"/>
  <c r="G59" i="70"/>
  <c r="P24" i="64" s="1"/>
  <c r="I59" i="70"/>
  <c r="B73" i="70"/>
  <c r="C63" i="70"/>
  <c r="C73" i="70" s="1"/>
  <c r="C79" i="70" s="1"/>
  <c r="G60" i="70"/>
  <c r="P25" i="64" s="1"/>
  <c r="I60" i="70"/>
  <c r="M36" i="72"/>
  <c r="L45" i="72" s="1"/>
  <c r="M40" i="72"/>
  <c r="L47" i="72" s="1"/>
  <c r="K36" i="72"/>
  <c r="J45" i="72" s="1"/>
  <c r="M38" i="72"/>
  <c r="L46" i="72" s="1"/>
  <c r="K40" i="72"/>
  <c r="J47" i="72" s="1"/>
  <c r="K38" i="72"/>
  <c r="J46" i="72" s="1"/>
  <c r="C6" i="52"/>
  <c r="D6" i="52"/>
  <c r="J13" i="52"/>
  <c r="B16" i="72"/>
  <c r="F16" i="72" s="1"/>
  <c r="B7" i="63"/>
  <c r="B14" i="73" l="1"/>
  <c r="C10" i="72"/>
  <c r="C11" i="72"/>
  <c r="C12" i="72"/>
  <c r="C13" i="72"/>
  <c r="C9" i="72"/>
  <c r="D9" i="72"/>
  <c r="D10" i="72"/>
  <c r="D11" i="72"/>
  <c r="D12" i="72"/>
  <c r="D13" i="72"/>
  <c r="D8" i="72"/>
  <c r="D7" i="72"/>
  <c r="D6" i="72"/>
  <c r="E9" i="72"/>
  <c r="F9" i="72" s="1"/>
  <c r="C8" i="72"/>
  <c r="E8" i="72" s="1"/>
  <c r="F8" i="72" s="1"/>
  <c r="C7" i="72"/>
  <c r="E7" i="72" s="1"/>
  <c r="F7" i="72" s="1"/>
  <c r="C6" i="72"/>
  <c r="E6" i="72" s="1"/>
  <c r="F6" i="72" s="1"/>
  <c r="B11" i="71"/>
  <c r="C11" i="71" s="1"/>
  <c r="J59" i="70"/>
  <c r="K59" i="70" s="1"/>
  <c r="J60" i="70"/>
  <c r="K60" i="70" s="1"/>
  <c r="C7" i="64"/>
  <c r="E7" i="64" s="1"/>
  <c r="K36" i="52"/>
  <c r="K35" i="52"/>
  <c r="K34" i="52"/>
  <c r="K33" i="52"/>
  <c r="K37" i="52"/>
  <c r="B17" i="72"/>
  <c r="F17" i="72" s="1"/>
  <c r="B8" i="63"/>
  <c r="D7" i="63"/>
  <c r="C7" i="63"/>
  <c r="F6" i="73" s="1"/>
  <c r="D10" i="71"/>
  <c r="D8" i="71"/>
  <c r="D7" i="71"/>
  <c r="D9" i="71"/>
  <c r="F10" i="64"/>
  <c r="F9" i="64"/>
  <c r="F8" i="64"/>
  <c r="F6" i="64"/>
  <c r="E9" i="64"/>
  <c r="E8" i="64"/>
  <c r="E6" i="64"/>
  <c r="E10" i="64"/>
  <c r="B15" i="73" l="1"/>
  <c r="K52" i="52"/>
  <c r="E13" i="72"/>
  <c r="F13" i="72" s="1"/>
  <c r="E11" i="72"/>
  <c r="F11" i="72" s="1"/>
  <c r="E12" i="72"/>
  <c r="F12" i="72" s="1"/>
  <c r="E10" i="72"/>
  <c r="F10" i="72" s="1"/>
  <c r="B12" i="71"/>
  <c r="C12" i="71" s="1"/>
  <c r="D7" i="64"/>
  <c r="F7" i="64" s="1"/>
  <c r="K32" i="52"/>
  <c r="B18" i="72"/>
  <c r="F18" i="72" s="1"/>
  <c r="B9" i="63"/>
  <c r="C8" i="63"/>
  <c r="F7" i="73" s="1"/>
  <c r="D8" i="63"/>
  <c r="G10" i="64"/>
  <c r="H10" i="64" s="1"/>
  <c r="G7" i="64"/>
  <c r="H7" i="64" s="1"/>
  <c r="G9" i="64"/>
  <c r="H9" i="64" s="1"/>
  <c r="G6" i="64"/>
  <c r="H6" i="64" s="1"/>
  <c r="G8" i="64"/>
  <c r="H8" i="64" s="1"/>
  <c r="F25" i="64"/>
  <c r="F23" i="64"/>
  <c r="F21" i="64"/>
  <c r="F19" i="64"/>
  <c r="F18" i="64"/>
  <c r="F16" i="64"/>
  <c r="F14" i="64"/>
  <c r="F12" i="64"/>
  <c r="F11" i="64"/>
  <c r="F24" i="64"/>
  <c r="F22" i="64"/>
  <c r="F20" i="64"/>
  <c r="F17" i="64"/>
  <c r="F15" i="64"/>
  <c r="F13" i="64"/>
  <c r="E24" i="64"/>
  <c r="E22" i="64"/>
  <c r="G22" i="64" s="1"/>
  <c r="H22" i="64" s="1"/>
  <c r="E20" i="64"/>
  <c r="E17" i="64"/>
  <c r="G17" i="64" s="1"/>
  <c r="H17" i="64" s="1"/>
  <c r="E15" i="64"/>
  <c r="E13" i="64"/>
  <c r="G13" i="64" s="1"/>
  <c r="H13" i="64" s="1"/>
  <c r="E25" i="64"/>
  <c r="E23" i="64"/>
  <c r="E21" i="64"/>
  <c r="E19" i="64"/>
  <c r="E18" i="64"/>
  <c r="E16" i="64"/>
  <c r="E14" i="64"/>
  <c r="E12" i="64"/>
  <c r="E11" i="64"/>
  <c r="B16" i="73" l="1"/>
  <c r="D12" i="71"/>
  <c r="D7" i="52"/>
  <c r="D8" i="52"/>
  <c r="C10" i="52"/>
  <c r="D12" i="52"/>
  <c r="D11" i="52"/>
  <c r="D10" i="52"/>
  <c r="D9" i="52"/>
  <c r="C13" i="52"/>
  <c r="C12" i="52"/>
  <c r="E12" i="52" s="1"/>
  <c r="C11" i="52"/>
  <c r="E11" i="52" s="1"/>
  <c r="C9" i="52"/>
  <c r="E9" i="52" s="1"/>
  <c r="D13" i="52"/>
  <c r="B13" i="71"/>
  <c r="B19" i="72"/>
  <c r="F19" i="72" s="1"/>
  <c r="B10" i="63"/>
  <c r="D9" i="63"/>
  <c r="C9" i="63"/>
  <c r="F8" i="73" s="1"/>
  <c r="G11" i="64"/>
  <c r="H11" i="64" s="1"/>
  <c r="G14" i="64"/>
  <c r="H14" i="64" s="1"/>
  <c r="G18" i="64"/>
  <c r="H18" i="64" s="1"/>
  <c r="G21" i="64"/>
  <c r="H21" i="64" s="1"/>
  <c r="G25" i="64"/>
  <c r="H25" i="64" s="1"/>
  <c r="G12" i="64"/>
  <c r="H12" i="64" s="1"/>
  <c r="G16" i="64"/>
  <c r="H16" i="64" s="1"/>
  <c r="G19" i="64"/>
  <c r="H19" i="64" s="1"/>
  <c r="G23" i="64"/>
  <c r="H23" i="64" s="1"/>
  <c r="G15" i="64"/>
  <c r="H15" i="64" s="1"/>
  <c r="G20" i="64"/>
  <c r="H20" i="64" s="1"/>
  <c r="G24" i="64"/>
  <c r="H24" i="64" s="1"/>
  <c r="B17" i="73" l="1"/>
  <c r="E13" i="52"/>
  <c r="E10" i="52"/>
  <c r="D13" i="71"/>
  <c r="B14" i="71"/>
  <c r="B20" i="72"/>
  <c r="F20" i="72" s="1"/>
  <c r="B11" i="63"/>
  <c r="C10" i="63"/>
  <c r="F9" i="73" s="1"/>
  <c r="D10" i="63"/>
  <c r="H26" i="64"/>
  <c r="B18" i="73" l="1"/>
  <c r="D14" i="71"/>
  <c r="B15" i="71"/>
  <c r="B21" i="72"/>
  <c r="F21" i="72" s="1"/>
  <c r="B12" i="63"/>
  <c r="F10" i="73" l="1"/>
  <c r="B19" i="73"/>
  <c r="B16" i="71"/>
  <c r="D15" i="71"/>
  <c r="B22" i="72"/>
  <c r="F22" i="72" s="1"/>
  <c r="B13" i="63"/>
  <c r="C12" i="63"/>
  <c r="D12" i="63"/>
  <c r="M44" i="36"/>
  <c r="L44" i="36"/>
  <c r="K44" i="36"/>
  <c r="J44" i="36"/>
  <c r="I44" i="36"/>
  <c r="B45" i="36"/>
  <c r="F44" i="36"/>
  <c r="M11" i="71" s="1"/>
  <c r="L15" i="71" s="1"/>
  <c r="E44" i="36"/>
  <c r="D44" i="36"/>
  <c r="C44" i="36"/>
  <c r="B44" i="36"/>
  <c r="F48" i="36"/>
  <c r="E48" i="36"/>
  <c r="D48" i="36"/>
  <c r="C48" i="36"/>
  <c r="B48" i="36"/>
  <c r="F47" i="36"/>
  <c r="E47" i="36"/>
  <c r="D47" i="36"/>
  <c r="C47" i="36"/>
  <c r="B47" i="36"/>
  <c r="B20" i="73" l="1"/>
  <c r="D16" i="71"/>
  <c r="B17" i="71"/>
  <c r="M15" i="71"/>
  <c r="E18" i="71" s="1"/>
  <c r="B23" i="72"/>
  <c r="F23" i="72" s="1"/>
  <c r="B14" i="63"/>
  <c r="C13" i="63"/>
  <c r="D13" i="63"/>
  <c r="B21" i="73" l="1"/>
  <c r="D17" i="71"/>
  <c r="F17" i="71" s="1"/>
  <c r="B18" i="71"/>
  <c r="E7" i="71"/>
  <c r="E6" i="71"/>
  <c r="E8" i="71"/>
  <c r="F6" i="71"/>
  <c r="E10" i="71"/>
  <c r="F8" i="71"/>
  <c r="F7" i="71"/>
  <c r="E9" i="71"/>
  <c r="F9" i="71"/>
  <c r="F10" i="71"/>
  <c r="E12" i="71"/>
  <c r="F11" i="71"/>
  <c r="E13" i="71"/>
  <c r="E11" i="71"/>
  <c r="G11" i="71" s="1"/>
  <c r="H11" i="71" s="1"/>
  <c r="F13" i="71"/>
  <c r="F14" i="71"/>
  <c r="F12" i="71"/>
  <c r="E14" i="71"/>
  <c r="G14" i="71" s="1"/>
  <c r="H14" i="71" s="1"/>
  <c r="E15" i="71"/>
  <c r="F15" i="71"/>
  <c r="E16" i="71"/>
  <c r="F16" i="71"/>
  <c r="E17" i="71"/>
  <c r="G17" i="71" s="1"/>
  <c r="H17" i="71" s="1"/>
  <c r="B24" i="72"/>
  <c r="F24" i="72" s="1"/>
  <c r="B15" i="63"/>
  <c r="C14" i="63"/>
  <c r="D14" i="63"/>
  <c r="E19" i="71"/>
  <c r="B22" i="73" l="1"/>
  <c r="G9" i="71"/>
  <c r="H9" i="71" s="1"/>
  <c r="D18" i="71"/>
  <c r="F18" i="71" s="1"/>
  <c r="G18" i="71" s="1"/>
  <c r="H18" i="71" s="1"/>
  <c r="B19" i="71"/>
  <c r="G6" i="71"/>
  <c r="H6" i="71" s="1"/>
  <c r="G16" i="71"/>
  <c r="H16" i="71" s="1"/>
  <c r="G15" i="71"/>
  <c r="H15" i="71" s="1"/>
  <c r="G13" i="71"/>
  <c r="H13" i="71" s="1"/>
  <c r="G12" i="71"/>
  <c r="H12" i="71" s="1"/>
  <c r="G10" i="71"/>
  <c r="H10" i="71" s="1"/>
  <c r="G8" i="71"/>
  <c r="H8" i="71" s="1"/>
  <c r="G7" i="71"/>
  <c r="H7" i="71" s="1"/>
  <c r="B25" i="72"/>
  <c r="F25" i="72" s="1"/>
  <c r="B16" i="63"/>
  <c r="D15" i="63"/>
  <c r="C15" i="63"/>
  <c r="E20" i="71"/>
  <c r="B23" i="73" l="1"/>
  <c r="D19" i="71"/>
  <c r="F19" i="71" s="1"/>
  <c r="G19" i="71" s="1"/>
  <c r="H19" i="71" s="1"/>
  <c r="B20" i="71"/>
  <c r="F26" i="72"/>
  <c r="B17" i="63"/>
  <c r="C16" i="63"/>
  <c r="D16" i="63"/>
  <c r="E21" i="71"/>
  <c r="B11" i="48"/>
  <c r="I31" i="48"/>
  <c r="I30" i="48"/>
  <c r="I29" i="48"/>
  <c r="I28" i="48"/>
  <c r="I27" i="48"/>
  <c r="I25" i="48"/>
  <c r="I24" i="48"/>
  <c r="I23" i="48"/>
  <c r="I22" i="48"/>
  <c r="I21" i="48"/>
  <c r="I17" i="48"/>
  <c r="I16" i="48"/>
  <c r="I15" i="48"/>
  <c r="I14" i="48"/>
  <c r="I13" i="48"/>
  <c r="I11" i="48"/>
  <c r="I8" i="48"/>
  <c r="I9" i="48"/>
  <c r="I10" i="48"/>
  <c r="I7" i="48"/>
  <c r="AH32" i="48"/>
  <c r="AG32" i="48"/>
  <c r="AF32" i="48"/>
  <c r="AE32" i="48"/>
  <c r="AD32" i="48"/>
  <c r="AC32" i="48"/>
  <c r="AB32" i="48"/>
  <c r="AA32" i="48"/>
  <c r="Z32" i="48"/>
  <c r="Y32" i="48"/>
  <c r="X32" i="48"/>
  <c r="W32" i="48"/>
  <c r="V32" i="48"/>
  <c r="U32" i="48"/>
  <c r="T32" i="48"/>
  <c r="S32" i="48"/>
  <c r="R32" i="48"/>
  <c r="Q32" i="48"/>
  <c r="P32" i="48"/>
  <c r="O32" i="48"/>
  <c r="D11" i="48" l="1"/>
  <c r="C11" i="48"/>
  <c r="B24" i="73"/>
  <c r="D20" i="71"/>
  <c r="F20" i="71" s="1"/>
  <c r="G20" i="71" s="1"/>
  <c r="H20" i="71" s="1"/>
  <c r="B21" i="71"/>
  <c r="B18" i="63"/>
  <c r="D17" i="63"/>
  <c r="C17" i="63"/>
  <c r="E22" i="71"/>
  <c r="R18" i="48"/>
  <c r="Q18" i="48"/>
  <c r="P18" i="48"/>
  <c r="O18" i="48"/>
  <c r="P9" i="8"/>
  <c r="P8" i="8"/>
  <c r="P7" i="8"/>
  <c r="F3" i="57"/>
  <c r="F4" i="57"/>
  <c r="E6" i="57"/>
  <c r="F6" i="57"/>
  <c r="E9" i="57"/>
  <c r="F9" i="57" s="1"/>
  <c r="F13" i="57"/>
  <c r="F19" i="57"/>
  <c r="F21" i="57"/>
  <c r="F22" i="57"/>
  <c r="F23" i="57"/>
  <c r="M23" i="57"/>
  <c r="F24" i="57"/>
  <c r="M24" i="57"/>
  <c r="F25" i="57"/>
  <c r="F27" i="57"/>
  <c r="F28" i="57"/>
  <c r="F29" i="57"/>
  <c r="F30" i="57"/>
  <c r="F31" i="57"/>
  <c r="E32" i="57"/>
  <c r="F32" i="57" s="1"/>
  <c r="F33" i="57"/>
  <c r="O38" i="57"/>
  <c r="F40" i="57"/>
  <c r="F41" i="57"/>
  <c r="J42" i="57"/>
  <c r="A57" i="57"/>
  <c r="B57" i="57"/>
  <c r="C57" i="57"/>
  <c r="C61" i="57" s="1"/>
  <c r="E2" i="57" s="1"/>
  <c r="F2" i="57" s="1"/>
  <c r="D57" i="57"/>
  <c r="F57" i="57"/>
  <c r="E57" i="57" s="1"/>
  <c r="G57" i="57"/>
  <c r="H57" i="57"/>
  <c r="I57" i="57" s="1"/>
  <c r="J57" i="57"/>
  <c r="K57" i="57"/>
  <c r="K61" i="57" s="1"/>
  <c r="E17" i="57" s="1"/>
  <c r="F17" i="57" s="1"/>
  <c r="L57" i="57"/>
  <c r="M57" i="57"/>
  <c r="N57" i="57"/>
  <c r="A58" i="57"/>
  <c r="B58" i="57"/>
  <c r="G58" i="57" s="1"/>
  <c r="C58" i="57"/>
  <c r="D58" i="57"/>
  <c r="D61" i="57" s="1"/>
  <c r="F58" i="57"/>
  <c r="H58" i="57"/>
  <c r="H61" i="57" s="1"/>
  <c r="E12" i="57" s="1"/>
  <c r="F12" i="57" s="1"/>
  <c r="I58" i="57"/>
  <c r="J58" i="57"/>
  <c r="K58" i="57"/>
  <c r="L58" i="57"/>
  <c r="L61" i="57" s="1"/>
  <c r="E14" i="57" s="1"/>
  <c r="F14" i="57" s="1"/>
  <c r="M58" i="57"/>
  <c r="M61" i="57" s="1"/>
  <c r="N58" i="57"/>
  <c r="A59" i="57"/>
  <c r="B59" i="57"/>
  <c r="C59" i="57"/>
  <c r="D59" i="57"/>
  <c r="F59" i="57"/>
  <c r="E59" i="57" s="1"/>
  <c r="G59" i="57"/>
  <c r="H59" i="57"/>
  <c r="I59" i="57" s="1"/>
  <c r="J59" i="57"/>
  <c r="K59" i="57"/>
  <c r="L59" i="57"/>
  <c r="M59" i="57"/>
  <c r="N59" i="57"/>
  <c r="B61" i="57"/>
  <c r="E18" i="57" s="1"/>
  <c r="F18" i="57" s="1"/>
  <c r="F61" i="57"/>
  <c r="J61" i="57"/>
  <c r="E16" i="57" s="1"/>
  <c r="F16" i="57" s="1"/>
  <c r="N61" i="57"/>
  <c r="E15" i="57" s="1"/>
  <c r="F15" i="57" s="1"/>
  <c r="F3" i="56"/>
  <c r="F4" i="56"/>
  <c r="E6" i="56"/>
  <c r="F6" i="56"/>
  <c r="I9" i="56"/>
  <c r="E9" i="56" s="1"/>
  <c r="F9" i="56" s="1"/>
  <c r="F13" i="56"/>
  <c r="F19" i="56"/>
  <c r="F21" i="56"/>
  <c r="F22" i="56"/>
  <c r="F23" i="56"/>
  <c r="M23" i="56"/>
  <c r="M24" i="56" s="1"/>
  <c r="F24" i="56"/>
  <c r="F25" i="56"/>
  <c r="F27" i="56"/>
  <c r="F28" i="56"/>
  <c r="F29" i="56"/>
  <c r="F30" i="56"/>
  <c r="F31" i="56"/>
  <c r="E32" i="56"/>
  <c r="F32" i="56"/>
  <c r="F33" i="56"/>
  <c r="F40" i="56"/>
  <c r="F41" i="56"/>
  <c r="K42" i="56"/>
  <c r="L42" i="56" s="1"/>
  <c r="A57" i="56"/>
  <c r="B57" i="56"/>
  <c r="G57" i="56" s="1"/>
  <c r="C57" i="56"/>
  <c r="D57" i="56"/>
  <c r="F57" i="56"/>
  <c r="F61" i="56" s="1"/>
  <c r="E64" i="56" s="1"/>
  <c r="H57" i="56"/>
  <c r="I57" i="56"/>
  <c r="J57" i="56"/>
  <c r="J61" i="56" s="1"/>
  <c r="E16" i="56" s="1"/>
  <c r="F16" i="56" s="1"/>
  <c r="K57" i="56"/>
  <c r="L57" i="56"/>
  <c r="M57" i="56"/>
  <c r="N57" i="56"/>
  <c r="N61" i="56" s="1"/>
  <c r="E15" i="56" s="1"/>
  <c r="F15" i="56" s="1"/>
  <c r="A58" i="56"/>
  <c r="B58" i="56"/>
  <c r="C58" i="56"/>
  <c r="C61" i="56" s="1"/>
  <c r="E2" i="56" s="1"/>
  <c r="F2" i="56" s="1"/>
  <c r="D58" i="56"/>
  <c r="D61" i="56" s="1"/>
  <c r="F58" i="56"/>
  <c r="G58" i="56"/>
  <c r="H58" i="56"/>
  <c r="I58" i="56" s="1"/>
  <c r="I61" i="56" s="1"/>
  <c r="E11" i="56" s="1"/>
  <c r="F11" i="56" s="1"/>
  <c r="J58" i="56"/>
  <c r="K58" i="56"/>
  <c r="K61" i="56" s="1"/>
  <c r="E17" i="56" s="1"/>
  <c r="F17" i="56" s="1"/>
  <c r="L58" i="56"/>
  <c r="L61" i="56" s="1"/>
  <c r="E14" i="56" s="1"/>
  <c r="F14" i="56" s="1"/>
  <c r="M58" i="56"/>
  <c r="E58" i="56" s="1"/>
  <c r="N58" i="56"/>
  <c r="A59" i="56"/>
  <c r="B59" i="56"/>
  <c r="G59" i="56" s="1"/>
  <c r="C59" i="56"/>
  <c r="D59" i="56"/>
  <c r="F59" i="56"/>
  <c r="E59" i="56" s="1"/>
  <c r="H59" i="56"/>
  <c r="I59" i="56"/>
  <c r="J59" i="56"/>
  <c r="K59" i="56"/>
  <c r="L59" i="56"/>
  <c r="M59" i="56"/>
  <c r="N59" i="56"/>
  <c r="M61" i="56"/>
  <c r="F3" i="55"/>
  <c r="F4" i="55"/>
  <c r="E6" i="55"/>
  <c r="F6" i="55"/>
  <c r="F9" i="55"/>
  <c r="F13" i="55"/>
  <c r="F19" i="55"/>
  <c r="F21" i="55"/>
  <c r="F22" i="55"/>
  <c r="F23" i="55"/>
  <c r="F24" i="55"/>
  <c r="F25" i="55"/>
  <c r="F27" i="55"/>
  <c r="F28" i="55"/>
  <c r="F29" i="55"/>
  <c r="F30" i="55"/>
  <c r="F31" i="55"/>
  <c r="E32" i="55"/>
  <c r="F32" i="55"/>
  <c r="F33" i="55"/>
  <c r="F40" i="55"/>
  <c r="F41" i="55"/>
  <c r="M42" i="55"/>
  <c r="A57" i="55"/>
  <c r="B57" i="55"/>
  <c r="C57" i="55"/>
  <c r="C61" i="55" s="1"/>
  <c r="E2" i="55" s="1"/>
  <c r="F2" i="55" s="1"/>
  <c r="D57" i="55"/>
  <c r="F57" i="55"/>
  <c r="E57" i="55" s="1"/>
  <c r="G57" i="55"/>
  <c r="H57" i="55"/>
  <c r="I57" i="55" s="1"/>
  <c r="J57" i="55"/>
  <c r="K57" i="55"/>
  <c r="K61" i="55" s="1"/>
  <c r="E17" i="55" s="1"/>
  <c r="F17" i="55" s="1"/>
  <c r="L57" i="55"/>
  <c r="M57" i="55"/>
  <c r="N57" i="55"/>
  <c r="A58" i="55"/>
  <c r="B58" i="55"/>
  <c r="G58" i="55" s="1"/>
  <c r="C58" i="55"/>
  <c r="D58" i="55"/>
  <c r="F58" i="55"/>
  <c r="H58" i="55"/>
  <c r="I58" i="55"/>
  <c r="J58" i="55"/>
  <c r="K58" i="55"/>
  <c r="L58" i="55"/>
  <c r="M58" i="55"/>
  <c r="E58" i="55" s="1"/>
  <c r="N58" i="55"/>
  <c r="A59" i="55"/>
  <c r="B59" i="55"/>
  <c r="C59" i="55"/>
  <c r="D59" i="55"/>
  <c r="D61" i="55" s="1"/>
  <c r="F59" i="55"/>
  <c r="E59" i="55" s="1"/>
  <c r="G59" i="55"/>
  <c r="H59" i="55"/>
  <c r="I59" i="55" s="1"/>
  <c r="J59" i="55"/>
  <c r="K59" i="55"/>
  <c r="L59" i="55"/>
  <c r="L61" i="55" s="1"/>
  <c r="E14" i="55" s="1"/>
  <c r="F14" i="55" s="1"/>
  <c r="M59" i="55"/>
  <c r="N59" i="55"/>
  <c r="B61" i="55"/>
  <c r="E18" i="55" s="1"/>
  <c r="F18" i="55" s="1"/>
  <c r="F61" i="55"/>
  <c r="J61" i="55"/>
  <c r="E16" i="55" s="1"/>
  <c r="F16" i="55" s="1"/>
  <c r="N61" i="55"/>
  <c r="E15" i="55" s="1"/>
  <c r="F15" i="55" s="1"/>
  <c r="G10" i="8" l="1"/>
  <c r="T8" i="8"/>
  <c r="C8" i="8"/>
  <c r="T7" i="8"/>
  <c r="T9" i="8"/>
  <c r="E9" i="8"/>
  <c r="B22" i="71"/>
  <c r="D21" i="71"/>
  <c r="F21" i="71" s="1"/>
  <c r="G21" i="71" s="1"/>
  <c r="H21" i="71" s="1"/>
  <c r="B19" i="63"/>
  <c r="C18" i="63"/>
  <c r="D18" i="63"/>
  <c r="E23" i="71"/>
  <c r="I61" i="57"/>
  <c r="E11" i="57" s="1"/>
  <c r="F11" i="57" s="1"/>
  <c r="E64" i="57"/>
  <c r="E61" i="57"/>
  <c r="E5" i="57" s="1"/>
  <c r="F5" i="57" s="1"/>
  <c r="G61" i="57"/>
  <c r="E20" i="57" s="1"/>
  <c r="F20" i="57" s="1"/>
  <c r="E65" i="57"/>
  <c r="E7" i="57" s="1"/>
  <c r="F7" i="57" s="1"/>
  <c r="E10" i="57"/>
  <c r="F10" i="57" s="1"/>
  <c r="E58" i="57"/>
  <c r="G61" i="56"/>
  <c r="E20" i="56" s="1"/>
  <c r="F20" i="56" s="1"/>
  <c r="E65" i="56"/>
  <c r="E7" i="56" s="1"/>
  <c r="F7" i="56" s="1"/>
  <c r="E10" i="56"/>
  <c r="F10" i="56" s="1"/>
  <c r="H61" i="56"/>
  <c r="E12" i="56" s="1"/>
  <c r="F12" i="56" s="1"/>
  <c r="E57" i="56"/>
  <c r="E61" i="56" s="1"/>
  <c r="E5" i="56" s="1"/>
  <c r="F5" i="56" s="1"/>
  <c r="B61" i="56"/>
  <c r="E18" i="56" s="1"/>
  <c r="F18" i="56" s="1"/>
  <c r="E61" i="55"/>
  <c r="E5" i="55" s="1"/>
  <c r="F5" i="55" s="1"/>
  <c r="E10" i="55"/>
  <c r="F10" i="55" s="1"/>
  <c r="E65" i="55"/>
  <c r="E7" i="55" s="1"/>
  <c r="F7" i="55" s="1"/>
  <c r="I61" i="55"/>
  <c r="E11" i="55" s="1"/>
  <c r="F11" i="55" s="1"/>
  <c r="G61" i="55"/>
  <c r="E20" i="55" s="1"/>
  <c r="F20" i="55" s="1"/>
  <c r="M61" i="55"/>
  <c r="E64" i="55" s="1"/>
  <c r="E66" i="55" s="1"/>
  <c r="E8" i="55" s="1"/>
  <c r="F8" i="55" s="1"/>
  <c r="H61" i="55"/>
  <c r="E12" i="55" s="1"/>
  <c r="F12" i="55" s="1"/>
  <c r="T10" i="8" l="1"/>
  <c r="B23" i="71"/>
  <c r="D22" i="71"/>
  <c r="F22" i="71" s="1"/>
  <c r="G22" i="71" s="1"/>
  <c r="H22" i="71" s="1"/>
  <c r="B20" i="63"/>
  <c r="D19" i="63"/>
  <c r="C19" i="63"/>
  <c r="E24" i="71"/>
  <c r="E66" i="57"/>
  <c r="E8" i="57" s="1"/>
  <c r="F8" i="57" s="1"/>
  <c r="E66" i="56"/>
  <c r="E8" i="56" s="1"/>
  <c r="F8" i="56" s="1"/>
  <c r="E26" i="55"/>
  <c r="F26" i="55" s="1"/>
  <c r="F35" i="55" s="1"/>
  <c r="F36" i="55" s="1"/>
  <c r="B42" i="12"/>
  <c r="C42" i="12" s="1"/>
  <c r="B7" i="12"/>
  <c r="I7" i="12" l="1"/>
  <c r="J7" i="12"/>
  <c r="H7" i="12"/>
  <c r="D7" i="12"/>
  <c r="B24" i="71"/>
  <c r="D23" i="71"/>
  <c r="F23" i="71" s="1"/>
  <c r="G23" i="71" s="1"/>
  <c r="H23" i="71" s="1"/>
  <c r="B21" i="63"/>
  <c r="C20" i="63"/>
  <c r="D20" i="63"/>
  <c r="E25" i="71"/>
  <c r="E26" i="57"/>
  <c r="F26" i="57" s="1"/>
  <c r="F35" i="57" s="1"/>
  <c r="F36" i="57" s="1"/>
  <c r="E26" i="56"/>
  <c r="F26" i="56" s="1"/>
  <c r="F35" i="56" s="1"/>
  <c r="F36" i="56" s="1"/>
  <c r="F39" i="55"/>
  <c r="F37" i="55"/>
  <c r="F42" i="55" s="1"/>
  <c r="F38" i="55"/>
  <c r="B25" i="71" l="1"/>
  <c r="D24" i="71"/>
  <c r="F24" i="71" s="1"/>
  <c r="G24" i="71" s="1"/>
  <c r="H24" i="71" s="1"/>
  <c r="B22" i="63"/>
  <c r="D21" i="63"/>
  <c r="C21" i="63"/>
  <c r="F39" i="57"/>
  <c r="F37" i="57"/>
  <c r="F38" i="57"/>
  <c r="F42" i="57" s="1"/>
  <c r="F39" i="56"/>
  <c r="F38" i="56"/>
  <c r="F37" i="56"/>
  <c r="F42" i="56"/>
  <c r="E15" i="51"/>
  <c r="D25" i="71" l="1"/>
  <c r="F25" i="71" s="1"/>
  <c r="G25" i="71" s="1"/>
  <c r="H25" i="71" s="1"/>
  <c r="H26" i="71" s="1"/>
  <c r="F7" i="12"/>
  <c r="B23" i="63"/>
  <c r="C22" i="63"/>
  <c r="D22" i="63"/>
  <c r="B24" i="63" l="1"/>
  <c r="D23" i="63"/>
  <c r="C23" i="63"/>
  <c r="B25" i="63" l="1"/>
  <c r="C24" i="63"/>
  <c r="D24" i="63"/>
  <c r="E7" i="12" l="1"/>
  <c r="F12" i="73"/>
  <c r="F11" i="73"/>
  <c r="F14" i="73"/>
  <c r="F13" i="73"/>
  <c r="F15" i="73"/>
  <c r="F16" i="73"/>
  <c r="F17" i="73"/>
  <c r="F20" i="73"/>
  <c r="F18" i="73"/>
  <c r="F19" i="73"/>
  <c r="F23" i="73"/>
  <c r="F21" i="73"/>
  <c r="F22" i="73"/>
  <c r="D25" i="63"/>
  <c r="C25" i="63"/>
  <c r="F24" i="73" s="1"/>
  <c r="E14" i="51" l="1"/>
  <c r="D14" i="51"/>
  <c r="I7" i="73" l="1"/>
  <c r="I11" i="73"/>
  <c r="I17" i="73"/>
  <c r="I21" i="73"/>
  <c r="H5" i="73"/>
  <c r="L5" i="73" s="1"/>
  <c r="I8" i="73"/>
  <c r="I12" i="73"/>
  <c r="I18" i="73"/>
  <c r="I22" i="73"/>
  <c r="C5" i="73"/>
  <c r="D5" i="73" s="1"/>
  <c r="E5" i="73" s="1"/>
  <c r="H6" i="73"/>
  <c r="L6" i="73" s="1"/>
  <c r="H7" i="73"/>
  <c r="L7" i="73" s="1"/>
  <c r="H8" i="73"/>
  <c r="L8" i="73" s="1"/>
  <c r="H9" i="73"/>
  <c r="L9" i="73" s="1"/>
  <c r="H10" i="73"/>
  <c r="L10" i="73" s="1"/>
  <c r="H11" i="73"/>
  <c r="L11" i="73" s="1"/>
  <c r="H12" i="73"/>
  <c r="L12" i="73" s="1"/>
  <c r="H13" i="73"/>
  <c r="L13" i="73" s="1"/>
  <c r="H14" i="73"/>
  <c r="L14" i="73" s="1"/>
  <c r="H15" i="73"/>
  <c r="L15" i="73" s="1"/>
  <c r="H16" i="73"/>
  <c r="L16" i="73" s="1"/>
  <c r="H17" i="73"/>
  <c r="L17" i="73" s="1"/>
  <c r="H18" i="73"/>
  <c r="L18" i="73" s="1"/>
  <c r="H19" i="73"/>
  <c r="L19" i="73" s="1"/>
  <c r="H20" i="73"/>
  <c r="L20" i="73" s="1"/>
  <c r="H21" i="73"/>
  <c r="L21" i="73" s="1"/>
  <c r="H22" i="73"/>
  <c r="L22" i="73" s="1"/>
  <c r="H23" i="73"/>
  <c r="L23" i="73" s="1"/>
  <c r="H24" i="73"/>
  <c r="L24" i="73" s="1"/>
  <c r="G5" i="73"/>
  <c r="G6" i="73"/>
  <c r="G8" i="73"/>
  <c r="G10" i="73"/>
  <c r="G12" i="73"/>
  <c r="G14" i="73"/>
  <c r="G16" i="73"/>
  <c r="G18" i="73"/>
  <c r="G20" i="73"/>
  <c r="G22" i="73"/>
  <c r="G24" i="73"/>
  <c r="I9" i="73"/>
  <c r="I13" i="73"/>
  <c r="I15" i="73"/>
  <c r="I19" i="73"/>
  <c r="I23" i="73"/>
  <c r="I6" i="73"/>
  <c r="I10" i="73"/>
  <c r="I14" i="73"/>
  <c r="I16" i="73"/>
  <c r="I20" i="73"/>
  <c r="I24" i="73"/>
  <c r="C6" i="73"/>
  <c r="D6" i="73" s="1"/>
  <c r="E6" i="73" s="1"/>
  <c r="C7" i="73"/>
  <c r="D7" i="73" s="1"/>
  <c r="E7" i="73" s="1"/>
  <c r="C8" i="73"/>
  <c r="D8" i="73" s="1"/>
  <c r="E8" i="73" s="1"/>
  <c r="C9" i="73"/>
  <c r="D9" i="73" s="1"/>
  <c r="E9" i="73" s="1"/>
  <c r="C10" i="73"/>
  <c r="D10" i="73" s="1"/>
  <c r="E10" i="73" s="1"/>
  <c r="C11" i="73"/>
  <c r="D11" i="73" s="1"/>
  <c r="E11" i="73" s="1"/>
  <c r="C12" i="73"/>
  <c r="D12" i="73" s="1"/>
  <c r="E12" i="73" s="1"/>
  <c r="C13" i="73"/>
  <c r="D13" i="73" s="1"/>
  <c r="E13" i="73" s="1"/>
  <c r="C14" i="73"/>
  <c r="D14" i="73" s="1"/>
  <c r="E14" i="73" s="1"/>
  <c r="C15" i="73"/>
  <c r="D15" i="73" s="1"/>
  <c r="E15" i="73" s="1"/>
  <c r="C16" i="73"/>
  <c r="D16" i="73" s="1"/>
  <c r="E16" i="73" s="1"/>
  <c r="C17" i="73"/>
  <c r="D17" i="73" s="1"/>
  <c r="E17" i="73" s="1"/>
  <c r="C18" i="73"/>
  <c r="D18" i="73" s="1"/>
  <c r="E18" i="73" s="1"/>
  <c r="C19" i="73"/>
  <c r="D19" i="73" s="1"/>
  <c r="E19" i="73" s="1"/>
  <c r="C20" i="73"/>
  <c r="D20" i="73" s="1"/>
  <c r="E20" i="73" s="1"/>
  <c r="C21" i="73"/>
  <c r="D21" i="73" s="1"/>
  <c r="E21" i="73" s="1"/>
  <c r="C22" i="73"/>
  <c r="D22" i="73" s="1"/>
  <c r="E22" i="73" s="1"/>
  <c r="C23" i="73"/>
  <c r="D23" i="73" s="1"/>
  <c r="E23" i="73" s="1"/>
  <c r="C24" i="73"/>
  <c r="D24" i="73" s="1"/>
  <c r="E24" i="73" s="1"/>
  <c r="I5" i="73"/>
  <c r="G7" i="73"/>
  <c r="G9" i="73"/>
  <c r="G11" i="73"/>
  <c r="G13" i="73"/>
  <c r="G15" i="73"/>
  <c r="G17" i="73"/>
  <c r="G19" i="73"/>
  <c r="G21" i="73"/>
  <c r="G23" i="73"/>
  <c r="D26" i="51"/>
  <c r="K14" i="63" s="1"/>
  <c r="D25" i="51"/>
  <c r="E25" i="73" l="1"/>
  <c r="K19" i="73"/>
  <c r="J19" i="73"/>
  <c r="K9" i="73"/>
  <c r="J9" i="73"/>
  <c r="K22" i="73"/>
  <c r="J22" i="73"/>
  <c r="K18" i="73"/>
  <c r="J18" i="73"/>
  <c r="K12" i="73"/>
  <c r="J12" i="73"/>
  <c r="K8" i="73"/>
  <c r="J8" i="73"/>
  <c r="K5" i="73"/>
  <c r="J5" i="73"/>
  <c r="K23" i="73"/>
  <c r="J23" i="73"/>
  <c r="K15" i="73"/>
  <c r="J15" i="73"/>
  <c r="K13" i="73"/>
  <c r="J13" i="73"/>
  <c r="J21" i="73"/>
  <c r="K21" i="73"/>
  <c r="J17" i="73"/>
  <c r="K17" i="73"/>
  <c r="J11" i="73"/>
  <c r="K11" i="73"/>
  <c r="K7" i="73"/>
  <c r="J7" i="73"/>
  <c r="K24" i="73"/>
  <c r="J24" i="73"/>
  <c r="J20" i="73"/>
  <c r="K20" i="73"/>
  <c r="J16" i="73"/>
  <c r="K16" i="73"/>
  <c r="J14" i="73"/>
  <c r="K14" i="73"/>
  <c r="J10" i="73"/>
  <c r="K10" i="73"/>
  <c r="J6" i="73"/>
  <c r="K6" i="73"/>
  <c r="B7" i="52"/>
  <c r="M15" i="73" l="1"/>
  <c r="M24" i="73"/>
  <c r="B8" i="52"/>
  <c r="C7" i="52"/>
  <c r="M23" i="73"/>
  <c r="M18" i="73"/>
  <c r="M22" i="73"/>
  <c r="M19" i="73"/>
  <c r="M7" i="73"/>
  <c r="O7" i="73" s="1"/>
  <c r="M13" i="73"/>
  <c r="N13" i="73" s="1"/>
  <c r="P13" i="73" s="1"/>
  <c r="M5" i="73"/>
  <c r="N5" i="73" s="1"/>
  <c r="M8" i="73"/>
  <c r="N8" i="73" s="1"/>
  <c r="P8" i="73" s="1"/>
  <c r="M12" i="73"/>
  <c r="O12" i="73" s="1"/>
  <c r="M9" i="73"/>
  <c r="M6" i="73"/>
  <c r="N6" i="73" s="1"/>
  <c r="P6" i="73" s="1"/>
  <c r="M10" i="73"/>
  <c r="M14" i="73"/>
  <c r="N14" i="73" s="1"/>
  <c r="P14" i="73" s="1"/>
  <c r="M16" i="73"/>
  <c r="M20" i="73"/>
  <c r="N20" i="73" s="1"/>
  <c r="P20" i="73" s="1"/>
  <c r="M11" i="73"/>
  <c r="M17" i="73"/>
  <c r="N17" i="73" s="1"/>
  <c r="P17" i="73" s="1"/>
  <c r="M21" i="73"/>
  <c r="N24" i="73"/>
  <c r="P24" i="73" s="1"/>
  <c r="O24" i="73"/>
  <c r="N7" i="73"/>
  <c r="P7" i="73" s="1"/>
  <c r="O13" i="73"/>
  <c r="N15" i="73"/>
  <c r="P15" i="73" s="1"/>
  <c r="O15" i="73"/>
  <c r="N23" i="73"/>
  <c r="P23" i="73" s="1"/>
  <c r="O23" i="73"/>
  <c r="O5" i="73"/>
  <c r="O8" i="73"/>
  <c r="N12" i="73"/>
  <c r="P12" i="73" s="1"/>
  <c r="N18" i="73"/>
  <c r="P18" i="73" s="1"/>
  <c r="O18" i="73"/>
  <c r="N22" i="73"/>
  <c r="P22" i="73" s="1"/>
  <c r="O22" i="73"/>
  <c r="N9" i="73"/>
  <c r="P9" i="73" s="1"/>
  <c r="O9" i="73"/>
  <c r="N19" i="73"/>
  <c r="P19" i="73" s="1"/>
  <c r="O19" i="73"/>
  <c r="N10" i="73"/>
  <c r="P10" i="73" s="1"/>
  <c r="O10" i="73"/>
  <c r="O14" i="73"/>
  <c r="N16" i="73"/>
  <c r="P16" i="73" s="1"/>
  <c r="O16" i="73"/>
  <c r="N11" i="73"/>
  <c r="P11" i="73" s="1"/>
  <c r="O11" i="73"/>
  <c r="O17" i="73"/>
  <c r="N21" i="73"/>
  <c r="P21" i="73" s="1"/>
  <c r="O21" i="73"/>
  <c r="B7" i="46"/>
  <c r="B12" i="48"/>
  <c r="D12" i="48" l="1"/>
  <c r="C12" i="48"/>
  <c r="B8" i="46"/>
  <c r="O20" i="73"/>
  <c r="B9" i="52"/>
  <c r="C8" i="52"/>
  <c r="O6" i="73"/>
  <c r="P5" i="73"/>
  <c r="P25" i="73" s="1"/>
  <c r="N25" i="73"/>
  <c r="C8" i="46"/>
  <c r="D8" i="46"/>
  <c r="C7" i="46"/>
  <c r="D7" i="46"/>
  <c r="B9" i="46"/>
  <c r="E11" i="48"/>
  <c r="B13" i="48"/>
  <c r="D13" i="48" l="1"/>
  <c r="C13" i="48"/>
  <c r="O25" i="73"/>
  <c r="B10" i="52"/>
  <c r="F9" i="52"/>
  <c r="D9" i="46"/>
  <c r="C9" i="46"/>
  <c r="B10" i="46"/>
  <c r="E12" i="48"/>
  <c r="F11" i="48"/>
  <c r="B14" i="48"/>
  <c r="D14" i="48" l="1"/>
  <c r="C14" i="48"/>
  <c r="B11" i="52"/>
  <c r="F10" i="52"/>
  <c r="C10" i="46"/>
  <c r="D10" i="46"/>
  <c r="B11" i="46"/>
  <c r="F12" i="48"/>
  <c r="E13" i="48"/>
  <c r="B15" i="48"/>
  <c r="D15" i="48" l="1"/>
  <c r="C15" i="48"/>
  <c r="B12" i="52"/>
  <c r="F11" i="52"/>
  <c r="B12" i="46"/>
  <c r="B13" i="46" s="1"/>
  <c r="L7" i="12"/>
  <c r="F13" i="48"/>
  <c r="E14" i="48"/>
  <c r="B16" i="48"/>
  <c r="D16" i="48" l="1"/>
  <c r="C16" i="48"/>
  <c r="B13" i="52"/>
  <c r="F12" i="52"/>
  <c r="D13" i="46"/>
  <c r="C13" i="46"/>
  <c r="C12" i="46"/>
  <c r="D12" i="46"/>
  <c r="B14" i="46"/>
  <c r="E15" i="48"/>
  <c r="F14" i="48"/>
  <c r="B17" i="48"/>
  <c r="D17" i="48" l="1"/>
  <c r="C17" i="48"/>
  <c r="B14" i="52"/>
  <c r="F13" i="52"/>
  <c r="C14" i="46"/>
  <c r="D14" i="46"/>
  <c r="B15" i="46"/>
  <c r="F15" i="48"/>
  <c r="E16" i="48"/>
  <c r="B18" i="48"/>
  <c r="B43" i="12"/>
  <c r="C43" i="12" s="1"/>
  <c r="B8" i="12"/>
  <c r="D18" i="48" l="1"/>
  <c r="C18" i="48"/>
  <c r="B15" i="52"/>
  <c r="F14" i="52"/>
  <c r="I8" i="12"/>
  <c r="J8" i="12"/>
  <c r="F8" i="12"/>
  <c r="E8" i="12"/>
  <c r="H8" i="12"/>
  <c r="D8" i="12"/>
  <c r="D15" i="46"/>
  <c r="C15" i="46"/>
  <c r="B16" i="46"/>
  <c r="L8" i="12"/>
  <c r="F16" i="48"/>
  <c r="E17" i="48"/>
  <c r="B9" i="12"/>
  <c r="B19" i="48"/>
  <c r="B44" i="12"/>
  <c r="C44" i="12" s="1"/>
  <c r="D19" i="48" l="1"/>
  <c r="C19" i="48"/>
  <c r="B16" i="52"/>
  <c r="F15" i="52"/>
  <c r="J9" i="12"/>
  <c r="I9" i="12"/>
  <c r="H9" i="12"/>
  <c r="F9" i="12"/>
  <c r="E9" i="12"/>
  <c r="D9" i="12"/>
  <c r="C16" i="46"/>
  <c r="D16" i="46"/>
  <c r="B17" i="46"/>
  <c r="L9" i="12"/>
  <c r="F17" i="48"/>
  <c r="E18" i="48"/>
  <c r="B10" i="12"/>
  <c r="B20" i="48"/>
  <c r="B45" i="12"/>
  <c r="C45" i="12" s="1"/>
  <c r="D20" i="48" l="1"/>
  <c r="C20" i="48"/>
  <c r="B17" i="52"/>
  <c r="F16" i="52"/>
  <c r="J10" i="12"/>
  <c r="I10" i="12"/>
  <c r="D10" i="12"/>
  <c r="H10" i="12"/>
  <c r="F10" i="12"/>
  <c r="D17" i="46"/>
  <c r="C17" i="46"/>
  <c r="B18" i="46"/>
  <c r="L10" i="12"/>
  <c r="F18" i="48"/>
  <c r="E19" i="48"/>
  <c r="B11" i="12"/>
  <c r="E7" i="52"/>
  <c r="E6" i="52"/>
  <c r="B21" i="48"/>
  <c r="B46" i="12"/>
  <c r="C46" i="12" s="1"/>
  <c r="D21" i="48" l="1"/>
  <c r="C21" i="48"/>
  <c r="B18" i="52"/>
  <c r="F17" i="52"/>
  <c r="F6" i="52"/>
  <c r="G8" i="12"/>
  <c r="F7" i="52"/>
  <c r="G9" i="12"/>
  <c r="J11" i="12"/>
  <c r="I11" i="12"/>
  <c r="B12" i="12"/>
  <c r="H11" i="12"/>
  <c r="F11" i="12"/>
  <c r="G11" i="12"/>
  <c r="D11" i="12"/>
  <c r="C18" i="46"/>
  <c r="D18" i="46"/>
  <c r="B19" i="46"/>
  <c r="L11" i="12"/>
  <c r="L12" i="12"/>
  <c r="F19" i="48"/>
  <c r="E20" i="48"/>
  <c r="B13" i="12"/>
  <c r="B22" i="48"/>
  <c r="B47" i="12"/>
  <c r="C47" i="12" s="1"/>
  <c r="D22" i="48" l="1"/>
  <c r="C22" i="48"/>
  <c r="B19" i="52"/>
  <c r="F18" i="52"/>
  <c r="J13" i="12"/>
  <c r="I13" i="12"/>
  <c r="J12" i="12"/>
  <c r="I12" i="12"/>
  <c r="H13" i="12"/>
  <c r="F13" i="12"/>
  <c r="D13" i="12"/>
  <c r="G13" i="12"/>
  <c r="G12" i="12"/>
  <c r="D12" i="12"/>
  <c r="F12" i="12"/>
  <c r="H12" i="12"/>
  <c r="D19" i="46"/>
  <c r="C19" i="46"/>
  <c r="B20" i="46"/>
  <c r="L13" i="12"/>
  <c r="F20" i="48"/>
  <c r="E21" i="48"/>
  <c r="B14" i="12"/>
  <c r="B23" i="48"/>
  <c r="B48" i="12"/>
  <c r="C48" i="12" s="1"/>
  <c r="D23" i="48" l="1"/>
  <c r="C23" i="48"/>
  <c r="B20" i="52"/>
  <c r="F19" i="52"/>
  <c r="J14" i="12"/>
  <c r="I14" i="12"/>
  <c r="G14" i="12"/>
  <c r="D14" i="12"/>
  <c r="H14" i="12"/>
  <c r="F14" i="12"/>
  <c r="C20" i="46"/>
  <c r="D20" i="46"/>
  <c r="B21" i="46"/>
  <c r="L14" i="12"/>
  <c r="F21" i="48"/>
  <c r="E22" i="48"/>
  <c r="B15" i="12"/>
  <c r="B24" i="48"/>
  <c r="B49" i="12"/>
  <c r="C49" i="12" s="1"/>
  <c r="D24" i="48" l="1"/>
  <c r="C24" i="48"/>
  <c r="B21" i="52"/>
  <c r="F20" i="52"/>
  <c r="J15" i="12"/>
  <c r="I15" i="12"/>
  <c r="H15" i="12"/>
  <c r="F15" i="12"/>
  <c r="G15" i="12"/>
  <c r="D15" i="12"/>
  <c r="D21" i="46"/>
  <c r="C21" i="46"/>
  <c r="B22" i="46"/>
  <c r="L15" i="12"/>
  <c r="F22" i="48"/>
  <c r="E23" i="48"/>
  <c r="B16" i="12"/>
  <c r="B50" i="12"/>
  <c r="C50" i="12" s="1"/>
  <c r="B25" i="48"/>
  <c r="L18" i="46"/>
  <c r="D25" i="48" l="1"/>
  <c r="C25" i="48"/>
  <c r="B22" i="52"/>
  <c r="F21" i="52"/>
  <c r="J16" i="12"/>
  <c r="I16" i="12"/>
  <c r="G16" i="12"/>
  <c r="D16" i="12"/>
  <c r="F16" i="12"/>
  <c r="H16" i="12"/>
  <c r="C22" i="46"/>
  <c r="D22" i="46"/>
  <c r="B23" i="46"/>
  <c r="L16" i="12"/>
  <c r="F23" i="48"/>
  <c r="E24" i="48"/>
  <c r="B17" i="12"/>
  <c r="B51" i="12"/>
  <c r="B26" i="48"/>
  <c r="D26" i="48" l="1"/>
  <c r="C26" i="48"/>
  <c r="B23" i="52"/>
  <c r="F22" i="52"/>
  <c r="C51" i="12"/>
  <c r="B52" i="12"/>
  <c r="I17" i="12"/>
  <c r="J17" i="12"/>
  <c r="H17" i="12"/>
  <c r="F17" i="12"/>
  <c r="D17" i="12"/>
  <c r="G17" i="12"/>
  <c r="D23" i="46"/>
  <c r="C23" i="46"/>
  <c r="B24" i="46"/>
  <c r="L17" i="12"/>
  <c r="F24" i="48"/>
  <c r="E25" i="48"/>
  <c r="B18" i="12"/>
  <c r="B27" i="48"/>
  <c r="D27" i="48" l="1"/>
  <c r="C27" i="48"/>
  <c r="B24" i="52"/>
  <c r="F23" i="52"/>
  <c r="C52" i="12"/>
  <c r="D52" i="12" s="1"/>
  <c r="B53" i="12"/>
  <c r="J18" i="12"/>
  <c r="I18" i="12"/>
  <c r="G18" i="12"/>
  <c r="D18" i="12"/>
  <c r="H18" i="12"/>
  <c r="F18" i="12"/>
  <c r="C24" i="46"/>
  <c r="D24" i="46"/>
  <c r="B25" i="46"/>
  <c r="C7" i="12" s="1"/>
  <c r="L18" i="12"/>
  <c r="E26" i="48"/>
  <c r="F25" i="48"/>
  <c r="B19" i="12"/>
  <c r="B28" i="48"/>
  <c r="D28" i="48" l="1"/>
  <c r="C28" i="48"/>
  <c r="B25" i="52"/>
  <c r="F24" i="52"/>
  <c r="C53" i="12"/>
  <c r="D53" i="12" s="1"/>
  <c r="B54" i="12"/>
  <c r="J19" i="12"/>
  <c r="I19" i="12"/>
  <c r="H19" i="12"/>
  <c r="F19" i="12"/>
  <c r="G19" i="12"/>
  <c r="D19" i="12"/>
  <c r="D25" i="46"/>
  <c r="C25" i="46"/>
  <c r="L19" i="12"/>
  <c r="F26" i="48"/>
  <c r="E27" i="48"/>
  <c r="B20" i="12"/>
  <c r="B29" i="48"/>
  <c r="D29" i="48" l="1"/>
  <c r="C29" i="48"/>
  <c r="F25" i="52"/>
  <c r="G7" i="12"/>
  <c r="M7" i="12" s="1"/>
  <c r="C54" i="12"/>
  <c r="D54" i="12" s="1"/>
  <c r="B55" i="12"/>
  <c r="J20" i="12"/>
  <c r="I20" i="12"/>
  <c r="G20" i="12"/>
  <c r="D20" i="12"/>
  <c r="F20" i="12"/>
  <c r="H20" i="12"/>
  <c r="L20" i="12"/>
  <c r="F27" i="48"/>
  <c r="E28" i="48"/>
  <c r="B21" i="12"/>
  <c r="E8" i="52"/>
  <c r="B30" i="48"/>
  <c r="D30" i="48" l="1"/>
  <c r="C30" i="48"/>
  <c r="F8" i="52"/>
  <c r="G10" i="12"/>
  <c r="C55" i="12"/>
  <c r="D55" i="12" s="1"/>
  <c r="J21" i="12"/>
  <c r="I21" i="12"/>
  <c r="H21" i="12"/>
  <c r="F21" i="12"/>
  <c r="D21" i="12"/>
  <c r="G21" i="12"/>
  <c r="L21" i="12"/>
  <c r="F28" i="48"/>
  <c r="E29" i="48"/>
  <c r="B22" i="12"/>
  <c r="B31" i="48"/>
  <c r="D31" i="48" l="1"/>
  <c r="C31" i="48"/>
  <c r="J22" i="12"/>
  <c r="I22" i="12"/>
  <c r="G22" i="12"/>
  <c r="D22" i="12"/>
  <c r="H22" i="12"/>
  <c r="F22" i="12"/>
  <c r="E31" i="48"/>
  <c r="F31" i="48" s="1"/>
  <c r="L22" i="12"/>
  <c r="F29" i="48"/>
  <c r="E30" i="48"/>
  <c r="B23" i="12"/>
  <c r="B32" i="48"/>
  <c r="D32" i="48" l="1"/>
  <c r="C32" i="48"/>
  <c r="J23" i="12"/>
  <c r="I23" i="12"/>
  <c r="H23" i="12"/>
  <c r="F23" i="12"/>
  <c r="G23" i="12"/>
  <c r="D23" i="12"/>
  <c r="E32" i="48"/>
  <c r="F32" i="48" s="1"/>
  <c r="L23" i="12"/>
  <c r="F30" i="48"/>
  <c r="B24" i="12"/>
  <c r="B33" i="48"/>
  <c r="D33" i="48" l="1"/>
  <c r="C33" i="48"/>
  <c r="J24" i="12"/>
  <c r="I24" i="12"/>
  <c r="G24" i="12"/>
  <c r="D24" i="12"/>
  <c r="F24" i="12"/>
  <c r="H24" i="12"/>
  <c r="E33" i="48"/>
  <c r="F33" i="48" s="1"/>
  <c r="L24" i="12"/>
  <c r="B25" i="12"/>
  <c r="B34" i="48"/>
  <c r="D34" i="48" l="1"/>
  <c r="C34" i="48"/>
  <c r="I25" i="12"/>
  <c r="J25" i="12"/>
  <c r="H25" i="12"/>
  <c r="F25" i="12"/>
  <c r="D25" i="12"/>
  <c r="G25" i="12"/>
  <c r="E34" i="48"/>
  <c r="F34" i="48" s="1"/>
  <c r="L25" i="12"/>
  <c r="B26" i="12"/>
  <c r="B35" i="48"/>
  <c r="D35" i="48" l="1"/>
  <c r="C35" i="48"/>
  <c r="J26" i="12"/>
  <c r="I26" i="12"/>
  <c r="G26" i="12"/>
  <c r="D26" i="12"/>
  <c r="H26" i="12"/>
  <c r="F26" i="12"/>
  <c r="E35" i="48"/>
  <c r="F35" i="48" s="1"/>
  <c r="B27" i="12"/>
  <c r="B36" i="48"/>
  <c r="D36" i="48" l="1"/>
  <c r="C36" i="48"/>
  <c r="J27" i="12"/>
  <c r="I27" i="12"/>
  <c r="H27" i="12"/>
  <c r="F27" i="12"/>
  <c r="G27" i="12"/>
  <c r="D27" i="12"/>
  <c r="E36" i="48"/>
  <c r="F36" i="48" s="1"/>
  <c r="L27" i="12"/>
  <c r="B28" i="12"/>
  <c r="B37" i="48"/>
  <c r="D37" i="48" l="1"/>
  <c r="C37" i="48"/>
  <c r="J28" i="12"/>
  <c r="I28" i="12"/>
  <c r="G28" i="12"/>
  <c r="D28" i="12"/>
  <c r="F28" i="12"/>
  <c r="H28" i="12"/>
  <c r="E37" i="48"/>
  <c r="F37" i="48" s="1"/>
  <c r="L28" i="12"/>
  <c r="B29" i="12"/>
  <c r="B60" i="12"/>
  <c r="C60" i="12" s="1"/>
  <c r="B38" i="48"/>
  <c r="D38" i="48" l="1"/>
  <c r="C38" i="48"/>
  <c r="I29" i="12"/>
  <c r="J29" i="12"/>
  <c r="L29" i="12"/>
  <c r="H29" i="12"/>
  <c r="F29" i="12"/>
  <c r="D29" i="12"/>
  <c r="G29" i="12"/>
  <c r="E38" i="48"/>
  <c r="F38" i="48" s="1"/>
  <c r="B30" i="12"/>
  <c r="B61" i="12"/>
  <c r="C61" i="12" s="1"/>
  <c r="B39" i="48"/>
  <c r="D39" i="48" l="1"/>
  <c r="C39" i="48"/>
  <c r="J30" i="12"/>
  <c r="I30" i="12"/>
  <c r="G30" i="12"/>
  <c r="E30" i="12"/>
  <c r="D30" i="12"/>
  <c r="H30" i="12"/>
  <c r="F30" i="12"/>
  <c r="E39" i="48"/>
  <c r="F39" i="48" s="1"/>
  <c r="B31" i="12"/>
  <c r="B62" i="12"/>
  <c r="C62" i="12" s="1"/>
  <c r="B40" i="48"/>
  <c r="D40" i="48" l="1"/>
  <c r="C40" i="48"/>
  <c r="J31" i="12"/>
  <c r="I31" i="12"/>
  <c r="H31" i="12"/>
  <c r="F31" i="12"/>
  <c r="G31" i="12"/>
  <c r="E31" i="12"/>
  <c r="D31" i="12"/>
  <c r="E40" i="48"/>
  <c r="F40" i="48" s="1"/>
  <c r="C31" i="12"/>
  <c r="B32" i="12"/>
  <c r="B63" i="12"/>
  <c r="C63" i="12" s="1"/>
  <c r="B41" i="48"/>
  <c r="D41" i="48" l="1"/>
  <c r="C41" i="48"/>
  <c r="J32" i="12"/>
  <c r="I32" i="12"/>
  <c r="G32" i="12"/>
  <c r="E32" i="12"/>
  <c r="D32" i="12"/>
  <c r="F32" i="12"/>
  <c r="H32" i="12"/>
  <c r="E41" i="48"/>
  <c r="F41" i="48" s="1"/>
  <c r="L32" i="12"/>
  <c r="C32" i="12"/>
  <c r="B33" i="12"/>
  <c r="B64" i="12"/>
  <c r="C64" i="12" s="1"/>
  <c r="B42" i="48"/>
  <c r="D42" i="48" l="1"/>
  <c r="C42" i="48"/>
  <c r="J33" i="12"/>
  <c r="I33" i="12"/>
  <c r="M32" i="12"/>
  <c r="H33" i="12"/>
  <c r="F33" i="12"/>
  <c r="E33" i="12"/>
  <c r="D33" i="12"/>
  <c r="G33" i="12"/>
  <c r="E42" i="48"/>
  <c r="F42" i="48" s="1"/>
  <c r="L33" i="12"/>
  <c r="C33" i="12"/>
  <c r="B34" i="12"/>
  <c r="B65" i="12"/>
  <c r="C65" i="12" s="1"/>
  <c r="B43" i="48"/>
  <c r="D43" i="48" l="1"/>
  <c r="C43" i="48"/>
  <c r="M33" i="12"/>
  <c r="J34" i="12"/>
  <c r="I34" i="12"/>
  <c r="G34" i="12"/>
  <c r="E34" i="12"/>
  <c r="D34" i="12"/>
  <c r="H34" i="12"/>
  <c r="F34" i="12"/>
  <c r="E43" i="48"/>
  <c r="F43" i="48" s="1"/>
  <c r="L34" i="12"/>
  <c r="C34" i="12"/>
  <c r="B35" i="12"/>
  <c r="B66" i="12"/>
  <c r="C66" i="12" s="1"/>
  <c r="B44" i="48"/>
  <c r="D44" i="48" l="1"/>
  <c r="C44" i="48"/>
  <c r="M34" i="12"/>
  <c r="I35" i="12"/>
  <c r="J35" i="12"/>
  <c r="H35" i="12"/>
  <c r="F35" i="12"/>
  <c r="G35" i="12"/>
  <c r="E35" i="12"/>
  <c r="D35" i="12"/>
  <c r="E44" i="48"/>
  <c r="F44" i="48" s="1"/>
  <c r="L35" i="12"/>
  <c r="C35" i="12"/>
  <c r="B67" i="12"/>
  <c r="C67" i="12" s="1"/>
  <c r="B45" i="48"/>
  <c r="D45" i="48" l="1"/>
  <c r="C45" i="48"/>
  <c r="M35" i="12"/>
  <c r="E45" i="48"/>
  <c r="F45" i="48" s="1"/>
  <c r="B68" i="12"/>
  <c r="C68" i="12" s="1"/>
  <c r="B46" i="48"/>
  <c r="D46" i="48" l="1"/>
  <c r="C46" i="48"/>
  <c r="E46" i="48"/>
  <c r="F46" i="48" s="1"/>
  <c r="B47" i="48"/>
  <c r="D47" i="48" l="1"/>
  <c r="C47" i="48"/>
  <c r="E47" i="48"/>
  <c r="F47" i="48" s="1"/>
  <c r="F26" i="52"/>
  <c r="B8" i="8" l="1"/>
  <c r="K8" i="8" l="1"/>
  <c r="B9" i="8"/>
  <c r="K9" i="8" l="1"/>
  <c r="B10" i="8"/>
  <c r="K10" i="8" l="1"/>
  <c r="B11" i="8"/>
  <c r="K11" i="8" l="1"/>
  <c r="B12" i="8"/>
  <c r="K12" i="8" l="1"/>
  <c r="B13" i="8"/>
  <c r="K13" i="8" l="1"/>
  <c r="B14" i="8"/>
  <c r="K14" i="8" l="1"/>
  <c r="B15" i="8"/>
  <c r="K15" i="8" l="1"/>
  <c r="B16" i="8"/>
  <c r="K16" i="8" l="1"/>
  <c r="B17" i="8"/>
  <c r="K17" i="8" l="1"/>
  <c r="B18" i="8"/>
  <c r="K18" i="8" l="1"/>
  <c r="B19" i="8"/>
  <c r="K19" i="8" l="1"/>
  <c r="B20" i="8"/>
  <c r="K20" i="8" l="1"/>
  <c r="B21" i="8"/>
  <c r="K21" i="8" l="1"/>
  <c r="B22" i="8"/>
  <c r="K22" i="8" l="1"/>
  <c r="B23" i="8"/>
  <c r="K23" i="8" l="1"/>
  <c r="B24" i="8"/>
  <c r="K24" i="8" l="1"/>
  <c r="B25" i="8"/>
  <c r="K25" i="8" l="1"/>
  <c r="B26" i="8"/>
  <c r="K26" i="8" l="1"/>
  <c r="B27" i="8"/>
  <c r="K27" i="8" l="1"/>
  <c r="B28" i="8"/>
  <c r="K28" i="8" l="1"/>
  <c r="B29" i="8"/>
  <c r="E6" i="46"/>
  <c r="B30" i="8" l="1"/>
  <c r="K29" i="8"/>
  <c r="F20" i="46"/>
  <c r="F24" i="46"/>
  <c r="E22" i="46"/>
  <c r="F19" i="46"/>
  <c r="B31" i="8" l="1"/>
  <c r="K30" i="8"/>
  <c r="F6" i="46"/>
  <c r="G6" i="46" s="1"/>
  <c r="E8" i="46"/>
  <c r="E9" i="46"/>
  <c r="E10" i="46"/>
  <c r="E21" i="46"/>
  <c r="F11" i="46"/>
  <c r="F23" i="46"/>
  <c r="F21" i="46"/>
  <c r="F10" i="46"/>
  <c r="F8" i="46"/>
  <c r="F16" i="46"/>
  <c r="F9" i="46"/>
  <c r="E7" i="46"/>
  <c r="E12" i="46"/>
  <c r="F12" i="46"/>
  <c r="E14" i="46"/>
  <c r="E16" i="46"/>
  <c r="E23" i="46"/>
  <c r="F15" i="46"/>
  <c r="E11" i="46"/>
  <c r="E15" i="46"/>
  <c r="K31" i="8" l="1"/>
  <c r="H6" i="46"/>
  <c r="E24" i="46"/>
  <c r="G24" i="46" s="1"/>
  <c r="H24" i="46" s="1"/>
  <c r="E19" i="46"/>
  <c r="G19" i="46" s="1"/>
  <c r="H19" i="46" s="1"/>
  <c r="F22" i="46"/>
  <c r="G22" i="46" s="1"/>
  <c r="H22" i="46" s="1"/>
  <c r="E20" i="46"/>
  <c r="G20" i="46" s="1"/>
  <c r="H20" i="46" s="1"/>
  <c r="G10" i="46"/>
  <c r="H10" i="46" s="1"/>
  <c r="G9" i="46"/>
  <c r="H9" i="46" s="1"/>
  <c r="G8" i="46"/>
  <c r="G21" i="46"/>
  <c r="H21" i="46" s="1"/>
  <c r="G11" i="46"/>
  <c r="H11" i="46" s="1"/>
  <c r="G16" i="46"/>
  <c r="H16" i="46" s="1"/>
  <c r="G23" i="46"/>
  <c r="H23" i="46" s="1"/>
  <c r="G12" i="46"/>
  <c r="H12" i="46" s="1"/>
  <c r="E13" i="46"/>
  <c r="F13" i="46"/>
  <c r="E18" i="46"/>
  <c r="F18" i="46"/>
  <c r="G15" i="46"/>
  <c r="H15" i="46" s="1"/>
  <c r="E25" i="46"/>
  <c r="F25" i="46"/>
  <c r="E17" i="46"/>
  <c r="F17" i="46"/>
  <c r="C10" i="12" l="1"/>
  <c r="C9" i="12"/>
  <c r="M9" i="12" s="1"/>
  <c r="H8" i="46"/>
  <c r="C16" i="12"/>
  <c r="C27" i="12"/>
  <c r="C13" i="12"/>
  <c r="C28" i="12"/>
  <c r="C25" i="12"/>
  <c r="C20" i="12"/>
  <c r="C24" i="12"/>
  <c r="F14" i="46"/>
  <c r="G14" i="46" s="1"/>
  <c r="H14" i="46" s="1"/>
  <c r="F7" i="46"/>
  <c r="G7" i="46" s="1"/>
  <c r="G17" i="46"/>
  <c r="G25" i="46"/>
  <c r="G13" i="46"/>
  <c r="G18" i="46"/>
  <c r="C17" i="12" l="1"/>
  <c r="H13" i="46"/>
  <c r="C21" i="12"/>
  <c r="H17" i="46"/>
  <c r="C23" i="12"/>
  <c r="H18" i="46"/>
  <c r="C29" i="12"/>
  <c r="H25" i="46"/>
  <c r="C8" i="12"/>
  <c r="M8" i="12" s="1"/>
  <c r="H7" i="46"/>
  <c r="C19" i="12"/>
  <c r="C26" i="12"/>
  <c r="C15" i="12"/>
  <c r="C14" i="12"/>
  <c r="C12" i="12"/>
  <c r="C11" i="12"/>
  <c r="C18" i="12"/>
  <c r="C30" i="12"/>
  <c r="C22" i="12"/>
  <c r="H26" i="46" l="1"/>
  <c r="D43" i="12" l="1"/>
  <c r="D42" i="12"/>
  <c r="D45" i="12"/>
  <c r="D44" i="12"/>
  <c r="D49" i="12"/>
  <c r="D47" i="12"/>
  <c r="D46" i="12"/>
  <c r="D48" i="12"/>
  <c r="D60" i="12"/>
  <c r="D61" i="12"/>
  <c r="D62" i="12"/>
  <c r="D51" i="12"/>
  <c r="D50" i="12"/>
  <c r="L31" i="12" l="1"/>
  <c r="M31" i="12" s="1"/>
  <c r="L30" i="12"/>
  <c r="M30" i="12" s="1"/>
  <c r="L26" i="12"/>
  <c r="E17" i="63" l="1"/>
  <c r="F9" i="63" l="1"/>
  <c r="F6" i="63"/>
  <c r="E25" i="63"/>
  <c r="E22" i="63"/>
  <c r="E24" i="63"/>
  <c r="E19" i="63"/>
  <c r="E9" i="63"/>
  <c r="G9" i="63" s="1"/>
  <c r="E13" i="63"/>
  <c r="E12" i="63"/>
  <c r="E16" i="63"/>
  <c r="E20" i="63"/>
  <c r="F19" i="63"/>
  <c r="F21" i="63"/>
  <c r="F14" i="63"/>
  <c r="F8" i="63"/>
  <c r="F20" i="63"/>
  <c r="F12" i="63"/>
  <c r="F16" i="63"/>
  <c r="F23" i="63"/>
  <c r="E21" i="63"/>
  <c r="F15" i="63"/>
  <c r="F11" i="63"/>
  <c r="F22" i="63"/>
  <c r="F18" i="63"/>
  <c r="F13" i="63"/>
  <c r="F17" i="63"/>
  <c r="G17" i="63" s="1"/>
  <c r="F24" i="63"/>
  <c r="F10" i="63"/>
  <c r="F7" i="63"/>
  <c r="F25" i="63"/>
  <c r="E14" i="63"/>
  <c r="E23" i="63"/>
  <c r="E6" i="63"/>
  <c r="E18" i="63"/>
  <c r="G18" i="63" s="1"/>
  <c r="E15" i="63"/>
  <c r="G15" i="63" s="1"/>
  <c r="E7" i="63"/>
  <c r="E11" i="63"/>
  <c r="E8" i="63"/>
  <c r="E10" i="63"/>
  <c r="H18" i="63" l="1"/>
  <c r="E22" i="12"/>
  <c r="M22" i="12" s="1"/>
  <c r="H17" i="63"/>
  <c r="E21" i="12"/>
  <c r="M21" i="12" s="1"/>
  <c r="H15" i="63"/>
  <c r="E19" i="12"/>
  <c r="M19" i="12" s="1"/>
  <c r="H9" i="63"/>
  <c r="E13" i="12"/>
  <c r="M13" i="12" s="1"/>
  <c r="G10" i="63"/>
  <c r="G11" i="63"/>
  <c r="G6" i="63"/>
  <c r="G14" i="63"/>
  <c r="G20" i="63"/>
  <c r="G12" i="63"/>
  <c r="G24" i="63"/>
  <c r="G25" i="63"/>
  <c r="G8" i="63"/>
  <c r="G7" i="63"/>
  <c r="G23" i="63"/>
  <c r="G21" i="63"/>
  <c r="G16" i="63"/>
  <c r="G13" i="63"/>
  <c r="G19" i="63"/>
  <c r="G22" i="63"/>
  <c r="H22" i="63" l="1"/>
  <c r="E26" i="12"/>
  <c r="M26" i="12" s="1"/>
  <c r="H13" i="63"/>
  <c r="E17" i="12"/>
  <c r="M17" i="12" s="1"/>
  <c r="H21" i="63"/>
  <c r="E25" i="12"/>
  <c r="M25" i="12" s="1"/>
  <c r="H7" i="63"/>
  <c r="E11" i="12"/>
  <c r="M11" i="12" s="1"/>
  <c r="H25" i="63"/>
  <c r="E29" i="12"/>
  <c r="H12" i="63"/>
  <c r="E16" i="12"/>
  <c r="M16" i="12" s="1"/>
  <c r="H14" i="63"/>
  <c r="E18" i="12"/>
  <c r="M18" i="12" s="1"/>
  <c r="H19" i="63"/>
  <c r="E23" i="12"/>
  <c r="M23" i="12" s="1"/>
  <c r="H16" i="63"/>
  <c r="E20" i="12"/>
  <c r="M20" i="12" s="1"/>
  <c r="H23" i="63"/>
  <c r="E27" i="12"/>
  <c r="M27" i="12" s="1"/>
  <c r="H8" i="63"/>
  <c r="E12" i="12"/>
  <c r="M12" i="12" s="1"/>
  <c r="H24" i="63"/>
  <c r="E28" i="12"/>
  <c r="M28" i="12" s="1"/>
  <c r="H20" i="63"/>
  <c r="E24" i="12"/>
  <c r="M24" i="12" s="1"/>
  <c r="H6" i="63"/>
  <c r="E10" i="12"/>
  <c r="M10" i="12" s="1"/>
  <c r="H10" i="63"/>
  <c r="E14" i="12"/>
  <c r="M14" i="12" s="1"/>
  <c r="H11" i="63"/>
  <c r="E15" i="12"/>
  <c r="M15" i="12" s="1"/>
  <c r="H26" i="63" l="1"/>
  <c r="B32" i="8"/>
  <c r="K32" i="8" l="1"/>
  <c r="B33" i="8"/>
  <c r="K33" i="8" l="1"/>
  <c r="B34" i="8"/>
  <c r="D65" i="12" l="1"/>
  <c r="K34" i="8"/>
  <c r="K35" i="8" s="1"/>
  <c r="M37" i="12" s="1"/>
  <c r="J35" i="8"/>
  <c r="D70" i="12" s="1"/>
  <c r="D64" i="12"/>
  <c r="D63" i="12"/>
  <c r="D67" i="12"/>
  <c r="D66" i="12"/>
  <c r="D68" i="12"/>
  <c r="D69" i="12" l="1"/>
  <c r="C74" i="12" s="1"/>
  <c r="C80" i="12" s="1"/>
  <c r="M29" i="12" l="1"/>
  <c r="M36" i="12" s="1"/>
  <c r="L36" i="12"/>
  <c r="C73" i="12" l="1"/>
  <c r="C76" i="12" l="1"/>
  <c r="C79" i="12"/>
  <c r="C75" i="12"/>
  <c r="C82" i="12" l="1"/>
  <c r="C8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tc={12CE1173-4BEA-4BC4-A5B9-33CF1ED72B87}</author>
  </authors>
  <commentList>
    <comment ref="D48" authorId="0" shapeId="0" xr:uid="{12CE1173-4BEA-4BC4-A5B9-33CF1ED72B87}">
      <text>
        <t>[Threaded comment]
Your version of Excel allows you to read this threaded comment; however, any edits to it will get removed if the file is opened in a newer version of Excel. Learn more: https://go.microsoft.com/fwlink/?linkid=870924
Comment:
    Does not match online mapping tool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tc={E81BD847-6964-4EA3-95C2-530F60B53A6C}</author>
  </authors>
  <commentList>
    <comment ref="D48" authorId="0" shapeId="0" xr:uid="{E81BD847-6964-4EA3-95C2-530F60B53A6C}">
      <text>
        <t>[Threaded comment]
Your version of Excel allows you to read this threaded comment; however, any edits to it will get removed if the file is opened in a newer version of Excel. Learn more: https://go.microsoft.com/fwlink/?linkid=870924
Comment:
    Does not match online mapping tool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tc={DF2D017B-62A4-4DA1-B1A8-3499C9144C22}</author>
  </authors>
  <commentList>
    <comment ref="M14" authorId="0" shapeId="0" xr:uid="{DF2D017B-62A4-4DA1-B1A8-3499C9144C22}">
      <text>
        <t>[Threaded comment]
Your version of Excel allows you to read this threaded comment; however, any edits to it will get removed if the file is opened in a newer version of Excel. Learn more: https://go.microsoft.com/fwlink/?linkid=870924
Comment:
    "K:\Trans\Grant Applications\2021 Grants\INFRA\SDDOT - 14436\RECEIVED\Cost Estimates\RE I-90 INFRA Grant Cost Estimating Sheets.msg"</t>
      </text>
    </comment>
  </commentList>
</comments>
</file>

<file path=xl/sharedStrings.xml><?xml version="1.0" encoding="utf-8"?>
<sst xmlns="http://schemas.openxmlformats.org/spreadsheetml/2006/main" count="20639" uniqueCount="1742">
  <si>
    <t>Analysis Year</t>
  </si>
  <si>
    <t>7% Discount</t>
  </si>
  <si>
    <t>Total Benefit</t>
  </si>
  <si>
    <t>NOTES:</t>
  </si>
  <si>
    <t>Total Cost</t>
  </si>
  <si>
    <t>BENEFITS</t>
  </si>
  <si>
    <t>COSTS</t>
  </si>
  <si>
    <t>Capital Costs</t>
  </si>
  <si>
    <t>Benefits</t>
  </si>
  <si>
    <t>Costs</t>
  </si>
  <si>
    <t>B/C Ratio</t>
  </si>
  <si>
    <t>SUMMARY</t>
  </si>
  <si>
    <t>2)</t>
  </si>
  <si>
    <t>1)</t>
  </si>
  <si>
    <t>3)</t>
  </si>
  <si>
    <t>4)</t>
  </si>
  <si>
    <t xml:space="preserve">Capital Cost </t>
  </si>
  <si>
    <t>CAPITAL COST AND RESIDUAL PROJECT VALUE</t>
  </si>
  <si>
    <t>No Build</t>
  </si>
  <si>
    <t>Build</t>
  </si>
  <si>
    <t>Recommended Value</t>
  </si>
  <si>
    <t>K</t>
  </si>
  <si>
    <t>A</t>
  </si>
  <si>
    <t>B</t>
  </si>
  <si>
    <t>C</t>
  </si>
  <si>
    <t>7% Discount Rate</t>
  </si>
  <si>
    <t>SAFETY - CRASH COST SAVINGS</t>
  </si>
  <si>
    <t>Economic Competitiveness</t>
  </si>
  <si>
    <t>Safety</t>
  </si>
  <si>
    <t>Environmental Sustainability</t>
  </si>
  <si>
    <t>Auto Vehicle Operating Cost</t>
  </si>
  <si>
    <t>Truck Vehicle Operating Cost</t>
  </si>
  <si>
    <r>
      <t xml:space="preserve">Table 2 - Fleet Composition </t>
    </r>
    <r>
      <rPr>
        <b/>
        <vertAlign val="superscript"/>
        <sz val="11"/>
        <color theme="1"/>
        <rFont val="Calibri"/>
        <family val="2"/>
        <scheme val="minor"/>
      </rPr>
      <t>2</t>
    </r>
  </si>
  <si>
    <t>Auto Percentage</t>
  </si>
  <si>
    <t>Truck Percentage</t>
  </si>
  <si>
    <t>Aggregate Vehicle Operating Cost</t>
  </si>
  <si>
    <t>No Build Travel Time Cost</t>
  </si>
  <si>
    <t>Build Travel Time Cost</t>
  </si>
  <si>
    <t>Truck Travel Time Cost</t>
  </si>
  <si>
    <t>Aggregate Travel Time Cost</t>
  </si>
  <si>
    <t>Auto Vehicle Occupancy</t>
  </si>
  <si>
    <t>Truck Vehicle Occupancy</t>
  </si>
  <si>
    <t>Table 4 - Per-mile Travel Time Cost</t>
  </si>
  <si>
    <t>Travel Time Cost Savings</t>
  </si>
  <si>
    <r>
      <t xml:space="preserve">Table 1 - Per-mile Travel Time Cost by Mode </t>
    </r>
    <r>
      <rPr>
        <b/>
        <vertAlign val="superscript"/>
        <sz val="11"/>
        <color theme="1"/>
        <rFont val="Calibri"/>
        <family val="2"/>
        <scheme val="minor"/>
      </rPr>
      <t>1</t>
    </r>
  </si>
  <si>
    <t>STATE OF GOOD REPAIR - OPERATION AND MAINTENANCE COSTS</t>
  </si>
  <si>
    <t>State of Good Repair</t>
  </si>
  <si>
    <r>
      <t xml:space="preserve">Table 3 - Vehicle Occupancy </t>
    </r>
    <r>
      <rPr>
        <b/>
        <vertAlign val="superscript"/>
        <sz val="11"/>
        <color theme="1"/>
        <rFont val="Calibri"/>
        <family val="2"/>
        <scheme val="minor"/>
      </rPr>
      <t>3</t>
    </r>
  </si>
  <si>
    <t>PDO</t>
  </si>
  <si>
    <t>Table 1 - Analysis Timeframe Assumptions</t>
  </si>
  <si>
    <t>Year of Analysis</t>
  </si>
  <si>
    <r>
      <t xml:space="preserve">Year of Construction </t>
    </r>
    <r>
      <rPr>
        <vertAlign val="superscript"/>
        <sz val="9"/>
        <rFont val="Calibri"/>
        <family val="2"/>
        <scheme val="minor"/>
      </rPr>
      <t>(1)</t>
    </r>
  </si>
  <si>
    <r>
      <t xml:space="preserve">Duration of Construction </t>
    </r>
    <r>
      <rPr>
        <vertAlign val="superscript"/>
        <sz val="9"/>
        <rFont val="Calibri"/>
        <family val="2"/>
        <scheme val="minor"/>
      </rPr>
      <t>(1)</t>
    </r>
  </si>
  <si>
    <r>
      <t xml:space="preserve">Benefit-Cost First Year of Benefit </t>
    </r>
    <r>
      <rPr>
        <vertAlign val="superscript"/>
        <sz val="9"/>
        <rFont val="Calibri"/>
        <family val="2"/>
        <scheme val="minor"/>
      </rPr>
      <t>(1)</t>
    </r>
  </si>
  <si>
    <t>Benefit-Cost Final Year of Benefit</t>
  </si>
  <si>
    <r>
      <t xml:space="preserve">Forecast Traffic Year </t>
    </r>
    <r>
      <rPr>
        <vertAlign val="superscript"/>
        <sz val="9"/>
        <rFont val="Calibri"/>
        <family val="2"/>
        <scheme val="minor"/>
      </rPr>
      <t>(2)</t>
    </r>
  </si>
  <si>
    <t>Table 2 - Network Assumptions</t>
  </si>
  <si>
    <t>Table 3 - Global Assumptions and Factors</t>
  </si>
  <si>
    <r>
      <t xml:space="preserve">Cost per Mile </t>
    </r>
    <r>
      <rPr>
        <vertAlign val="superscript"/>
        <sz val="9"/>
        <rFont val="Calibri"/>
        <family val="2"/>
        <scheme val="minor"/>
      </rPr>
      <t>(4)</t>
    </r>
    <r>
      <rPr>
        <sz val="9"/>
        <rFont val="Calibri"/>
        <family val="2"/>
        <scheme val="minor"/>
      </rPr>
      <t xml:space="preserve"> - Auto</t>
    </r>
  </si>
  <si>
    <r>
      <t xml:space="preserve">Cost per Mile </t>
    </r>
    <r>
      <rPr>
        <vertAlign val="superscript"/>
        <sz val="9"/>
        <rFont val="Calibri"/>
        <family val="2"/>
        <scheme val="minor"/>
      </rPr>
      <t>(4)</t>
    </r>
    <r>
      <rPr>
        <sz val="9"/>
        <rFont val="Calibri"/>
        <family val="2"/>
        <scheme val="minor"/>
      </rPr>
      <t xml:space="preserve"> - Truck</t>
    </r>
  </si>
  <si>
    <t>Composite Cost per Hour</t>
  </si>
  <si>
    <t>Composite Cost per Mile</t>
  </si>
  <si>
    <t>Discount Rate</t>
  </si>
  <si>
    <t>The analysis assumed 365 days in a year to determine annual benefits.</t>
  </si>
  <si>
    <t>Trucks</t>
  </si>
  <si>
    <t>Length</t>
  </si>
  <si>
    <r>
      <t xml:space="preserve">Expected Service Life </t>
    </r>
    <r>
      <rPr>
        <vertAlign val="superscript"/>
        <sz val="9"/>
        <rFont val="Calibri"/>
        <family val="2"/>
        <scheme val="minor"/>
      </rPr>
      <t>(6)</t>
    </r>
  </si>
  <si>
    <t>Scenario</t>
  </si>
  <si>
    <t>ENVIRONMENTAL SUSTAINABILITY - AIR QUALITY</t>
  </si>
  <si>
    <t>Mode</t>
  </si>
  <si>
    <t>Automobile</t>
  </si>
  <si>
    <t>Phase</t>
  </si>
  <si>
    <t>Remaining Capital Value
 (7%)</t>
  </si>
  <si>
    <t>Operation and Maintenance Savings</t>
  </si>
  <si>
    <t>Cost Savings</t>
  </si>
  <si>
    <r>
      <t xml:space="preserve">Annual Operation and Maintenance Cost ($) </t>
    </r>
    <r>
      <rPr>
        <vertAlign val="superscript"/>
        <sz val="11"/>
        <color theme="1"/>
        <rFont val="Calibri"/>
        <family val="2"/>
        <scheme val="minor"/>
      </rPr>
      <t>(1)</t>
    </r>
  </si>
  <si>
    <t>Crash Severity</t>
  </si>
  <si>
    <r>
      <t xml:space="preserve">Percent Autos </t>
    </r>
    <r>
      <rPr>
        <vertAlign val="superscript"/>
        <sz val="9"/>
        <rFont val="Calibri"/>
        <family val="2"/>
        <scheme val="minor"/>
      </rPr>
      <t>(2)</t>
    </r>
  </si>
  <si>
    <r>
      <t xml:space="preserve">Percent Trucks </t>
    </r>
    <r>
      <rPr>
        <vertAlign val="superscript"/>
        <sz val="9"/>
        <rFont val="Calibri"/>
        <family val="2"/>
        <scheme val="minor"/>
      </rPr>
      <t>(2)</t>
    </r>
  </si>
  <si>
    <r>
      <t xml:space="preserve">Auto Occupancy </t>
    </r>
    <r>
      <rPr>
        <vertAlign val="superscript"/>
        <sz val="9"/>
        <rFont val="Calibri"/>
        <family val="2"/>
        <scheme val="minor"/>
      </rPr>
      <t>(3)</t>
    </r>
  </si>
  <si>
    <r>
      <t xml:space="preserve">Truck Occupancy </t>
    </r>
    <r>
      <rPr>
        <vertAlign val="superscript"/>
        <sz val="9"/>
        <rFont val="Calibri"/>
        <family val="2"/>
        <scheme val="minor"/>
      </rPr>
      <t>(3)</t>
    </r>
  </si>
  <si>
    <t>5)</t>
  </si>
  <si>
    <r>
      <t xml:space="preserve">Number of Days in a Year </t>
    </r>
    <r>
      <rPr>
        <vertAlign val="superscript"/>
        <sz val="9"/>
        <rFont val="Calibri"/>
        <family val="2"/>
        <scheme val="minor"/>
      </rPr>
      <t>(5)</t>
    </r>
  </si>
  <si>
    <t>6)</t>
  </si>
  <si>
    <t>Cost</t>
  </si>
  <si>
    <r>
      <t xml:space="preserve">No Build Crash Cost </t>
    </r>
    <r>
      <rPr>
        <vertAlign val="superscript"/>
        <sz val="9"/>
        <color theme="1"/>
        <rFont val="Calibri"/>
        <family val="2"/>
        <scheme val="minor"/>
      </rPr>
      <t>5</t>
    </r>
  </si>
  <si>
    <r>
      <t xml:space="preserve">Build Crash Cost </t>
    </r>
    <r>
      <rPr>
        <vertAlign val="superscript"/>
        <sz val="9"/>
        <color theme="1"/>
        <rFont val="Calibri"/>
        <family val="2"/>
        <scheme val="minor"/>
      </rPr>
      <t>5</t>
    </r>
  </si>
  <si>
    <t>Crash Cost Savings</t>
  </si>
  <si>
    <t>All-Purpose Travel Time Cost</t>
  </si>
  <si>
    <r>
      <t xml:space="preserve">Value of Time </t>
    </r>
    <r>
      <rPr>
        <vertAlign val="superscript"/>
        <sz val="9"/>
        <rFont val="Calibri"/>
        <family val="2"/>
        <scheme val="minor"/>
      </rPr>
      <t>(4)</t>
    </r>
    <r>
      <rPr>
        <sz val="9"/>
        <rFont val="Calibri"/>
        <family val="2"/>
        <scheme val="minor"/>
      </rPr>
      <t xml:space="preserve"> - All-Purpose Travel</t>
    </r>
  </si>
  <si>
    <r>
      <t xml:space="preserve">Value of Time </t>
    </r>
    <r>
      <rPr>
        <vertAlign val="superscript"/>
        <sz val="9"/>
        <rFont val="Calibri"/>
        <family val="2"/>
        <scheme val="minor"/>
      </rPr>
      <t>(4)</t>
    </r>
    <r>
      <rPr>
        <sz val="9"/>
        <rFont val="Calibri"/>
        <family val="2"/>
        <scheme val="minor"/>
      </rPr>
      <t xml:space="preserve"> - Truck Travel</t>
    </r>
  </si>
  <si>
    <r>
      <t xml:space="preserve">No Build Annual VHT </t>
    </r>
    <r>
      <rPr>
        <vertAlign val="superscript"/>
        <sz val="9"/>
        <color theme="1"/>
        <rFont val="Calibri"/>
        <family val="2"/>
        <scheme val="minor"/>
      </rPr>
      <t>5</t>
    </r>
  </si>
  <si>
    <r>
      <t xml:space="preserve">Build Annual VHT </t>
    </r>
    <r>
      <rPr>
        <vertAlign val="superscript"/>
        <sz val="9"/>
        <color theme="1"/>
        <rFont val="Calibri"/>
        <family val="2"/>
        <scheme val="minor"/>
      </rPr>
      <t>5</t>
    </r>
  </si>
  <si>
    <t>Hwy</t>
  </si>
  <si>
    <t>Begin MRM</t>
  </si>
  <si>
    <t xml:space="preserve">End MRM </t>
  </si>
  <si>
    <t>090 E</t>
  </si>
  <si>
    <t>362.00+0.035</t>
  </si>
  <si>
    <t>366.00+0.011</t>
  </si>
  <si>
    <t>0</t>
  </si>
  <si>
    <t>629.8</t>
  </si>
  <si>
    <t>1259.6</t>
  </si>
  <si>
    <t>1889.4</t>
  </si>
  <si>
    <t>2519.2</t>
  </si>
  <si>
    <t>3149</t>
  </si>
  <si>
    <t>3778.8</t>
  </si>
  <si>
    <t>4408.6</t>
  </si>
  <si>
    <t>5038.4</t>
  </si>
  <si>
    <t>5668.2</t>
  </si>
  <si>
    <t>6298</t>
  </si>
  <si>
    <t>6927.8</t>
  </si>
  <si>
    <t>7557.6</t>
  </si>
  <si>
    <t>8187.4</t>
  </si>
  <si>
    <t>8817.2</t>
  </si>
  <si>
    <t>8640.86</t>
  </si>
  <si>
    <t>9270.66</t>
  </si>
  <si>
    <t>9900.46</t>
  </si>
  <si>
    <t>10530.3</t>
  </si>
  <si>
    <t>11160.1</t>
  </si>
  <si>
    <t>366.06+0.242</t>
  </si>
  <si>
    <t>46.2995</t>
  </si>
  <si>
    <t>92.599</t>
  </si>
  <si>
    <t>138.899</t>
  </si>
  <si>
    <t>185.198</t>
  </si>
  <si>
    <t>231.498</t>
  </si>
  <si>
    <t>277.797</t>
  </si>
  <si>
    <t>324.097</t>
  </si>
  <si>
    <t>370.396</t>
  </si>
  <si>
    <t>416.696</t>
  </si>
  <si>
    <t>462.995</t>
  </si>
  <si>
    <t>509.295</t>
  </si>
  <si>
    <t>555.594</t>
  </si>
  <si>
    <t>601.894</t>
  </si>
  <si>
    <t>648.193</t>
  </si>
  <si>
    <t>635.229</t>
  </si>
  <si>
    <t>681.529</t>
  </si>
  <si>
    <t>727.828</t>
  </si>
  <si>
    <t>774.128</t>
  </si>
  <si>
    <t>820.428</t>
  </si>
  <si>
    <t>369.00+0.043</t>
  </si>
  <si>
    <t>435.247</t>
  </si>
  <si>
    <t>870.494</t>
  </si>
  <si>
    <t>1305.74</t>
  </si>
  <si>
    <t>1740.99</t>
  </si>
  <si>
    <t>2176.24</t>
  </si>
  <si>
    <t>2611.48</t>
  </si>
  <si>
    <t>3046.73</t>
  </si>
  <si>
    <t>3481.98</t>
  </si>
  <si>
    <t>3917.22</t>
  </si>
  <si>
    <t>4352.47</t>
  </si>
  <si>
    <t>4787.72</t>
  </si>
  <si>
    <t>5222.97</t>
  </si>
  <si>
    <t>5658.21</t>
  </si>
  <si>
    <t>6093.46</t>
  </si>
  <si>
    <t>5971.59</t>
  </si>
  <si>
    <t>6406.84</t>
  </si>
  <si>
    <t>6842.09</t>
  </si>
  <si>
    <t>7277.33</t>
  </si>
  <si>
    <t>7712.58</t>
  </si>
  <si>
    <t>377.00+0.000</t>
  </si>
  <si>
    <t>1257.06</t>
  </si>
  <si>
    <t>2514.13</t>
  </si>
  <si>
    <t>3771.19</t>
  </si>
  <si>
    <t>5028.25</t>
  </si>
  <si>
    <t>6285.32</t>
  </si>
  <si>
    <t>7542.38</t>
  </si>
  <si>
    <t>8799.45</t>
  </si>
  <si>
    <t>10056.5</t>
  </si>
  <si>
    <t>11313.6</t>
  </si>
  <si>
    <t>12570.6</t>
  </si>
  <si>
    <t>13827.7</t>
  </si>
  <si>
    <t>15084.8</t>
  </si>
  <si>
    <t>16341.8</t>
  </si>
  <si>
    <t>17598.9</t>
  </si>
  <si>
    <t>18856</t>
  </si>
  <si>
    <t>20113</t>
  </si>
  <si>
    <t>21370.1</t>
  </si>
  <si>
    <t>22627.1</t>
  </si>
  <si>
    <t>23884.2</t>
  </si>
  <si>
    <t>390.00+0.065</t>
  </si>
  <si>
    <t>31549.3</t>
  </si>
  <si>
    <t>34136.7</t>
  </si>
  <si>
    <t>36724</t>
  </si>
  <si>
    <t>2073.01</t>
  </si>
  <si>
    <t>4146.03</t>
  </si>
  <si>
    <t>6219.04</t>
  </si>
  <si>
    <t>8292.05</t>
  </si>
  <si>
    <t>10365.1</t>
  </si>
  <si>
    <t>12438.1</t>
  </si>
  <si>
    <t>14511.1</t>
  </si>
  <si>
    <t>16584.1</t>
  </si>
  <si>
    <t>18657.1</t>
  </si>
  <si>
    <t>20730.1</t>
  </si>
  <si>
    <t>22803.1</t>
  </si>
  <si>
    <t>24876.2</t>
  </si>
  <si>
    <t>26949.2</t>
  </si>
  <si>
    <t>29022.2</t>
  </si>
  <si>
    <t>31095.2</t>
  </si>
  <si>
    <t>33168.2</t>
  </si>
  <si>
    <t>090 W</t>
  </si>
  <si>
    <t>362.00+0.042</t>
  </si>
  <si>
    <t>29026.3</t>
  </si>
  <si>
    <t>Committed</t>
  </si>
  <si>
    <t xml:space="preserve">PCN 05T3 (I-90 WB) </t>
  </si>
  <si>
    <t xml:space="preserve">PCN 05T2 (I-90 EB) </t>
  </si>
  <si>
    <t xml:space="preserve">PCN 05HQ (I-90 WB) </t>
  </si>
  <si>
    <t xml:space="preserve">PCN 05HP (I-90 EB) </t>
  </si>
  <si>
    <t>Gravel, Virgin</t>
  </si>
  <si>
    <t>Gravel, Salvaged</t>
  </si>
  <si>
    <t>Granular Needed</t>
  </si>
  <si>
    <t>Granular Material Summary:</t>
  </si>
  <si>
    <t>TOTALS</t>
  </si>
  <si>
    <t>Prime for shoulder</t>
  </si>
  <si>
    <t>Gravel Cushion/Base Course</t>
  </si>
  <si>
    <t>Lime</t>
  </si>
  <si>
    <t>Flush Asph</t>
  </si>
  <si>
    <t>Tack Asph</t>
  </si>
  <si>
    <t>Binder</t>
  </si>
  <si>
    <t>Asphalt Conc.</t>
  </si>
  <si>
    <t>Dowel Bars</t>
  </si>
  <si>
    <t>Gravel Cushion</t>
  </si>
  <si>
    <t>Water</t>
  </si>
  <si>
    <t>Salv AC/Gran Material</t>
  </si>
  <si>
    <t>Remove Concrete</t>
  </si>
  <si>
    <t>PCCP</t>
  </si>
  <si>
    <t>Description</t>
  </si>
  <si>
    <t>CALCULATIONS</t>
  </si>
  <si>
    <t>Granular for Haul Road (ton/mi)</t>
  </si>
  <si>
    <t>Shoulder Granular sluff (ft) - 1 side</t>
  </si>
  <si>
    <t>Depth of Granular for Shoulders(in)</t>
  </si>
  <si>
    <t>AC depth (in)</t>
  </si>
  <si>
    <t>Sluff Width (feet) - 1 side</t>
  </si>
  <si>
    <t xml:space="preserve">AC Shoulder Top Total Width (feet) </t>
  </si>
  <si>
    <t>Depth of Gravel Cushion (in)</t>
  </si>
  <si>
    <t>New Concrete width (ft)</t>
  </si>
  <si>
    <t>Depth Existing AC &amp; base to be salvaged (in)</t>
  </si>
  <si>
    <t>Existing Shldr AC Top width (ft) - both sides</t>
  </si>
  <si>
    <t>Depth Existing Base Under ML Concrete (in)</t>
  </si>
  <si>
    <t>Existing Concrete width (ft)</t>
  </si>
  <si>
    <t>Work Length (mi)</t>
  </si>
  <si>
    <t>COMPUTATIONS</t>
  </si>
  <si>
    <t>05HP low bid = $2.1M/mile + structures</t>
  </si>
  <si>
    <t>3/3/21 BP</t>
  </si>
  <si>
    <t>Total Estimate</t>
  </si>
  <si>
    <t>total</t>
  </si>
  <si>
    <t>Utilities (thousand $$)</t>
  </si>
  <si>
    <t>ROW (thousand $$)</t>
  </si>
  <si>
    <t>CE</t>
  </si>
  <si>
    <t>PE</t>
  </si>
  <si>
    <t>Contingency</t>
  </si>
  <si>
    <t>current year subtotal</t>
  </si>
  <si>
    <t>Subtotal (prior year bid item costs)</t>
  </si>
  <si>
    <t>PVMNT MARKING Paint Urban</t>
  </si>
  <si>
    <t>MILE</t>
  </si>
  <si>
    <t>999E0051</t>
  </si>
  <si>
    <t>EROSION C GR &amp; INT SUR RURAL</t>
  </si>
  <si>
    <t>999E3603</t>
  </si>
  <si>
    <t>BRIDGE END GUARD RAIL (NEW)</t>
  </si>
  <si>
    <t>EACH</t>
  </si>
  <si>
    <t>999E3805</t>
  </si>
  <si>
    <t>survey &amp; staking based on 05HP</t>
  </si>
  <si>
    <t>SURVEY &amp; STAKING PER PROJECT</t>
  </si>
  <si>
    <t>L.S.</t>
  </si>
  <si>
    <t>999E0201</t>
  </si>
  <si>
    <t>3 ramp crossovers</t>
  </si>
  <si>
    <t>CROSSOVERS</t>
  </si>
  <si>
    <t>UNIT</t>
  </si>
  <si>
    <t>999E0034</t>
  </si>
  <si>
    <t>MAJOR STRUCTURES</t>
  </si>
  <si>
    <t>999E0004</t>
  </si>
  <si>
    <t>TRAFFIC CONTROL</t>
  </si>
  <si>
    <t>999E0002</t>
  </si>
  <si>
    <t>MOBILIZATION</t>
  </si>
  <si>
    <t>999E0001</t>
  </si>
  <si>
    <t>headwall every 500'</t>
  </si>
  <si>
    <t>Precast Concrete Headwall for Edge Drain</t>
  </si>
  <si>
    <t>Each</t>
  </si>
  <si>
    <t>680E2010</t>
  </si>
  <si>
    <t>outlet every 500'</t>
  </si>
  <si>
    <t xml:space="preserve">Edge Drain Outlet                                       </t>
  </si>
  <si>
    <t xml:space="preserve">Each      </t>
  </si>
  <si>
    <t xml:space="preserve">680E0015 </t>
  </si>
  <si>
    <t>14.921 miles both sides of roadway</t>
  </si>
  <si>
    <t>Edge Drain</t>
  </si>
  <si>
    <t>Ft</t>
  </si>
  <si>
    <t>680E0010</t>
  </si>
  <si>
    <t>Type II Field Laboratory</t>
  </si>
  <si>
    <t>600E0200</t>
  </si>
  <si>
    <t>8 units for pipework,  10 units for replacement of RCBC MRM 365.00+0.495</t>
  </si>
  <si>
    <t>Incidental Work</t>
  </si>
  <si>
    <t>LS</t>
  </si>
  <si>
    <t>250E0010</t>
  </si>
  <si>
    <t>Dowel Bar</t>
  </si>
  <si>
    <t>380E6000</t>
  </si>
  <si>
    <t>PCC Shoulder Pavement</t>
  </si>
  <si>
    <t xml:space="preserve">SqYd      </t>
  </si>
  <si>
    <t xml:space="preserve">380E0800 </t>
  </si>
  <si>
    <t>11" Nonreinforced PCC Pavement</t>
  </si>
  <si>
    <t xml:space="preserve">380E0110 </t>
  </si>
  <si>
    <t>Asphalt for Flush Seal SS-1h or CSS-1h</t>
  </si>
  <si>
    <t>Ton</t>
  </si>
  <si>
    <t>330E0210</t>
  </si>
  <si>
    <t>PG 58-28 Asphalt Binder</t>
  </si>
  <si>
    <t>Asphalt for Tack SS-1h or CSS-1h</t>
  </si>
  <si>
    <t>330E0100</t>
  </si>
  <si>
    <t>Median Shoulder (4’) - 3” Class HR AC &amp; Base Course</t>
  </si>
  <si>
    <t>MC-70 Asphalt for Prime</t>
  </si>
  <si>
    <t>330E0010</t>
  </si>
  <si>
    <t>Outside Shoulder (8’) - 3” Class HR AC &amp; Base Course</t>
  </si>
  <si>
    <t>Hydrated Lime</t>
  </si>
  <si>
    <t>320E4000</t>
  </si>
  <si>
    <t>Asphalt Concrete Composite</t>
  </si>
  <si>
    <t xml:space="preserve">Ton       </t>
  </si>
  <si>
    <t xml:space="preserve">320E1200 </t>
  </si>
  <si>
    <t>5” of gravel cushion</t>
  </si>
  <si>
    <t>Class HR Asphalt Concrete</t>
  </si>
  <si>
    <t xml:space="preserve">320E1070 </t>
  </si>
  <si>
    <t>Replace with 11” x 26’ Doweled PCCP with transverse contraction joints spaced at 15’</t>
  </si>
  <si>
    <t>PG 64-22 Asphalt Binder</t>
  </si>
  <si>
    <t>320E0006</t>
  </si>
  <si>
    <t xml:space="preserve">Pavement removal </t>
  </si>
  <si>
    <t>Salvage and Stockpile Asphalt Mix and Granular Base Material</t>
  </si>
  <si>
    <t>270E0040</t>
  </si>
  <si>
    <t>Processed Subgrade Topping</t>
  </si>
  <si>
    <t xml:space="preserve">CuYd      </t>
  </si>
  <si>
    <t xml:space="preserve">260E4500 </t>
  </si>
  <si>
    <t>Salvage &amp; stockpile remaining asphalt and granular mix material for use as base material</t>
  </si>
  <si>
    <t xml:space="preserve">Gravel Cushion                                          </t>
  </si>
  <si>
    <t xml:space="preserve">260E2010 </t>
  </si>
  <si>
    <t xml:space="preserve">Salvage &amp; stockpile mainline and shoulder material for use in the Class HR shoulder mix </t>
  </si>
  <si>
    <t>Gravel Cushion, Salvaged</t>
  </si>
  <si>
    <t xml:space="preserve">260E2030 </t>
  </si>
  <si>
    <t>Preliminary Surfacing Design Recommendations:</t>
  </si>
  <si>
    <t>Ordinary Roadway Shaping</t>
  </si>
  <si>
    <t xml:space="preserve">Mile      </t>
  </si>
  <si>
    <t xml:space="preserve">210E3000 </t>
  </si>
  <si>
    <t>Water for Granular Material</t>
  </si>
  <si>
    <t>MGal</t>
  </si>
  <si>
    <t>120E6200</t>
  </si>
  <si>
    <t>Remove &amp; Replace PCC, Pipe Work, Replace Str Bridge, Approach Grading, Deck Overlay, Approach Slabs, Polymer Chip Seal</t>
  </si>
  <si>
    <t>Option Borrow Excavation</t>
  </si>
  <si>
    <t xml:space="preserve">120E0500 </t>
  </si>
  <si>
    <t>MRM 362.00+0.042 to 377.00+0.000</t>
  </si>
  <si>
    <t>Unclassified Excavation</t>
  </si>
  <si>
    <t xml:space="preserve">120E0010 </t>
  </si>
  <si>
    <t>I90 WBL - Fm 2 W of the Salem Interchange to 2 Mi W of Humboldt</t>
  </si>
  <si>
    <t>Remove Concrete Pavement</t>
  </si>
  <si>
    <t>SqYd</t>
  </si>
  <si>
    <t>110E1100</t>
  </si>
  <si>
    <t>notes</t>
  </si>
  <si>
    <t>Project Description</t>
  </si>
  <si>
    <t>SysType</t>
  </si>
  <si>
    <t>LocType</t>
  </si>
  <si>
    <t>Price</t>
  </si>
  <si>
    <t>Quantity</t>
  </si>
  <si>
    <t>Unit Price</t>
  </si>
  <si>
    <t>Desc</t>
  </si>
  <si>
    <t>Units</t>
  </si>
  <si>
    <t>SBINbr</t>
  </si>
  <si>
    <t>used 05HP for reference</t>
  </si>
  <si>
    <t>Crossover Project is Programmed.</t>
  </si>
  <si>
    <t>Two Structure Replacements</t>
  </si>
  <si>
    <t xml:space="preserve">8 units for pipework,  10 units for replacement of RCBC </t>
  </si>
  <si>
    <t>Remove &amp; Replace PCC Surfacing, Replace Str Bridge, Approach Grading, Correct Clearance Deficiency, Spot Grading, Pipe Work</t>
  </si>
  <si>
    <t>MRM  377.00+0.000 to 390.00 + 0.043</t>
  </si>
  <si>
    <t>I90 EBL -  Fm 2 W of Humboldt to 2 E of Hartford; I90 - Str 0.4 W of Exit 390 (SD38);  I90 EBL - Exit 379 (Humbolt)</t>
  </si>
  <si>
    <t>13.08 miles both sides of roadway</t>
  </si>
  <si>
    <t>I90 WBL -  Fm 2 W of Humboldt to 2 E of Hartford; I90 WBL - Exit 379 (Humbolt); I90 Str - 0.4 W of Exit 390 (SD38) Over a Creek</t>
  </si>
  <si>
    <t>39311.4</t>
  </si>
  <si>
    <t>41898.7</t>
  </si>
  <si>
    <t>44486.1</t>
  </si>
  <si>
    <t>47073.4</t>
  </si>
  <si>
    <t>49660.8</t>
  </si>
  <si>
    <t>52248.1</t>
  </si>
  <si>
    <t>54835.4</t>
  </si>
  <si>
    <t>57422.8</t>
  </si>
  <si>
    <t>60010.1</t>
  </si>
  <si>
    <t>62597.5</t>
  </si>
  <si>
    <t>65184.8</t>
  </si>
  <si>
    <t>67772.2</t>
  </si>
  <si>
    <t>70359.5</t>
  </si>
  <si>
    <t>72946.9</t>
  </si>
  <si>
    <t>75534.2</t>
  </si>
  <si>
    <t>78121.5</t>
  </si>
  <si>
    <t>80708.9</t>
  </si>
  <si>
    <t>Do - Nothing</t>
  </si>
  <si>
    <t>6791.47</t>
  </si>
  <si>
    <t>7576.93</t>
  </si>
  <si>
    <t>8362.4</t>
  </si>
  <si>
    <t>9147.86</t>
  </si>
  <si>
    <t>9933.33</t>
  </si>
  <si>
    <t>10718.8</t>
  </si>
  <si>
    <t>11504.3</t>
  </si>
  <si>
    <t>12289.7</t>
  </si>
  <si>
    <t>13075.2</t>
  </si>
  <si>
    <t>13860.7</t>
  </si>
  <si>
    <t>14646.1</t>
  </si>
  <si>
    <t>15431.6</t>
  </si>
  <si>
    <t>16217</t>
  </si>
  <si>
    <t>17002.5</t>
  </si>
  <si>
    <t>17788</t>
  </si>
  <si>
    <t>18573.4</t>
  </si>
  <si>
    <t>19358.9</t>
  </si>
  <si>
    <t>20144.4</t>
  </si>
  <si>
    <t>20929.8</t>
  </si>
  <si>
    <t>21715.3</t>
  </si>
  <si>
    <t>300.824</t>
  </si>
  <si>
    <t>346.648</t>
  </si>
  <si>
    <t>392.471</t>
  </si>
  <si>
    <t>438.295</t>
  </si>
  <si>
    <t>484.119</t>
  </si>
  <si>
    <t>529.943</t>
  </si>
  <si>
    <t>575.767</t>
  </si>
  <si>
    <t>621.591</t>
  </si>
  <si>
    <t>667.415</t>
  </si>
  <si>
    <t>713.238</t>
  </si>
  <si>
    <t>759.062</t>
  </si>
  <si>
    <t>804.886</t>
  </si>
  <si>
    <t>850.71</t>
  </si>
  <si>
    <t>896.534</t>
  </si>
  <si>
    <t>942.358</t>
  </si>
  <si>
    <t>988.181</t>
  </si>
  <si>
    <t>1034.01</t>
  </si>
  <si>
    <t>1079.83</t>
  </si>
  <si>
    <t>1125.65</t>
  </si>
  <si>
    <t>1171.48</t>
  </si>
  <si>
    <t>6087.84</t>
  </si>
  <si>
    <t>6630.68</t>
  </si>
  <si>
    <t>7173.52</t>
  </si>
  <si>
    <t>7716.36</t>
  </si>
  <si>
    <t>8259.2</t>
  </si>
  <si>
    <t>8802.04</t>
  </si>
  <si>
    <t>9344.88</t>
  </si>
  <si>
    <t>9887.72</t>
  </si>
  <si>
    <t>10430.6</t>
  </si>
  <si>
    <t>10973.4</t>
  </si>
  <si>
    <t>11516.2</t>
  </si>
  <si>
    <t>12059.1</t>
  </si>
  <si>
    <t>12601.9</t>
  </si>
  <si>
    <t>13144.8</t>
  </si>
  <si>
    <t>13687.6</t>
  </si>
  <si>
    <t>14230.4</t>
  </si>
  <si>
    <t>14773.3</t>
  </si>
  <si>
    <t>15316.1</t>
  </si>
  <si>
    <t>15859</t>
  </si>
  <si>
    <t>16401.8</t>
  </si>
  <si>
    <t>17594</t>
  </si>
  <si>
    <t>19162.9</t>
  </si>
  <si>
    <t>20731.9</t>
  </si>
  <si>
    <t>22300.8</t>
  </si>
  <si>
    <t>23869.8</t>
  </si>
  <si>
    <t>25438.7</t>
  </si>
  <si>
    <t>27007.7</t>
  </si>
  <si>
    <t>28576.6</t>
  </si>
  <si>
    <t>30145.6</t>
  </si>
  <si>
    <t>31714.5</t>
  </si>
  <si>
    <t>33283.5</t>
  </si>
  <si>
    <t>34852.4</t>
  </si>
  <si>
    <t>36421.4</t>
  </si>
  <si>
    <t>37990.3</t>
  </si>
  <si>
    <t>39559.3</t>
  </si>
  <si>
    <t>41128.2</t>
  </si>
  <si>
    <t>42697.2</t>
  </si>
  <si>
    <t>44266.1</t>
  </si>
  <si>
    <t>45835.1</t>
  </si>
  <si>
    <t>47404</t>
  </si>
  <si>
    <t>31614.7</t>
  </si>
  <si>
    <t>34203</t>
  </si>
  <si>
    <t>36791.3</t>
  </si>
  <si>
    <t>39379.7</t>
  </si>
  <si>
    <t>41968</t>
  </si>
  <si>
    <t>44556.3</t>
  </si>
  <si>
    <t>47144.7</t>
  </si>
  <si>
    <t>49733</t>
  </si>
  <si>
    <t>52321.3</t>
  </si>
  <si>
    <t>54909.7</t>
  </si>
  <si>
    <t>57498</t>
  </si>
  <si>
    <t>60086.3</t>
  </si>
  <si>
    <t>62674.7</t>
  </si>
  <si>
    <t>65263</t>
  </si>
  <si>
    <t>67851.3</t>
  </si>
  <si>
    <t>70439.7</t>
  </si>
  <si>
    <t>73028</t>
  </si>
  <si>
    <t>75616.3</t>
  </si>
  <si>
    <t>78204.7</t>
  </si>
  <si>
    <t>Project</t>
  </si>
  <si>
    <t>Construction Year</t>
  </si>
  <si>
    <t>Year Benefits Begin</t>
  </si>
  <si>
    <t>Year</t>
  </si>
  <si>
    <t>CO2</t>
  </si>
  <si>
    <t>SO2</t>
  </si>
  <si>
    <t>NOX</t>
  </si>
  <si>
    <t>Build Annual VMT</t>
  </si>
  <si>
    <t>IDENTIFICATION</t>
  </si>
  <si>
    <t>Federal Aid System</t>
  </si>
  <si>
    <t>Funding Category</t>
  </si>
  <si>
    <t>Functional Classification</t>
  </si>
  <si>
    <t>Direction</t>
  </si>
  <si>
    <t>Beginning MRM</t>
  </si>
  <si>
    <t>MRM Displacement</t>
  </si>
  <si>
    <t>Segment Length</t>
  </si>
  <si>
    <t>Year Built</t>
  </si>
  <si>
    <t>Year Last Improved</t>
  </si>
  <si>
    <t>Year Last Sealed</t>
  </si>
  <si>
    <t>ROADWAY CONDITIONS</t>
  </si>
  <si>
    <t>Surface Condition Index</t>
  </si>
  <si>
    <t>Roughness Index</t>
  </si>
  <si>
    <t>ASPHALT INDEX VALUES</t>
  </si>
  <si>
    <t>Transverse Cracking</t>
  </si>
  <si>
    <t>Fatigue Cracking</t>
  </si>
  <si>
    <t>Patching/Patch Deterioration</t>
  </si>
  <si>
    <t>Block Cracking</t>
  </si>
  <si>
    <t>Rut Index</t>
  </si>
  <si>
    <t>Rut Depth (Inches) AVG/MAX</t>
  </si>
  <si>
    <t>CONCRETE INDEX VALUES</t>
  </si>
  <si>
    <t>D-Cracking/ASR</t>
  </si>
  <si>
    <t>Joint Spalling</t>
  </si>
  <si>
    <t>Corner Cracking</t>
  </si>
  <si>
    <t>Faulting</t>
  </si>
  <si>
    <t>Joint Seal Damage</t>
  </si>
  <si>
    <t>Punchouts</t>
  </si>
  <si>
    <t>TRAFFIC</t>
  </si>
  <si>
    <t>Current ADT</t>
  </si>
  <si>
    <t>Projected 20yr ADT</t>
  </si>
  <si>
    <t>Number Of Trucks</t>
  </si>
  <si>
    <t>CRASHES</t>
  </si>
  <si>
    <t>Weighted Crash Rate</t>
  </si>
  <si>
    <t>Number of Fatal</t>
  </si>
  <si>
    <t>Number of Injury</t>
  </si>
  <si>
    <t>Number of Property Damage</t>
  </si>
  <si>
    <t>Project ID</t>
  </si>
  <si>
    <t>Pavement Condition</t>
  </si>
  <si>
    <t>MRM Based Length</t>
  </si>
  <si>
    <t>28 Mile Corridor Wide Existing AADT</t>
  </si>
  <si>
    <t>Corridor Wide Truck Percentage</t>
  </si>
  <si>
    <t>2020 VMT (WB Only)</t>
  </si>
  <si>
    <t>2040 VMT (WB Only)</t>
  </si>
  <si>
    <t>NHS-IN</t>
  </si>
  <si>
    <t>INT</t>
  </si>
  <si>
    <t>R-INT</t>
  </si>
  <si>
    <t>W</t>
  </si>
  <si>
    <t>4.51 (19)</t>
  </si>
  <si>
    <t>4.17 (19)</t>
  </si>
  <si>
    <t>4.67 (19)</t>
  </si>
  <si>
    <t>4.77 (19)</t>
  </si>
  <si>
    <t>4.81 (19)</t>
  </si>
  <si>
    <t>4.80 (19)</t>
  </si>
  <si>
    <t>4.82 (19)</t>
  </si>
  <si>
    <t>4.64 (19)</t>
  </si>
  <si>
    <t>4.85 (19)</t>
  </si>
  <si>
    <t>4.84 (19)</t>
  </si>
  <si>
    <t>5.00 (19)</t>
  </si>
  <si>
    <t>4.96 (19)</t>
  </si>
  <si>
    <t>4.45 (19)</t>
  </si>
  <si>
    <t>4.60 (19)</t>
  </si>
  <si>
    <t>4.30 (19)</t>
  </si>
  <si>
    <t>4.24 (19)</t>
  </si>
  <si>
    <t>0.20 / 0.20</t>
  </si>
  <si>
    <t>0.10 / 0.20</t>
  </si>
  <si>
    <t>0.20 / 0.40</t>
  </si>
  <si>
    <t>0.20 / 0.50</t>
  </si>
  <si>
    <t>2.90 (19)</t>
  </si>
  <si>
    <t>4.78 (19)</t>
  </si>
  <si>
    <t>05HQ (I-90 WB)</t>
  </si>
  <si>
    <t>05T3 (I-90 WB)</t>
  </si>
  <si>
    <t>Good</t>
  </si>
  <si>
    <t>Fair</t>
  </si>
  <si>
    <t>Excellent</t>
  </si>
  <si>
    <t>362 - 366</t>
  </si>
  <si>
    <t>366 - 366.06</t>
  </si>
  <si>
    <t>366.06 - 369</t>
  </si>
  <si>
    <t>369 - 377</t>
  </si>
  <si>
    <t>377 - 390</t>
  </si>
  <si>
    <t>MRM Start/Stop</t>
  </si>
  <si>
    <t>2020 VMT (EB Only)</t>
  </si>
  <si>
    <t>2040 VMT (EB Only)</t>
  </si>
  <si>
    <t>E</t>
  </si>
  <si>
    <t>4.68 (19)</t>
  </si>
  <si>
    <t>3.90 (19)</t>
  </si>
  <si>
    <t>4.48 (19)</t>
  </si>
  <si>
    <t>4.74 (19)</t>
  </si>
  <si>
    <t>4.73 (19)</t>
  </si>
  <si>
    <t>4.49 (19)</t>
  </si>
  <si>
    <t>4.75 (19)</t>
  </si>
  <si>
    <t>4.70 (19)</t>
  </si>
  <si>
    <t>4.92 (19)</t>
  </si>
  <si>
    <t>4.90 (19)</t>
  </si>
  <si>
    <t>4.99 (19)</t>
  </si>
  <si>
    <t>4.91 (19)</t>
  </si>
  <si>
    <t>4.86 (19)</t>
  </si>
  <si>
    <t>4.97 (19)</t>
  </si>
  <si>
    <t>4.46 (19)</t>
  </si>
  <si>
    <t>4.39 (19)</t>
  </si>
  <si>
    <t>4.25 (19)</t>
  </si>
  <si>
    <t>0.20 / 0.30</t>
  </si>
  <si>
    <t>3.40 (19)</t>
  </si>
  <si>
    <t>2.00 (19)</t>
  </si>
  <si>
    <t>05HP (I-90 EB)</t>
  </si>
  <si>
    <t>05T2 (I-90 EB)</t>
  </si>
  <si>
    <t>Source:</t>
  </si>
  <si>
    <t>https://apps.sd.gov/hr53needsbook/</t>
  </si>
  <si>
    <t>Source: NCHRP Report 720</t>
  </si>
  <si>
    <t>Estimating the Effects of Pavement Condition on Vehicle Operating Costs (2012)</t>
  </si>
  <si>
    <t>https://www.nap.edu/download/22808</t>
  </si>
  <si>
    <t>Speed</t>
  </si>
  <si>
    <t>Vehicle Class</t>
  </si>
  <si>
    <t>Baseline Cost cents/mile</t>
  </si>
  <si>
    <t>Adjustment Factors from Baseline</t>
  </si>
  <si>
    <t>Veh Op Cost (VOC) for IRI level (cents/mile)</t>
  </si>
  <si>
    <t>Average VOC with roughness</t>
  </si>
  <si>
    <t>Net increase in VOC from Baseline</t>
  </si>
  <si>
    <t>IRI</t>
  </si>
  <si>
    <t>cents/mile</t>
  </si>
  <si>
    <t>dollar/mile</t>
  </si>
  <si>
    <t>4,5,6</t>
  </si>
  <si>
    <t>70 mph</t>
  </si>
  <si>
    <t>Medium Car</t>
  </si>
  <si>
    <t>Van</t>
  </si>
  <si>
    <t>SUV</t>
  </si>
  <si>
    <t>Light Truck</t>
  </si>
  <si>
    <t>Articulated Truck</t>
  </si>
  <si>
    <t>1 m/km =</t>
  </si>
  <si>
    <t>in/mi</t>
  </si>
  <si>
    <t>3 m/km =</t>
  </si>
  <si>
    <t>this is considered moderate failure per SDDOT pavement management source</t>
  </si>
  <si>
    <t>4 m/km =</t>
  </si>
  <si>
    <t>this is considered extreme failure per SDDOT pavement management source</t>
  </si>
  <si>
    <t>Blowing snow</t>
  </si>
  <si>
    <t>None</t>
  </si>
  <si>
    <t>Straight ahead</t>
  </si>
  <si>
    <t>Passenger car</t>
  </si>
  <si>
    <t>Westbound</t>
  </si>
  <si>
    <t>12/30/1899 1:26:00 PM</t>
  </si>
  <si>
    <t>Y</t>
  </si>
  <si>
    <t>Lap belt and shoulder harness used</t>
  </si>
  <si>
    <t>Concrete</t>
  </si>
  <si>
    <t>Ice</t>
  </si>
  <si>
    <t>N</t>
  </si>
  <si>
    <t>January</t>
  </si>
  <si>
    <t>Snow bank</t>
  </si>
  <si>
    <t>No collision between 2 MV in transport</t>
  </si>
  <si>
    <t>Daylight</t>
  </si>
  <si>
    <t>Non-junction</t>
  </si>
  <si>
    <t>State Road</t>
  </si>
  <si>
    <t>Rural Principal Interstate Arterial</t>
  </si>
  <si>
    <t>Cross median/centerline, Snow bank</t>
  </si>
  <si>
    <t>Driving too fast for conditions; None</t>
  </si>
  <si>
    <t>Divided highway</t>
  </si>
  <si>
    <t>Friday</t>
  </si>
  <si>
    <t>MCCOOK</t>
  </si>
  <si>
    <t>Test not given</t>
  </si>
  <si>
    <t>Curve and level</t>
  </si>
  <si>
    <t>No injury</t>
  </si>
  <si>
    <t>05HQ (I-90 WB) - MP 362-377</t>
  </si>
  <si>
    <t>12/30/1899 12:55:00 PM</t>
  </si>
  <si>
    <t>Road surface condition ( wet, icy, snow, slush, etc. )</t>
  </si>
  <si>
    <t>Motor vehicle in transport</t>
  </si>
  <si>
    <t>Angle</t>
  </si>
  <si>
    <t>Cross median/centerline, Motor vehicle in transport, Ran off road left</t>
  </si>
  <si>
    <t>OVERDRIVING ROAD CONDITIONS</t>
  </si>
  <si>
    <t>Test not given, Test not given</t>
  </si>
  <si>
    <t>Fog, smog, smoke</t>
  </si>
  <si>
    <t>Tractor/semi-trailer</t>
  </si>
  <si>
    <t>12/30/1899 11:59:00 PM</t>
  </si>
  <si>
    <t>Dry</t>
  </si>
  <si>
    <t>Dark - roadway not lighted</t>
  </si>
  <si>
    <t>Ditch, Ran off road right, Snow bank</t>
  </si>
  <si>
    <t>Illness (heart attack, stroke, etc.); None</t>
  </si>
  <si>
    <t>Thursday</t>
  </si>
  <si>
    <t>Straight and level</t>
  </si>
  <si>
    <t>Sleet, hail ( freezing rain or drizzle ), Snow</t>
  </si>
  <si>
    <t>SUV ( sport utility/suburban )</t>
  </si>
  <si>
    <t>12/30/1899 12:05:00 AM</t>
  </si>
  <si>
    <t>November</t>
  </si>
  <si>
    <t>Highway traffic sign post/sign</t>
  </si>
  <si>
    <t>Highway traffic sign post/sign, Ran off road right</t>
  </si>
  <si>
    <t>Wednesday</t>
  </si>
  <si>
    <t>Snow</t>
  </si>
  <si>
    <t>Weather conditions</t>
  </si>
  <si>
    <t>12/30/1899 5:00:00 PM</t>
  </si>
  <si>
    <t>Asphalt ( blacktop )</t>
  </si>
  <si>
    <t>December</t>
  </si>
  <si>
    <t>Fence</t>
  </si>
  <si>
    <t>Fence, Ran off road right</t>
  </si>
  <si>
    <t>None; Running off road</t>
  </si>
  <si>
    <t>Monday</t>
  </si>
  <si>
    <t>12/30/1899 1:30:00 PM</t>
  </si>
  <si>
    <t>Jackknife</t>
  </si>
  <si>
    <t>Jackknife, Ran off road right</t>
  </si>
  <si>
    <t>Snow, Blowing snow</t>
  </si>
  <si>
    <t>12/30/1899 8:45:00 AM</t>
  </si>
  <si>
    <t>March</t>
  </si>
  <si>
    <t>Jackknife, Ran off road left, Snow bank</t>
  </si>
  <si>
    <t>Saturday</t>
  </si>
  <si>
    <t>0.00 BAC</t>
  </si>
  <si>
    <t>Cloudy</t>
  </si>
  <si>
    <t>Wild animal hit - damage only</t>
  </si>
  <si>
    <t>Wild animal hit</t>
  </si>
  <si>
    <t>12/30/1899 6:23:00 PM</t>
  </si>
  <si>
    <t>Animal in roadway</t>
  </si>
  <si>
    <t>October</t>
  </si>
  <si>
    <t>Animal  - wild</t>
  </si>
  <si>
    <t>Clear</t>
  </si>
  <si>
    <t>Light truck (2 axles, 4 tires)</t>
  </si>
  <si>
    <t>12/30/1899 8:50:00 AM</t>
  </si>
  <si>
    <t>12/30/1899 8:30:00 AM</t>
  </si>
  <si>
    <t>September</t>
  </si>
  <si>
    <t>12/30/1899 7:30:00 PM</t>
  </si>
  <si>
    <t>Overturn/rollover</t>
  </si>
  <si>
    <t>Overturn/rollover, Ran off road left</t>
  </si>
  <si>
    <t>12/30/1899 4:30:00 PM</t>
  </si>
  <si>
    <t>Other movable object</t>
  </si>
  <si>
    <t>Sunday</t>
  </si>
  <si>
    <t>Straight and hill crest</t>
  </si>
  <si>
    <t>Cloudy, Severe crosswinds</t>
  </si>
  <si>
    <t>Eastbound</t>
  </si>
  <si>
    <t>12/30/1899 11:19:00 PM</t>
  </si>
  <si>
    <t>12/30/1899 6:19:00 AM</t>
  </si>
  <si>
    <t>February</t>
  </si>
  <si>
    <t>Bridge rail</t>
  </si>
  <si>
    <t>Bridge rail, Overturn/rollover, Ran off road left</t>
  </si>
  <si>
    <t>Failure to keep in proper lane; Running off road</t>
  </si>
  <si>
    <t>12/30/1899 4:58:00 PM</t>
  </si>
  <si>
    <t>Guardrail face</t>
  </si>
  <si>
    <t>Guardrail face, Ran off road left</t>
  </si>
  <si>
    <t>12/30/1899 5:48:00 PM</t>
  </si>
  <si>
    <t>Single-unit truck (2 axle, 6 tires) GVWR 10,001 lbs or more; SUV ( sport utility/suburban )</t>
  </si>
  <si>
    <t>12/30/1899 3:10:00 PM</t>
  </si>
  <si>
    <t>Sideswipe, same direction</t>
  </si>
  <si>
    <t>Motor vehicle in transport, Ran off road left</t>
  </si>
  <si>
    <t>Driving too fast for conditions; None; Over-correcting/over-steering</t>
  </si>
  <si>
    <t>NO VALID DL, CARELESS DRIVING.</t>
  </si>
  <si>
    <t>12/30/1899 8:00:00 AM</t>
  </si>
  <si>
    <t>Bridge rail, Ran off road right</t>
  </si>
  <si>
    <t>Driving too fast for conditions; Failure to keep in proper lane</t>
  </si>
  <si>
    <t>12/30/1899 5:35:00 PM</t>
  </si>
  <si>
    <t>Tuesday</t>
  </si>
  <si>
    <t>12/30/1899 12:30:00 PM</t>
  </si>
  <si>
    <t>August</t>
  </si>
  <si>
    <t>Motor vehicle in transport, Overturn/rollover</t>
  </si>
  <si>
    <t>Rear-end ( front to rear )</t>
  </si>
  <si>
    <t>Motor vehicle in transport, Overturn/rollover, Ran off road right</t>
  </si>
  <si>
    <t>Failure to keep in proper lane; Followed too closely; None</t>
  </si>
  <si>
    <t>CARELESS DRIVING.</t>
  </si>
  <si>
    <t>Test not given, Test not given, Not reported</t>
  </si>
  <si>
    <t>Straight on grade</t>
  </si>
  <si>
    <t>Incapacitating</t>
  </si>
  <si>
    <t>12/30/1899 7:10:00 AM</t>
  </si>
  <si>
    <t>Equipment failure ( tires, brakes, etc. ), Fence, Jackknife</t>
  </si>
  <si>
    <t>12/30/1899 12:15:00 AM</t>
  </si>
  <si>
    <t>12/30/1899 10:20:00 PM</t>
  </si>
  <si>
    <t>12/30/1899 9:05:00 PM</t>
  </si>
  <si>
    <t>May</t>
  </si>
  <si>
    <t>12/30/1899 4:15:00 PM</t>
  </si>
  <si>
    <t>12/30/1899 3:25:00 AM</t>
  </si>
  <si>
    <t>Light truck (2 axles, 4 tires); Passenger car</t>
  </si>
  <si>
    <t>12/30/1899 11:01:00 AM</t>
  </si>
  <si>
    <t>Fence, Motor vehicle in transport</t>
  </si>
  <si>
    <t>None; Other</t>
  </si>
  <si>
    <t>Possible</t>
  </si>
  <si>
    <t>Rain</t>
  </si>
  <si>
    <t>12/30/1899 11:00:00 PM</t>
  </si>
  <si>
    <t>Wet</t>
  </si>
  <si>
    <t>Approach</t>
  </si>
  <si>
    <t>Approach, Ran off road left</t>
  </si>
  <si>
    <t>Running off road; Swerving or avoiding due to wind, slippery surface, vehicle, object, non-motorist, etc.</t>
  </si>
  <si>
    <t>Sleet, hail ( freezing rain or drizzle ), Blowing snow</t>
  </si>
  <si>
    <t>12/30/1899 8:00:00 PM</t>
  </si>
  <si>
    <t>Bridge rail, Ran off road left</t>
  </si>
  <si>
    <t>Mini-van/passenger van with seats for 8 or less, including driver</t>
  </si>
  <si>
    <t>12/30/1899 10:30:00 PM</t>
  </si>
  <si>
    <t>June</t>
  </si>
  <si>
    <t>Changing lanes, Straight ahead</t>
  </si>
  <si>
    <t>Passenger car; SUV ( sport utility/suburban )</t>
  </si>
  <si>
    <t>Improper lane change; None</t>
  </si>
  <si>
    <t>LANE DRIVING REQUIRED / ILLEGAL LANE CHANGE</t>
  </si>
  <si>
    <t>12/30/1899 10:30:00 AM</t>
  </si>
  <si>
    <t>Ditch</t>
  </si>
  <si>
    <t>Ditch, Ran off road right</t>
  </si>
  <si>
    <t>Passenger car; Tractor/semi-trailer</t>
  </si>
  <si>
    <t>12/30/1899 3:30:00 AM</t>
  </si>
  <si>
    <t>12/30/1899 6:50:00 AM</t>
  </si>
  <si>
    <t>Dawn</t>
  </si>
  <si>
    <t>Interchange area</t>
  </si>
  <si>
    <t>Failure to keep in proper lane; None</t>
  </si>
  <si>
    <t>FINANCIAL RESPONSIBILITY - OWNER</t>
  </si>
  <si>
    <t>12/30/1899 11:25:00 AM</t>
  </si>
  <si>
    <t>April</t>
  </si>
  <si>
    <t>Cloudy, Blowing snow</t>
  </si>
  <si>
    <t>12/30/1899 8:44:00 AM</t>
  </si>
  <si>
    <t>Delineator post, Ditch, Jackknife, Ran off road right</t>
  </si>
  <si>
    <t>12/30/1899 10:41:00 PM</t>
  </si>
  <si>
    <t>12/30/1899 3:50:00 PM</t>
  </si>
  <si>
    <t>Cloudy, Rain</t>
  </si>
  <si>
    <t>12/30/1899 6:20:00 AM</t>
  </si>
  <si>
    <t>Approach, Overturn/rollover, Ran off road left</t>
  </si>
  <si>
    <t>Fatigued/asleep; Running off road</t>
  </si>
  <si>
    <t>Sleet, hail ( freezing rain or drizzle )</t>
  </si>
  <si>
    <t>Overtaking/passing, Straight ahead</t>
  </si>
  <si>
    <t>12/30/1899 10:55:00 AM</t>
  </si>
  <si>
    <t>Ditch, Motor vehicle in transport, Ran off road right</t>
  </si>
  <si>
    <t>12/30/1899 3:00:00 AM</t>
  </si>
  <si>
    <t>Cross median/centerline, Overturn/rollover, Ran off road left</t>
  </si>
  <si>
    <t>Fatigued/asleep; None</t>
  </si>
  <si>
    <t>12/30/1899 9:50:00 PM</t>
  </si>
  <si>
    <t>July</t>
  </si>
  <si>
    <t>Cargo van - GVWR 10,000 lbs or less</t>
  </si>
  <si>
    <t>12/30/1899 11:30:00 AM</t>
  </si>
  <si>
    <t>Slush</t>
  </si>
  <si>
    <t>12/30/1899 6:53:00 PM</t>
  </si>
  <si>
    <t>Fence, Motor vehicle in transport, Ran off road left, Ran off road right</t>
  </si>
  <si>
    <t>Followed too closely; None; Over-correcting/over-steering</t>
  </si>
  <si>
    <t>Test not given, Not reported, Test not given</t>
  </si>
  <si>
    <t>Driving too fast for conditions; None; Swerving or avoiding due to wind, slippery surface, vehicle, object, non-motorist, etc.</t>
  </si>
  <si>
    <t>12/30/1899 11:30:00 PM</t>
  </si>
  <si>
    <t>12/30/1899 2:00:00 PM</t>
  </si>
  <si>
    <t>Lap belt and shoulder harness used, Shoulder harness only used</t>
  </si>
  <si>
    <t>Motor vehicle in transport, Ran off road right</t>
  </si>
  <si>
    <t>12/30/1899 8:41:00 AM</t>
  </si>
  <si>
    <t>Cross median/centerline, Fence, Overturn/rollover, Ran off road left</t>
  </si>
  <si>
    <t>Driving too fast for conditions; Running off road</t>
  </si>
  <si>
    <t>Non-incapacitating</t>
  </si>
  <si>
    <t>12/30/1899 7:00:00 PM</t>
  </si>
  <si>
    <t>12/30/1899 9:20:00 PM</t>
  </si>
  <si>
    <t>None used</t>
  </si>
  <si>
    <t>Overturn/rollover, Ran off road right</t>
  </si>
  <si>
    <t>Single-unit truck (2 axle, 6 tires) GVWR 10,000 lbs or less</t>
  </si>
  <si>
    <t>12/30/1899 4:00:00 AM</t>
  </si>
  <si>
    <t>12/30/1899 11:15:00 PM</t>
  </si>
  <si>
    <t>12/30/1899 10:51:00 AM</t>
  </si>
  <si>
    <t>Guardrail face, Ran off road right</t>
  </si>
  <si>
    <t>12/30/1899 6:00:00 AM</t>
  </si>
  <si>
    <t>Light truck (2 axles, 4 tires); SUV ( sport utility/suburban )</t>
  </si>
  <si>
    <t>Eastbound; Westbound</t>
  </si>
  <si>
    <t>None; Road surface condition ( wet, icy, snow, slush, etc. )</t>
  </si>
  <si>
    <t>Driving too fast for conditions; Failure to keep in proper lane; None</t>
  </si>
  <si>
    <t>Windshield or other window obscured by frost, snow, mud, etc.</t>
  </si>
  <si>
    <t>12/30/1899 2:05:00 PM</t>
  </si>
  <si>
    <t>Non-contact vehicle caused evasive action</t>
  </si>
  <si>
    <t>Cross median/centerline, Fence, Ran off road left</t>
  </si>
  <si>
    <t>Over-correcting/over-steering; Running off road</t>
  </si>
  <si>
    <t>12/30/1899 2:03:00 PM</t>
  </si>
  <si>
    <t>12/30/1899 4:11:00 PM</t>
  </si>
  <si>
    <t>12/30/1899 9:30:00 PM</t>
  </si>
  <si>
    <t>Snow, Severe crosswinds</t>
  </si>
  <si>
    <t>SUV ( sport utility/suburban ); Tractor/semi-trailer</t>
  </si>
  <si>
    <t>None; Tires</t>
  </si>
  <si>
    <t>12/30/1899 6:30:00 AM</t>
  </si>
  <si>
    <t>Debris; None</t>
  </si>
  <si>
    <t>Equipment failure ( tires, brakes, etc. ), Motor vehicle in transport</t>
  </si>
  <si>
    <t>12/30/1899 6:13:00 PM</t>
  </si>
  <si>
    <t>Obstruction in roadway</t>
  </si>
  <si>
    <t>Jackknife, Overturn/rollover, Ran off road right</t>
  </si>
  <si>
    <t>12/30/1899 5:32:00 AM</t>
  </si>
  <si>
    <t>Blowing snow, Severe crosswinds</t>
  </si>
  <si>
    <t>12/30/1899 6:01:00 PM</t>
  </si>
  <si>
    <t>Dusk</t>
  </si>
  <si>
    <t>12/30/1899 6:30:00 PM</t>
  </si>
  <si>
    <t>Cargo van - GVWR 10,001 lbs or more</t>
  </si>
  <si>
    <t>12/30/1899 10:19:00 PM</t>
  </si>
  <si>
    <t>12/30/1899 5:45:00 AM</t>
  </si>
  <si>
    <t>12/30/1899 2:57:00 PM</t>
  </si>
  <si>
    <t>Tractor/doubles</t>
  </si>
  <si>
    <t>12/30/1899 3:15:00 AM</t>
  </si>
  <si>
    <t>None; Swerving or avoiding due to wind, slippery surface, vehicle, object, non-motorist, etc.</t>
  </si>
  <si>
    <t>12/30/1899 2:40:00 AM</t>
  </si>
  <si>
    <t>Distracted (list distraction in narrative); None</t>
  </si>
  <si>
    <t>12/30/1899 8:15:00 AM</t>
  </si>
  <si>
    <t>12/30/1899 8:45:00 PM</t>
  </si>
  <si>
    <t>12/30/1899 5:50:00 AM</t>
  </si>
  <si>
    <t>Fence, Jackknife, Ran off road right</t>
  </si>
  <si>
    <t>12/30/1899 8:40:00 PM</t>
  </si>
  <si>
    <t>12/30/1899 10:45:00 PM</t>
  </si>
  <si>
    <t>12/30/1899 12:10:00 PM</t>
  </si>
  <si>
    <t>Jackknife, Ran off road left</t>
  </si>
  <si>
    <t>Steering</t>
  </si>
  <si>
    <t>12/30/1899 10:00:00 PM</t>
  </si>
  <si>
    <t>12/30/1899 2:50:00 AM</t>
  </si>
  <si>
    <t>Over-correcting/over-steering; Swerving or avoiding due to wind, slippery surface, vehicle, object, non-motorist, etc.</t>
  </si>
  <si>
    <t>Test not given, Not reported</t>
  </si>
  <si>
    <t>12/30/1899 2:45:00 PM</t>
  </si>
  <si>
    <t>Ditch, Overturn/rollover, Ran off road right</t>
  </si>
  <si>
    <t>Single-unit truck (2 axle, 6 tires) GVWR 10,001 lbs or more</t>
  </si>
  <si>
    <t>12/30/1899 6:45:00 AM</t>
  </si>
  <si>
    <t>Motor Vehicle ( including load ) not parked; None</t>
  </si>
  <si>
    <t>Brakes; None</t>
  </si>
  <si>
    <t>12/30/1899 10:50:00 PM</t>
  </si>
  <si>
    <t>Failed to yield to vehicle; None</t>
  </si>
  <si>
    <t>CARELESS DRIVING., FINANCIAL RESPONSIBILITY - OWNER</t>
  </si>
  <si>
    <t>12/30/1899 10:40:00 PM</t>
  </si>
  <si>
    <t>12/30/1899 11:45:00 AM</t>
  </si>
  <si>
    <t>12/30/1899 1:20:00 PM</t>
  </si>
  <si>
    <t>Ditch, Ran off road left</t>
  </si>
  <si>
    <t>12/30/1899 1:12:00 PM</t>
  </si>
  <si>
    <t>12/30/1899 3:20:00 AM</t>
  </si>
  <si>
    <t>Mini-van/passenger van with seats for 8 or less, including driver; Tractor/semi-trailer</t>
  </si>
  <si>
    <t>12/30/1899 6:02:00 AM</t>
  </si>
  <si>
    <t>None; Unknown</t>
  </si>
  <si>
    <t>12/30/1899 10:00:00 AM</t>
  </si>
  <si>
    <t>Debris</t>
  </si>
  <si>
    <t>Cloudy, Snow</t>
  </si>
  <si>
    <t>12/30/1899 9:00:00 AM</t>
  </si>
  <si>
    <t>12/30/1899 7:31:00 PM</t>
  </si>
  <si>
    <t>FINANCIAL RESPONSIBILITY - OWNER, CARELESS DRIVING.</t>
  </si>
  <si>
    <t>12/30/1899 7:35:00 PM</t>
  </si>
  <si>
    <t>None; Weather conditions</t>
  </si>
  <si>
    <t>12/30/1899 3:20:00 PM</t>
  </si>
  <si>
    <t>Driving too fast for conditions; Followed too closely; None; Over-correcting/over-steering</t>
  </si>
  <si>
    <t>Truck pulling trailer(s) - GCWR 10,001 lbs or more</t>
  </si>
  <si>
    <t>Truck coupling / trailer hitch / safety chains</t>
  </si>
  <si>
    <t>12/30/1899 12:20:00 PM</t>
  </si>
  <si>
    <t>Cross median/centerline, Overturn/rollover, Ran off road left, Separation of units</t>
  </si>
  <si>
    <t>12/30/1899 8:28:00 AM</t>
  </si>
  <si>
    <t>Cargo van - GVWR 10,000 lbs or less; Tractor/semi-trailer</t>
  </si>
  <si>
    <t>Drinking; Followed too closely; None</t>
  </si>
  <si>
    <t>FOLLOWING TOO CLOSELY</t>
  </si>
  <si>
    <t>0.00 BAC, 0.04 BAC</t>
  </si>
  <si>
    <t>12/30/1899 5:58:00 PM</t>
  </si>
  <si>
    <t>Glare; None</t>
  </si>
  <si>
    <t>12/30/1899 7:40:00 PM</t>
  </si>
  <si>
    <t>Light truck (2 axles, 4 tires); Tractor/semi-trailer</t>
  </si>
  <si>
    <t>Light truck (2 axles, 4 tires); Mini-van/passenger van with seats for 8 or less, including driver</t>
  </si>
  <si>
    <t>05HP (I-90 EB) - MP 362-377</t>
  </si>
  <si>
    <t>12/30/1899 9:25:00 PM</t>
  </si>
  <si>
    <t>12/30/1899 5:15:00 AM</t>
  </si>
  <si>
    <t>12/30/1899 6:00:00 PM</t>
  </si>
  <si>
    <t>12/30/1899 9:15:00 PM</t>
  </si>
  <si>
    <t>12/30/1899 9:50:00 AM</t>
  </si>
  <si>
    <t>Bridge rail, Guardrail end, Ran off road right</t>
  </si>
  <si>
    <t>12/30/1899 1:15:00 PM</t>
  </si>
  <si>
    <t>12/30/1899 5:30:00 PM</t>
  </si>
  <si>
    <t>12/30/1899 8:23:00 PM</t>
  </si>
  <si>
    <t>Slowing in traffic lane, Straight ahead</t>
  </si>
  <si>
    <t>SUV ( sport utility/suburban ); Truck tractor only (bobtail)</t>
  </si>
  <si>
    <t>12/30/1899 12:30:00 AM</t>
  </si>
  <si>
    <t>0.00 BAC, Test not given</t>
  </si>
  <si>
    <t>12/30/1899 7:45:00 PM</t>
  </si>
  <si>
    <t>Tires</t>
  </si>
  <si>
    <t>12/30/1899 3:00:00 PM</t>
  </si>
  <si>
    <t>12/30/1899 9:00:00 PM</t>
  </si>
  <si>
    <t>12/30/1899 5:40:00 PM</t>
  </si>
  <si>
    <t>12/30/1899 3:05:00 AM</t>
  </si>
  <si>
    <t>Animal  - wild, Guardrail face, Ran off road left</t>
  </si>
  <si>
    <t>12/30/1899 9:57:00 PM</t>
  </si>
  <si>
    <t>Guardrail face, Overturn/rollover, Ran off road left</t>
  </si>
  <si>
    <t>12/30/1899 11:13:00 PM</t>
  </si>
  <si>
    <t>Approach, Ditch, Overturn/rollover, Ran off road left</t>
  </si>
  <si>
    <t>Fatal injury</t>
  </si>
  <si>
    <t>Cross median/centerline, Overturn/rollover</t>
  </si>
  <si>
    <t>12/30/1899 10:10:00 PM</t>
  </si>
  <si>
    <t>12/30/1899 7:25:00 AM</t>
  </si>
  <si>
    <t>12/30/1899 3:49:00 PM</t>
  </si>
  <si>
    <t>Ran off road left, Snow bank</t>
  </si>
  <si>
    <t>12/30/1899 11:55:00 AM</t>
  </si>
  <si>
    <t>12/30/1899 3:10:00 AM</t>
  </si>
  <si>
    <t>12/30/1899 4:50:00 PM</t>
  </si>
  <si>
    <t>Delineator post</t>
  </si>
  <si>
    <t>Delineator post, Ran off road right</t>
  </si>
  <si>
    <t>12/30/1899 9:27:00 AM</t>
  </si>
  <si>
    <t>12/30/1899 11:25:00 PM</t>
  </si>
  <si>
    <t>Unknown</t>
  </si>
  <si>
    <t>12/30/1899 9:31:00 PM</t>
  </si>
  <si>
    <t>12/30/1899 4:35:00 AM</t>
  </si>
  <si>
    <t>12/30/1899 5:55:00 AM</t>
  </si>
  <si>
    <t>12/30/1899 12:10:00 AM</t>
  </si>
  <si>
    <t>Bridge rail, Snow bank</t>
  </si>
  <si>
    <t>12/30/1899 4:00:00 PM</t>
  </si>
  <si>
    <t>12/30/1899 5:08:00 PM</t>
  </si>
  <si>
    <t>12/30/1899 1:00:00 AM</t>
  </si>
  <si>
    <t>12/30/1899 11:10:00 PM</t>
  </si>
  <si>
    <t>12/30/1899 4:30:00 AM</t>
  </si>
  <si>
    <t>Delineator post, Highway traffic sign post/sign, Ran off road right</t>
  </si>
  <si>
    <t>Motorcycle</t>
  </si>
  <si>
    <t>Helmet and eye protection</t>
  </si>
  <si>
    <t>Other non-collision, Overturn/rollover</t>
  </si>
  <si>
    <t>0.00 BAC, Not reported</t>
  </si>
  <si>
    <t>12/30/1899 5:13:00 AM</t>
  </si>
  <si>
    <t>12/30/1899 3:58:00 AM</t>
  </si>
  <si>
    <t>12/30/1899 1:46:00 PM</t>
  </si>
  <si>
    <t>Illness (heart attack, stroke, etc.); Running off road</t>
  </si>
  <si>
    <t>12/30/1899 12:46:00 PM</t>
  </si>
  <si>
    <t>Lap belt and shoulder harness used, None used</t>
  </si>
  <si>
    <t>CARELESS DRIVING., ADULT SEATBELT VIOLATION ---- AFTER 9/1/73</t>
  </si>
  <si>
    <t>12/30/1899 1:40:00 AM</t>
  </si>
  <si>
    <t>Other non-collision</t>
  </si>
  <si>
    <t>Equipment failure ( tires, brakes, etc. ), Other non-collision</t>
  </si>
  <si>
    <t>None; Not applicable</t>
  </si>
  <si>
    <t>12/30/1899 10:15:00 PM</t>
  </si>
  <si>
    <t>12/30/1899 7:55:00 PM</t>
  </si>
  <si>
    <t>None; Power train</t>
  </si>
  <si>
    <t>Followed too closely; None</t>
  </si>
  <si>
    <t>Guardrail end</t>
  </si>
  <si>
    <t>Guardrail end, Ran off road right</t>
  </si>
  <si>
    <t>Crossover related</t>
  </si>
  <si>
    <t>12/30/1899 5:30:00 AM</t>
  </si>
  <si>
    <t>12/30/1899 1:05:00 AM</t>
  </si>
  <si>
    <t>12/30/1899 6:28:00 PM</t>
  </si>
  <si>
    <t>12/30/1899 12:42:00 PM</t>
  </si>
  <si>
    <t>12/30/1899 9:05:00 AM</t>
  </si>
  <si>
    <t>12/30/1899 9:45:00 PM</t>
  </si>
  <si>
    <t>None; Over-correcting/over-steering</t>
  </si>
  <si>
    <t>12/30/1899 11:45:00 PM</t>
  </si>
  <si>
    <t>12/30/1899 5:15:00 PM</t>
  </si>
  <si>
    <t>12/30/1899 1:10:00 PM</t>
  </si>
  <si>
    <t>Animal - domestic</t>
  </si>
  <si>
    <t>12/30/1899 6:56:00 PM</t>
  </si>
  <si>
    <t>Mini-van/passenger van with seats for 8 or less, including driver; Passenger car</t>
  </si>
  <si>
    <t>Yield sign</t>
  </si>
  <si>
    <t>Cloudy, Sleet, hail ( freezing rain or drizzle )</t>
  </si>
  <si>
    <t>12/30/1899 9:24:00 AM</t>
  </si>
  <si>
    <t>Driving too fast for conditions; None; Running off road</t>
  </si>
  <si>
    <t>NO VALID DL, OVERDRIVING ROAD CONDITIONS</t>
  </si>
  <si>
    <t>12/30/1899 7:32:00 PM</t>
  </si>
  <si>
    <t>12/30/1899 12:35:00 PM</t>
  </si>
  <si>
    <t>12/30/1899 6:27:00 PM</t>
  </si>
  <si>
    <t>12/30/1899 7:45:00 AM</t>
  </si>
  <si>
    <t>12/30/1899 11:37:00 AM</t>
  </si>
  <si>
    <t>Distracted (list distraction in narrative); Fatigued/asleep</t>
  </si>
  <si>
    <t>12/30/1899 1:00:00 PM</t>
  </si>
  <si>
    <t>Delineator post, Overturn/rollover, Ran off road right</t>
  </si>
  <si>
    <t>Ditch, Fence, Ran off road right</t>
  </si>
  <si>
    <t>12/30/1899 11:00:00 AM</t>
  </si>
  <si>
    <t>Fence, Overturn/rollover, Ran off road left, Ran off road right</t>
  </si>
  <si>
    <t>Fatigued/asleep; Over-correcting/over-steering</t>
  </si>
  <si>
    <t>12/30/1899 7:10:00 PM</t>
  </si>
  <si>
    <t>12/30/1899 7:14:00 PM</t>
  </si>
  <si>
    <t>12/30/1899 3:59:00 PM</t>
  </si>
  <si>
    <t>Drinking; Drugs-medication</t>
  </si>
  <si>
    <t>DUI, LANE DRIVING REQUIRED / ILLEGAL LANE CHANGE</t>
  </si>
  <si>
    <t>0.07 BAC</t>
  </si>
  <si>
    <t>12/30/1899 5:40:00 AM</t>
  </si>
  <si>
    <t>Overturn/rollover, Ran off road left, Ran off road right</t>
  </si>
  <si>
    <t>12/30/1899 7:00:00 AM</t>
  </si>
  <si>
    <t>Concrete traffic barrier, Guardrail face, Ran off road left</t>
  </si>
  <si>
    <t>12/30/1899 12:00:00 AM</t>
  </si>
  <si>
    <t>Animal  - wild, Overturn/rollover, Ran off road right</t>
  </si>
  <si>
    <t>12/30/1899 12:45:00 PM</t>
  </si>
  <si>
    <t>12/30/1899 2:45:00 AM</t>
  </si>
  <si>
    <t>12/30/1899 5:37:00 AM</t>
  </si>
  <si>
    <t>Jackknife, Overturn/rollover, Ran off road left, Separation of units</t>
  </si>
  <si>
    <t>Changing lanes, Overtaking/passing</t>
  </si>
  <si>
    <t>12/30/1899 9:45:00 AM</t>
  </si>
  <si>
    <t>Test not given, 0.00 BAC</t>
  </si>
  <si>
    <t>Driveway access related</t>
  </si>
  <si>
    <t>Improper turn; None</t>
  </si>
  <si>
    <t>UNSAFE U-TURN / NO U TURN IN NO PASS ZONE</t>
  </si>
  <si>
    <t>12/30/1899 2:02:00 PM</t>
  </si>
  <si>
    <t>12/30/1899 7:52:00 AM</t>
  </si>
  <si>
    <t>Ran off road right, Snow bank</t>
  </si>
  <si>
    <t>Delineator post, Overturn/rollover, Ran off road left</t>
  </si>
  <si>
    <t>12/30/1899 9:06:00 PM</t>
  </si>
  <si>
    <t>Ditch, Overturn/rollover, Ran off road left</t>
  </si>
  <si>
    <t>Improper passing; None</t>
  </si>
  <si>
    <t>12/30/1899 7:01:00 PM</t>
  </si>
  <si>
    <t>Guardrail face, Motor vehicle in transport, Ran off road right</t>
  </si>
  <si>
    <t>MINNEHAHA</t>
  </si>
  <si>
    <t>05T2 (I-90 EB) - MP 377-390</t>
  </si>
  <si>
    <t>12/30/1899 3:21:00 PM</t>
  </si>
  <si>
    <t>12/30/1899 4:59:00 PM</t>
  </si>
  <si>
    <t>Driving too fast for conditions; Over-correcting/over-steering</t>
  </si>
  <si>
    <t>12/30/1899 7:20:00 PM</t>
  </si>
  <si>
    <t>12/30/1899 2:37:00 PM</t>
  </si>
  <si>
    <t>12/30/1899 3:09:00 AM</t>
  </si>
  <si>
    <t>Changing lanes</t>
  </si>
  <si>
    <t>12/30/1899 12:01:00 AM</t>
  </si>
  <si>
    <t>Drinking; Improper lane change</t>
  </si>
  <si>
    <t>DUI, CARELESS DRIVING.</t>
  </si>
  <si>
    <t>0.16 BAC</t>
  </si>
  <si>
    <t>12/30/1899 7:15:00 AM</t>
  </si>
  <si>
    <t>Delineator post, Fence, Ran off road right</t>
  </si>
  <si>
    <t>Distracted (list distraction in narrative); Failure to keep in proper lane; None</t>
  </si>
  <si>
    <t>12/30/1899 12:39:00 PM</t>
  </si>
  <si>
    <t>Bridge rail, Fence, Ran off road right</t>
  </si>
  <si>
    <t>12/30/1899 2:55:00 AM</t>
  </si>
  <si>
    <t>DUI, OVERDRIVING ROAD CONDITIONS</t>
  </si>
  <si>
    <t>0.08 BAC</t>
  </si>
  <si>
    <t>12/30/1899 11:19:00 AM</t>
  </si>
  <si>
    <t>Bridge rail, Overturn/rollover, Ran off road right</t>
  </si>
  <si>
    <t>NO VALID DL</t>
  </si>
  <si>
    <t>12/30/1899 9:55:00 PM</t>
  </si>
  <si>
    <t>12/30/1899 4:10:00 PM</t>
  </si>
  <si>
    <t>12/30/1899 6:08:00 PM</t>
  </si>
  <si>
    <t>FAILURE TO MAINTAIN FINANCIAL RESPONSIBILITY</t>
  </si>
  <si>
    <t>12/30/1899 2:15:00 PM</t>
  </si>
  <si>
    <t>12/30/1899 6:03:00 AM</t>
  </si>
  <si>
    <t>12/30/1899 5:27:00 AM</t>
  </si>
  <si>
    <t>12/30/1899 8:37:00 PM</t>
  </si>
  <si>
    <t>Single-unit truck (3 or more axles); SUV ( sport utility/suburban )</t>
  </si>
  <si>
    <t>12/30/1899 10:01:00 AM</t>
  </si>
  <si>
    <t>Motor vehicle in transport, Motor vehicle used as equipment ( snowplow plowing )</t>
  </si>
  <si>
    <t>Motor vehicle used as equipment ( snowplow plowing )</t>
  </si>
  <si>
    <t>Motor vehicle in transport, Motor vehicle used as equipment ( snowplow plowing ), Ran off road right</t>
  </si>
  <si>
    <t>12/30/1899 7:20:00 AM</t>
  </si>
  <si>
    <t>Motor vehicle in transport, Ran off road left, Ran off road right</t>
  </si>
  <si>
    <t>0.00 BAC, 0.00 BAC</t>
  </si>
  <si>
    <t>Slowing in traffic lane</t>
  </si>
  <si>
    <t>12/30/1899 11:53:00 AM</t>
  </si>
  <si>
    <t>Jackknife, Motor vehicle in transport</t>
  </si>
  <si>
    <t>Test not given, Test not given, Test not given</t>
  </si>
  <si>
    <t>Northbound</t>
  </si>
  <si>
    <t>12/30/1899 2:30:00 AM</t>
  </si>
  <si>
    <t>Gravel</t>
  </si>
  <si>
    <t>Tree/shrubbery</t>
  </si>
  <si>
    <t>County Road</t>
  </si>
  <si>
    <t>Rural Local Road</t>
  </si>
  <si>
    <t>Ran off road left, Tree/shrubbery</t>
  </si>
  <si>
    <t>Failure to Report Accident Immediately</t>
  </si>
  <si>
    <t>12/30/1899 1:57:00 PM</t>
  </si>
  <si>
    <t>Cross median/centerline, Guardrail face, Jackknife, Ran off road left</t>
  </si>
  <si>
    <t>12/30/1899 1:40:00 PM</t>
  </si>
  <si>
    <t>Lap belt and shoulder harness used, Lap belt only used</t>
  </si>
  <si>
    <t>Ditch, Guardrail face, Overturn/rollover, Ran off road right</t>
  </si>
  <si>
    <t>Rain, Severe crosswinds</t>
  </si>
  <si>
    <t>12/30/1899 4:35:00 PM</t>
  </si>
  <si>
    <t>Guardrail face, Overturn/rollover</t>
  </si>
  <si>
    <t>12/30/1899 9:15:00 AM</t>
  </si>
  <si>
    <t>Guardrail end, Overturn/rollover, Ran off road right</t>
  </si>
  <si>
    <t>0.00 BAC, Not reported, Not reported, Not reported, Not reported</t>
  </si>
  <si>
    <t>12/30/1899 10:12:00 PM</t>
  </si>
  <si>
    <t>12/30/1899 4:40:00 AM</t>
  </si>
  <si>
    <t>Dark - unknown roadway lighting</t>
  </si>
  <si>
    <t>12/30/1899 9:40:00 AM</t>
  </si>
  <si>
    <t>Frost</t>
  </si>
  <si>
    <t>12/30/1899 8:02:00 PM</t>
  </si>
  <si>
    <t>12/30/1899 7:25:00 PM</t>
  </si>
  <si>
    <t>12/30/1899 10:58:00 AM</t>
  </si>
  <si>
    <t>12/30/1899 5:10:00 AM</t>
  </si>
  <si>
    <t>12/30/1899 7:02:00 AM</t>
  </si>
  <si>
    <t>12/30/1899 6:22:00 PM</t>
  </si>
  <si>
    <t>12/30/1899 9:56:00 AM</t>
  </si>
  <si>
    <t>12/30/1899 6:15:00 PM</t>
  </si>
  <si>
    <t>12/30/1899 11:40:00 AM</t>
  </si>
  <si>
    <t>12/30/1899 5:20:00 AM</t>
  </si>
  <si>
    <t>12/30/1899 9:51:00 PM</t>
  </si>
  <si>
    <t>12/30/1899 9:59:00 PM</t>
  </si>
  <si>
    <t>12/30/1899 5:00:00 AM</t>
  </si>
  <si>
    <t>12/30/1899 3:03:00 AM</t>
  </si>
  <si>
    <t>12/30/1899 9:34:00 PM</t>
  </si>
  <si>
    <t>12/30/1899 6:05:00 PM</t>
  </si>
  <si>
    <t>Distracted (list distraction in narrative); Followed too closely; None</t>
  </si>
  <si>
    <t>12/30/1899 7:23:00 AM</t>
  </si>
  <si>
    <t>12/30/1899 11:49:00 PM</t>
  </si>
  <si>
    <t>12/30/1899 5:35:00 AM</t>
  </si>
  <si>
    <t>12/30/1899 10:13:00 PM</t>
  </si>
  <si>
    <t>Motor home; Passenger car</t>
  </si>
  <si>
    <t>12/30/1899 4:20:00 AM</t>
  </si>
  <si>
    <t>DRIVERS LICENSE CANCELLED</t>
  </si>
  <si>
    <t>12/30/1899 1:35:00 PM</t>
  </si>
  <si>
    <t>Guardrail face, Ran off road left, Ran off road right</t>
  </si>
  <si>
    <t>12/30/1899 9:20:00 AM</t>
  </si>
  <si>
    <t>12/30/1899 1:16:00 PM</t>
  </si>
  <si>
    <t>12/30/1899 10:15:00 AM</t>
  </si>
  <si>
    <t>12/30/1899 4:05:00 AM</t>
  </si>
  <si>
    <t>Eye protection only</t>
  </si>
  <si>
    <t>Cargo; None</t>
  </si>
  <si>
    <t>12/30/1899 5:22:00 PM</t>
  </si>
  <si>
    <t>Cargo/equipment loss or shift, Motor vehicle in transport</t>
  </si>
  <si>
    <t>Light truck (2 axles, 4 tires); Single-unit truck (3 or more axles)</t>
  </si>
  <si>
    <t>12/30/1899 2:15:00 AM</t>
  </si>
  <si>
    <t>12/30/1899 4:38:00 PM</t>
  </si>
  <si>
    <t>Ditch, Jackknife, Ran off road right</t>
  </si>
  <si>
    <t>12/30/1899 6:44:00 AM</t>
  </si>
  <si>
    <t>12/30/1899 4:55:00 AM</t>
  </si>
  <si>
    <t>12/30/1899 5:34:00 AM</t>
  </si>
  <si>
    <t>Equipment failure ( tires, brakes, etc. ), Ran off road left, Snow bank</t>
  </si>
  <si>
    <t>12/30/1899 8:35:00 PM</t>
  </si>
  <si>
    <t>12/30/1899 7:52:00 PM</t>
  </si>
  <si>
    <t>12/30/1899 5:05:00 PM</t>
  </si>
  <si>
    <t>12/30/1899 8:20:00 PM</t>
  </si>
  <si>
    <t>12/30/1899 4:06:00 AM</t>
  </si>
  <si>
    <t>Cargo/equipment loss or shift, Ditch, Overturn/rollover, Ran off road right</t>
  </si>
  <si>
    <t>12/30/1899 8:34:00 PM</t>
  </si>
  <si>
    <t>Stopped in traffic lane, Straight ahead</t>
  </si>
  <si>
    <t>12/30/1899 2:08:00 PM</t>
  </si>
  <si>
    <t>Distracted (list distraction in narrative); Driving too fast for conditions; None</t>
  </si>
  <si>
    <t>12/30/1899 1:50:00 PM</t>
  </si>
  <si>
    <t>Drugs-medication; Running off road</t>
  </si>
  <si>
    <t>DUI</t>
  </si>
  <si>
    <t>Failure to keep in proper lane; Fatigued/asleep</t>
  </si>
  <si>
    <t>Cross median/centerline, Ditch</t>
  </si>
  <si>
    <t>Curve and hill crest</t>
  </si>
  <si>
    <t>12/30/1899 4:53:00 PM</t>
  </si>
  <si>
    <t>12/30/1899 10:02:00 PM</t>
  </si>
  <si>
    <t>12/30/1899 11:21:00 AM</t>
  </si>
  <si>
    <t>Cross median/centerline, Ditch, Equipment failure ( tires, brakes, etc. )</t>
  </si>
  <si>
    <t>Curve on grade</t>
  </si>
  <si>
    <t>12/30/1899 2:10:00 AM</t>
  </si>
  <si>
    <t>12/30/1899 10:49:00 AM</t>
  </si>
  <si>
    <t>DRIVERS LICENSE SUSPENDED, OVERDRIVING ROAD CONDITIONS, FINANCIAL RESPONSIBILITY - OWNER</t>
  </si>
  <si>
    <t>12/30/1899 12:55:00 AM</t>
  </si>
  <si>
    <t>Sleet, hail ( freezing rain or drizzle ), Severe crosswinds</t>
  </si>
  <si>
    <t>12/30/1899 1:09:00 PM</t>
  </si>
  <si>
    <t>Cargo/equipment loss or shift</t>
  </si>
  <si>
    <t>Cargo/equipment loss or shift, Ran off road right, Separation of units</t>
  </si>
  <si>
    <t>12/30/1899 9:42:00 PM</t>
  </si>
  <si>
    <t>12/30/1899 7:47:00 PM</t>
  </si>
  <si>
    <t>12/30/1899 1:08:00 AM</t>
  </si>
  <si>
    <t>Fence, Ran off road right, Tree/shrubbery</t>
  </si>
  <si>
    <t>12/30/1899 7:16:00 AM</t>
  </si>
  <si>
    <t>12/30/1899 9:21:00 AM</t>
  </si>
  <si>
    <t>12/30/1899 11:35:00 PM</t>
  </si>
  <si>
    <t>12/30/1899 9:41:00 AM</t>
  </si>
  <si>
    <t>12/30/1899 8:18:00 AM</t>
  </si>
  <si>
    <t>12/30/1899 11:50:00 PM</t>
  </si>
  <si>
    <t>12/30/1899 12:18:00 AM</t>
  </si>
  <si>
    <t>12/30/1899 1:55:00 PM</t>
  </si>
  <si>
    <t>12/30/1899 5:13:00 PM</t>
  </si>
  <si>
    <t>05T3 (I-90 WB) - MP 377-390</t>
  </si>
  <si>
    <t>12/30/1899 12:56:00 AM</t>
  </si>
  <si>
    <t>12/30/1899 6:43:00 PM</t>
  </si>
  <si>
    <t>Improper lane change; Improper passing; None</t>
  </si>
  <si>
    <t>Drinking; Running off road</t>
  </si>
  <si>
    <t>DUI, CARELESS DRIVING., OPEN CONTAINER IN VEHICLE</t>
  </si>
  <si>
    <t>0.10 BAC</t>
  </si>
  <si>
    <t>12/30/1899 6:06:00 AM</t>
  </si>
  <si>
    <t>12/30/1899 6:46:00 PM</t>
  </si>
  <si>
    <t>12/30/1899 9:22:00 PM</t>
  </si>
  <si>
    <t>12/30/1899 1:48:00 PM</t>
  </si>
  <si>
    <t>12/30/1899 6:41:00 PM</t>
  </si>
  <si>
    <t>12/30/1899 10:20:00 AM</t>
  </si>
  <si>
    <t>12/30/1899 12:00:00 PM</t>
  </si>
  <si>
    <t>12/30/1899 12:15:00 PM</t>
  </si>
  <si>
    <t>12/30/1899 7:21:00 AM</t>
  </si>
  <si>
    <t>12/30/1899 7:55:00 AM</t>
  </si>
  <si>
    <t>12/30/1899 9:29:00 PM</t>
  </si>
  <si>
    <t>12/30/1899 6:34:00 AM</t>
  </si>
  <si>
    <t>12/30/1899 1:56:00 PM</t>
  </si>
  <si>
    <t>12/30/1899 8:14:00 PM</t>
  </si>
  <si>
    <t>12/30/1899 1:31:00 AM</t>
  </si>
  <si>
    <t>Ditch, Jackknife</t>
  </si>
  <si>
    <t>12/30/1899 10:50:00 AM</t>
  </si>
  <si>
    <t>Not applicable; Weather conditions</t>
  </si>
  <si>
    <t>Parked, Straight ahead</t>
  </si>
  <si>
    <t>Not on roadway ( also use for parked motor vehicle ); Westbound</t>
  </si>
  <si>
    <t>12/30/1899 6:35:00 AM</t>
  </si>
  <si>
    <t>Not applicable; Road surface condition ( wet, icy, snow, slush, etc. )</t>
  </si>
  <si>
    <t>Not reported, Parked motor vehicle</t>
  </si>
  <si>
    <t>Parked motor vehicle</t>
  </si>
  <si>
    <t>Jackknife, Parked motor vehicle, Ran off road right</t>
  </si>
  <si>
    <t>Driving too fast for conditions; None; Not applicable</t>
  </si>
  <si>
    <t>0.00 BAC, Not applicable</t>
  </si>
  <si>
    <t>12/30/1899 4:23:00 AM</t>
  </si>
  <si>
    <t>12/30/1899 2:25:00 PM</t>
  </si>
  <si>
    <t>12/30/1899 2:06:00 PM</t>
  </si>
  <si>
    <t>Ditch, Jackknife, Ran off road left</t>
  </si>
  <si>
    <t>12/30/1899 7:24:00 PM</t>
  </si>
  <si>
    <t>12/30/1899 11:17:00 PM</t>
  </si>
  <si>
    <t>12/30/1899 1:53:00 PM</t>
  </si>
  <si>
    <t>Cross median/centerline, Ditch, Ran off road left</t>
  </si>
  <si>
    <t>Turning right</t>
  </si>
  <si>
    <t>All terrain vehicle / 4 wheeler</t>
  </si>
  <si>
    <t>T- intersection</t>
  </si>
  <si>
    <t>DUI, CARELESS DRIVING., ADULT SEATBELT VIOLATION ---- AFTER 9/1/73, OPEN CONTAINER IN VEHICLE</t>
  </si>
  <si>
    <t>None; Not reported</t>
  </si>
  <si>
    <t>12/30/1899 1:55:00 AM</t>
  </si>
  <si>
    <t>Cross median/centerline, Guardrail face, Ran off road left</t>
  </si>
  <si>
    <t>LANE DRIVING REQUIRED / ILLEGAL LANE CHANGE, ADULT SEATBELT VIOLATION ---- AFTER 9/1/73</t>
  </si>
  <si>
    <t>12/30/1899 10:32:00 AM</t>
  </si>
  <si>
    <t>12/30/1899 11:15:00 AM</t>
  </si>
  <si>
    <t>12/30/1899 3:07:00 PM</t>
  </si>
  <si>
    <t>12/30/1899 5:46:00 PM</t>
  </si>
  <si>
    <t>12/30/1899 9:10:00 PM</t>
  </si>
  <si>
    <t>Overtaking/passing</t>
  </si>
  <si>
    <t>12/30/1899 7:05:00 PM</t>
  </si>
  <si>
    <t>12/30/1899 5:43:00 AM</t>
  </si>
  <si>
    <t>Rural Major Collector</t>
  </si>
  <si>
    <t>12/30/1899 4:43:00 AM</t>
  </si>
  <si>
    <t>12/30/1899 8:08:00 PM</t>
  </si>
  <si>
    <t>Test not given, Not reported, Not reported, Test not given</t>
  </si>
  <si>
    <t>Cargo</t>
  </si>
  <si>
    <t>Bridge overhead structure</t>
  </si>
  <si>
    <t>Illegally in roadway; None</t>
  </si>
  <si>
    <t>OVERWEIGHT VEHICLES</t>
  </si>
  <si>
    <t>12/30/1899 12:46:00 AM</t>
  </si>
  <si>
    <t>12/30/1899 6:12:00 AM</t>
  </si>
  <si>
    <t>Highway traffic sign post/sign, Jackknife, Ran off road left</t>
  </si>
  <si>
    <t>Passenger car; Tractor/doubles</t>
  </si>
  <si>
    <t>12/30/1899 7:40:00 AM</t>
  </si>
  <si>
    <t>FAIL TO YIELD AT YIELD SIGN</t>
  </si>
  <si>
    <t>Drinking; Over-correcting/over-steering</t>
  </si>
  <si>
    <t>0.12 BAC</t>
  </si>
  <si>
    <t>12/30/1899 3:38:00 PM</t>
  </si>
  <si>
    <t>12/30/1899 7:32:00 AM</t>
  </si>
  <si>
    <t>12/30/1899 4:55:00 PM</t>
  </si>
  <si>
    <t>DROPING, SIFTING, OR LEAKING LOAD., NO VALID DL</t>
  </si>
  <si>
    <t>12/30/1899 3:25:00 PM</t>
  </si>
  <si>
    <t>12/30/1899 2:20:00 AM</t>
  </si>
  <si>
    <t>12/30/1899 10:48:00 AM</t>
  </si>
  <si>
    <t>12/30/1899 6:48:00 AM</t>
  </si>
  <si>
    <t>Parked motor vehicle, Ran off road left</t>
  </si>
  <si>
    <t>Failure to keep in proper lane; None; Not applicable; Running off road</t>
  </si>
  <si>
    <t>Test not given, Not applicable</t>
  </si>
  <si>
    <t>12/30/1899 8:49:00 AM</t>
  </si>
  <si>
    <t>Other</t>
  </si>
  <si>
    <t>12/30/1899 10:05:00 PM</t>
  </si>
  <si>
    <t>Fire/explosion</t>
  </si>
  <si>
    <t>Equipment failure ( tires, brakes, etc. ), Fire/explosion</t>
  </si>
  <si>
    <t>Power train</t>
  </si>
  <si>
    <t>12/30/1899 3:13:00 PM</t>
  </si>
  <si>
    <t>12/30/1899 1:43:00 PM</t>
  </si>
  <si>
    <t>12/30/1899 12:02:00 AM</t>
  </si>
  <si>
    <t>12/30/1899 6:54:00 PM</t>
  </si>
  <si>
    <t>MAXIMUM HEIGHT ON VEHICLES (14 FT)</t>
  </si>
  <si>
    <t>Clear, Cloudy</t>
  </si>
  <si>
    <t>12/30/1899 7:38:00 PM</t>
  </si>
  <si>
    <t>12/30/1899 2:09:00 PM</t>
  </si>
  <si>
    <t>Traffic control signal</t>
  </si>
  <si>
    <t>Following too Closely</t>
  </si>
  <si>
    <t>Road surface condition ( wet, icy, snow, slush, etc. ); Unknown</t>
  </si>
  <si>
    <t>FINANCIAL RESPONSIBILITY - SUMMONS TO NONDRIVER OWNER, ADULT SEATBELT VIOLATION ---- AFTER 9/1/73</t>
  </si>
  <si>
    <t>12/30/1899 3:37:00 PM</t>
  </si>
  <si>
    <t>12/30/1899 6:10:00 PM</t>
  </si>
  <si>
    <t>Ditch, Motor vehicle in transport, Ran off road left</t>
  </si>
  <si>
    <t>Test not given, Test not given, Test not given, Test not given</t>
  </si>
  <si>
    <t>Passenger car; Single-unit truck (3 or more axles)</t>
  </si>
  <si>
    <t>Dark - lighted roadway</t>
  </si>
  <si>
    <t>12/30/1899 2:20:00 PM</t>
  </si>
  <si>
    <t>Straight ahead, Turning left</t>
  </si>
  <si>
    <t>12/30/1899 11:32:00 AM</t>
  </si>
  <si>
    <t>Improper lane change; None; Other</t>
  </si>
  <si>
    <t>ILLEGAL BARRIER OR MEDIAN CROSSING</t>
  </si>
  <si>
    <t>12/30/1899 3:45:00 PM</t>
  </si>
  <si>
    <t>Jackknife, Motor vehicle in transport, Ran off road left</t>
  </si>
  <si>
    <t>Motor home; Tractor/mobile home</t>
  </si>
  <si>
    <t>None; Wheels</t>
  </si>
  <si>
    <t>12/30/1899 11:35:00 AM</t>
  </si>
  <si>
    <t>12/30/1899 5:51:00 PM</t>
  </si>
  <si>
    <t>Bridge rail, Motor vehicle in transport</t>
  </si>
  <si>
    <t>Bridge rail, Guardrail face, Motor vehicle in transport</t>
  </si>
  <si>
    <t>0.00 BAC, 0.03 BAC</t>
  </si>
  <si>
    <t>0.06 BAC</t>
  </si>
  <si>
    <t>12/30/1899 10:26:00 AM</t>
  </si>
  <si>
    <t>Physical impairment; Running off road</t>
  </si>
  <si>
    <t>0.15 BAC</t>
  </si>
  <si>
    <t>12/30/1899 12:35:00 AM</t>
  </si>
  <si>
    <t>Guardrail face, Ran off road right, Tree/shrubbery</t>
  </si>
  <si>
    <t>DUI, FINANCIAL RESPONSIBILITY - OWNER</t>
  </si>
  <si>
    <t>0.07 BAC, Not reported</t>
  </si>
  <si>
    <t>12/30/1899 6:04:00 PM</t>
  </si>
  <si>
    <t>12/30/1899 2:24:00 AM</t>
  </si>
  <si>
    <t>Embankment</t>
  </si>
  <si>
    <t>Cross median/centerline, Embankment, Ran off road left</t>
  </si>
  <si>
    <t>12/30/1899 4:22:00 AM</t>
  </si>
  <si>
    <t>FAILURE TO OBSERVE MINIMUM SPEED ON INTERSTATE HIGHWAY</t>
  </si>
  <si>
    <t>0.00 BAC, Not reported, Test not given</t>
  </si>
  <si>
    <t>12/30/1899 7:07:00 AM</t>
  </si>
  <si>
    <t>12/30/1899 10:25:00 PM</t>
  </si>
  <si>
    <t>NO VALID DL, FINANCIAL RESPONSIBILITY - OWNER</t>
  </si>
  <si>
    <t>Segment Len</t>
  </si>
  <si>
    <t>Primary Hwy</t>
  </si>
  <si>
    <t>Objectid</t>
  </si>
  <si>
    <t>Near Dist</t>
  </si>
  <si>
    <t>Loc Speed Li</t>
  </si>
  <si>
    <t>Is Wild Anim</t>
  </si>
  <si>
    <t>Day of Month</t>
  </si>
  <si>
    <t>Accident Nb</t>
  </si>
  <si>
    <t>2019 Adt</t>
  </si>
  <si>
    <t>Weather</t>
  </si>
  <si>
    <t>Vision Cont</t>
  </si>
  <si>
    <t>Vehicle Man</t>
  </si>
  <si>
    <t>Vehicle Con</t>
  </si>
  <si>
    <t>Veh Contrib</t>
  </si>
  <si>
    <t>Travel Dire</t>
  </si>
  <si>
    <t>Traff Devic</t>
  </si>
  <si>
    <t>Time of Day</t>
  </si>
  <si>
    <t>Safety Equi</t>
  </si>
  <si>
    <t>Road Surfac</t>
  </si>
  <si>
    <t>Road Contri</t>
  </si>
  <si>
    <t>Road Cond De</t>
  </si>
  <si>
    <t>Ped Or Cycle</t>
  </si>
  <si>
    <t>Over Crct</t>
  </si>
  <si>
    <t>Motorcyle</t>
  </si>
  <si>
    <t>Month</t>
  </si>
  <si>
    <t>MH Evnts</t>
  </si>
  <si>
    <t>Manner Of Co</t>
  </si>
  <si>
    <t>Light Condi</t>
  </si>
  <si>
    <t>Junction</t>
  </si>
  <si>
    <t>Illness</t>
  </si>
  <si>
    <t>ID Num</t>
  </si>
  <si>
    <t>Hwy Class De</t>
  </si>
  <si>
    <t>Highway Nbr</t>
  </si>
  <si>
    <t>Func Class</t>
  </si>
  <si>
    <t>First Harmf</t>
  </si>
  <si>
    <t>Fatigue</t>
  </si>
  <si>
    <t>Evnts</t>
  </si>
  <si>
    <t>Drug</t>
  </si>
  <si>
    <t>Driver Cont</t>
  </si>
  <si>
    <t>Div Undivid</t>
  </si>
  <si>
    <t>Distract</t>
  </si>
  <si>
    <t>Day of Week</t>
  </si>
  <si>
    <t>County</t>
  </si>
  <si>
    <t>Citation</t>
  </si>
  <si>
    <t>BAC</t>
  </si>
  <si>
    <t>Alignment D</t>
  </si>
  <si>
    <t>Alcohol Use</t>
  </si>
  <si>
    <t>Accident Da</t>
  </si>
  <si>
    <t>Acc Year</t>
  </si>
  <si>
    <t>Injury Seve</t>
  </si>
  <si>
    <t>Link ID</t>
  </si>
  <si>
    <t>Longitude</t>
  </si>
  <si>
    <t>Latitude</t>
  </si>
  <si>
    <t>&lt; 10</t>
  </si>
  <si>
    <t>PCN 05T2, 2024 Construction (Replacement)</t>
  </si>
  <si>
    <t>7005</t>
  </si>
  <si>
    <t>8</t>
  </si>
  <si>
    <t>78.6</t>
  </si>
  <si>
    <t>50 MINNEHAHA</t>
  </si>
  <si>
    <t>Mitchell</t>
  </si>
  <si>
    <t>CK</t>
  </si>
  <si>
    <t>I090 E</t>
  </si>
  <si>
    <t>PCN 05T3, 2023 Construction (Replacement)</t>
  </si>
  <si>
    <t>I090 W</t>
  </si>
  <si>
    <t>Hartford exit. Plan to replace in 5 - 9 years</t>
  </si>
  <si>
    <t>3545</t>
  </si>
  <si>
    <t>70.3</t>
  </si>
  <si>
    <t>I090</t>
  </si>
  <si>
    <t>463 AVE (FAS 6353)</t>
  </si>
  <si>
    <t xml:space="preserve">&gt; 10 </t>
  </si>
  <si>
    <t>2019 04DU. Girder repair, zone paint</t>
  </si>
  <si>
    <t>20</t>
  </si>
  <si>
    <t>97.5</t>
  </si>
  <si>
    <t>461 AVE</t>
  </si>
  <si>
    <t>&lt;&lt; 10</t>
  </si>
  <si>
    <t>PCN 08DP, 2025 Construction (Deck Replacement, Approach Slabs, Rehab Abutments, Bridge Painting)</t>
  </si>
  <si>
    <t>64</t>
  </si>
  <si>
    <t>85.8</t>
  </si>
  <si>
    <t>459 AVE</t>
  </si>
  <si>
    <t>5995</t>
  </si>
  <si>
    <t>87.6</t>
  </si>
  <si>
    <t>SD019</t>
  </si>
  <si>
    <t>check Str #. PCN 05T3, 2023 Construction (Replacement)</t>
  </si>
  <si>
    <t>Poor</t>
  </si>
  <si>
    <t>50.7</t>
  </si>
  <si>
    <t>PCN 05HP, 2021 Construction</t>
  </si>
  <si>
    <t>6150</t>
  </si>
  <si>
    <t>94.7</t>
  </si>
  <si>
    <t>44 MCCOOK</t>
  </si>
  <si>
    <t>453 AVE</t>
  </si>
  <si>
    <t>PCN 05HQ, 2022 Construction</t>
  </si>
  <si>
    <t>96.7</t>
  </si>
  <si>
    <t>PCN 05HP, 2021 Construction (Bridge Replacement) 2019 Critical Finding due to exposed pile. Temporary shoring in place to enable more than 1 lane of traffic.</t>
  </si>
  <si>
    <t>7</t>
  </si>
  <si>
    <t>EAST FORK VERMILLION RV</t>
  </si>
  <si>
    <t>PCN 05HQ, 2022 Construction. Scour Critical</t>
  </si>
  <si>
    <t>3</t>
  </si>
  <si>
    <t>no work</t>
  </si>
  <si>
    <t>592</t>
  </si>
  <si>
    <t>96.9</t>
  </si>
  <si>
    <t>451 AVE (FAS 6149)</t>
  </si>
  <si>
    <t>~10</t>
  </si>
  <si>
    <t>25</t>
  </si>
  <si>
    <t>87.0</t>
  </si>
  <si>
    <t>447 AVE</t>
  </si>
  <si>
    <t>PCN 04DQ, 2023 Construction (Deck Replacement, abutment work, zone paint, appr slabs)</t>
  </si>
  <si>
    <t>328</t>
  </si>
  <si>
    <t>82.1</t>
  </si>
  <si>
    <t>445 AVE (FAS 6355)</t>
  </si>
  <si>
    <t>6085</t>
  </si>
  <si>
    <t>95.7</t>
  </si>
  <si>
    <t>448 AVE</t>
  </si>
  <si>
    <t>&gt; 25</t>
  </si>
  <si>
    <t>2021 berm work project scheduled</t>
  </si>
  <si>
    <t>1934</t>
  </si>
  <si>
    <t>97.9</t>
  </si>
  <si>
    <t>US081</t>
  </si>
  <si>
    <t>PCN 05HP, 2021 Construction (Bridge Replacement). Scour Critical</t>
  </si>
  <si>
    <t>5755</t>
  </si>
  <si>
    <t>6</t>
  </si>
  <si>
    <t>78.7</t>
  </si>
  <si>
    <t>WEST FORK VERMILLION RV</t>
  </si>
  <si>
    <t>PCN 05HQ, 2022 Construction (Bridge Replacement). Scour Critical</t>
  </si>
  <si>
    <t>service life remaining - w/o work (years)</t>
  </si>
  <si>
    <t xml:space="preserve">notes </t>
  </si>
  <si>
    <t>bridge condition</t>
  </si>
  <si>
    <t>adttotal</t>
  </si>
  <si>
    <t>chanrating</t>
  </si>
  <si>
    <t>Suff Rate</t>
  </si>
  <si>
    <t>Culv</t>
  </si>
  <si>
    <t>Sub</t>
  </si>
  <si>
    <t>Super</t>
  </si>
  <si>
    <t>Deck</t>
  </si>
  <si>
    <t>Built</t>
  </si>
  <si>
    <t>Length (ft.)</t>
  </si>
  <si>
    <t>Region</t>
  </si>
  <si>
    <t>Feature Intersected</t>
  </si>
  <si>
    <t>Bridge ID</t>
  </si>
  <si>
    <t>facility</t>
  </si>
  <si>
    <t>Route Length</t>
  </si>
  <si>
    <t>2020 Weighted AADT</t>
  </si>
  <si>
    <t>2040 Weighted AADT</t>
  </si>
  <si>
    <t>Growth Per Year</t>
  </si>
  <si>
    <t>Base Year</t>
  </si>
  <si>
    <t>VMT</t>
  </si>
  <si>
    <t>VHT</t>
  </si>
  <si>
    <t>Dual Direction</t>
  </si>
  <si>
    <t>-</t>
  </si>
  <si>
    <r>
      <t xml:space="preserve">No Build Annual VMT </t>
    </r>
    <r>
      <rPr>
        <vertAlign val="superscript"/>
        <sz val="9"/>
        <color theme="1"/>
        <rFont val="Calibri"/>
        <family val="2"/>
        <scheme val="minor"/>
      </rPr>
      <t>5</t>
    </r>
  </si>
  <si>
    <t>Build VMT Cost</t>
  </si>
  <si>
    <t>No Build VMT Cost</t>
  </si>
  <si>
    <t>VMT Cost Savings</t>
  </si>
  <si>
    <t>2016-2020 VMT for Crash Rate</t>
  </si>
  <si>
    <t>2020 AADT</t>
  </si>
  <si>
    <t>Single Direction</t>
  </si>
  <si>
    <t>x</t>
  </si>
  <si>
    <t>2040 VMT @ 65 MPH</t>
  </si>
  <si>
    <t>2040 VMT @ 80 MPH</t>
  </si>
  <si>
    <t>2040 VMT</t>
  </si>
  <si>
    <t>2020 VMT @ 65 MPH</t>
  </si>
  <si>
    <t>2020 VMT @ 80 MPH</t>
  </si>
  <si>
    <t>2020 VMT</t>
  </si>
  <si>
    <t>Cost Difference</t>
  </si>
  <si>
    <t>Difference</t>
  </si>
  <si>
    <t>090 E2</t>
  </si>
  <si>
    <t>090 W2</t>
  </si>
  <si>
    <t>090 E1</t>
  </si>
  <si>
    <t>090 W1</t>
  </si>
  <si>
    <t>05HQ</t>
  </si>
  <si>
    <t>Augmented Segment Length</t>
  </si>
  <si>
    <t>Evaluation AADT</t>
  </si>
  <si>
    <t>Shape_Leng</t>
  </si>
  <si>
    <t>AdtTruckNb</t>
  </si>
  <si>
    <t>Adt35YrPro</t>
  </si>
  <si>
    <t>Adt30YrPro</t>
  </si>
  <si>
    <t>Adt25YrPro</t>
  </si>
  <si>
    <t>Adt20YrPro</t>
  </si>
  <si>
    <t>SegmentLen</t>
  </si>
  <si>
    <t>HighwayNbr</t>
  </si>
  <si>
    <t>LINK ID</t>
  </si>
  <si>
    <t>05T2</t>
  </si>
  <si>
    <t>05T3</t>
  </si>
  <si>
    <t>Construction Start</t>
  </si>
  <si>
    <t>Construction End</t>
  </si>
  <si>
    <t>ECONOMIC COMPETITIVENESS - USER BENEFIT CALCULATION OF REGIONAL TRAVEL TIME CHANGE - CONSTRUCTION</t>
  </si>
  <si>
    <t>Truck Data*</t>
  </si>
  <si>
    <t>Auto Vehicle Operating Cost - Roughness</t>
  </si>
  <si>
    <t>Truck Vehicle Operating Cost - Roughness</t>
  </si>
  <si>
    <t>Aggregate Vehicle Operating Cost - Roughness</t>
  </si>
  <si>
    <t>Table 1 - Per-mile Operating Cost</t>
  </si>
  <si>
    <t>28 Mile Corridor Wide 2040 AADT</t>
  </si>
  <si>
    <t xml:space="preserve">2020 Segment AADT PCN 05HQ (I-90 WB) </t>
  </si>
  <si>
    <t xml:space="preserve">2040 Segment AADT PCN 05HQ (I-90 WB) </t>
  </si>
  <si>
    <t xml:space="preserve">% Truck Segment AADT PCN 05HQ (I-90 WB) </t>
  </si>
  <si>
    <t>Travel Time</t>
  </si>
  <si>
    <t>Build Input Variables - Detour 2 (2030-2044)</t>
  </si>
  <si>
    <t>Build Input Variables - Detour 1 (2025-2030)</t>
  </si>
  <si>
    <t>No-Build Input Variables - Detour 1 (2025-2030)</t>
  </si>
  <si>
    <t>Eastbound Summary</t>
  </si>
  <si>
    <t>Westbound Summary</t>
  </si>
  <si>
    <t>No-Build Input Variables - Detour 2 (2030-2044)</t>
  </si>
  <si>
    <t>Vehicle Hours Traveled (VHT)</t>
  </si>
  <si>
    <t>Vehicle Miles Traveled (VMT)</t>
  </si>
  <si>
    <t>Total Detour Summary</t>
  </si>
  <si>
    <t>Westbound Summary*</t>
  </si>
  <si>
    <t>*Analysis only applies to westbound direction of travel</t>
  </si>
  <si>
    <t>Truck percentage was estimated based on existing daily traffic and truck volumes obtained for the I-90 corridor from the SDDOT Interactive Needs Book (https://apps.sd.gov/hr53needsbook/).</t>
  </si>
  <si>
    <t>No Build and Build VHT for years between 2020 and 2040 were interpolated based on a linear annual growth rate, and VHT for years between 2020 and 2040 were extrapolated based on the same growth rate.</t>
  </si>
  <si>
    <t>Vehicle occupancy ratios awere obtained from Federal Highway Administration Highway Statistics and are consistent with Benefit-Cost Analysis Guidance for Discretionary Grant Programs - February 2021; Table A-4: Average Vehicle Occupancy Rates for Highway Passenger Vehicles (https://www.transportation.gov/sites/dot.gov/files/2021-02/Benefit%20Cost%20Analysis%20Guidance%202021.pdf).</t>
  </si>
  <si>
    <t>Existing and 20-year forecast daily traffic volumes were obtained for the I-90 corridor from the SDDOT Interactive Needs Book (https://apps.sd.gov/hr53needsbook/).  Average travel time per vehicle data was obtained from google maps. Year 2020 and 2040 VHT and VMT for each alternative were calculated using AADT information, average corridor travel time per vehicle, and an assumed 365 analysis days in a year.</t>
  </si>
  <si>
    <t>ECONOMIC COMPETITIVENESS - USER BENEFIT CALCULATION OF REGIONAL TRAVEL TIME CHANGE DUE TO DETOUR</t>
  </si>
  <si>
    <t>Weighted AADT For Crash Rate</t>
  </si>
  <si>
    <t>Crash Severity By Segment</t>
  </si>
  <si>
    <t>Count</t>
  </si>
  <si>
    <t>PD</t>
  </si>
  <si>
    <t>Location</t>
  </si>
  <si>
    <t>Table 1 - Per-mile Operating Cost by Mode</t>
  </si>
  <si>
    <t>Table 2 - Fleet Composition</t>
  </si>
  <si>
    <t>Table 3 - Per-mile Operating Cost</t>
  </si>
  <si>
    <t>CMF / CRF DETAILS</t>
  </si>
  <si>
    <t>CMF ID: 4613</t>
  </si>
  <si>
    <t>CMF - Applicable to All Crashes</t>
  </si>
  <si>
    <t>Table 3 - Flatten Sideslope From 1V:3H TO 1V:4H</t>
  </si>
  <si>
    <t>Length (mi)</t>
  </si>
  <si>
    <t>Build VHT</t>
  </si>
  <si>
    <t>No Build VHT</t>
  </si>
  <si>
    <t>Table 1 - Per-mile Travel Time Cost by Mode</t>
  </si>
  <si>
    <t>Table 5 - Travel Time Delay Due to Construction</t>
  </si>
  <si>
    <t>2040 AADT</t>
  </si>
  <si>
    <t>Table 1 - Crash Costs by Severity</t>
  </si>
  <si>
    <t>2017 No Build Crash Cost</t>
  </si>
  <si>
    <t>2040 No Build Crash Cost</t>
  </si>
  <si>
    <t>Existing and 20-year forecast daily traffic volumes associated with crash rates on I-90 were obtained from a SDDOT crash database file to accurately associate AADT with crashes in associated segments. To view this data and for further details, refer to the following analysis tool developed by SRF Consulting Group: https://public.tableau.com/views/S_DakotaInfraGrantBCA/I-90CrashHistoryAnalysis2016-2020?:language=en&amp;:useGuest=true&amp;:display_count=y&amp;:origin=viz_share_link</t>
  </si>
  <si>
    <t>CMF</t>
  </si>
  <si>
    <t>EB - I90 Entrance @ 151</t>
  </si>
  <si>
    <t>EB - I90 Entrance @ 456th</t>
  </si>
  <si>
    <t>WB - I90 Entrance @ 151</t>
  </si>
  <si>
    <t>WB - I90 Entrance @ 445th</t>
  </si>
  <si>
    <t>WB - I90 Entrance @ 451st</t>
  </si>
  <si>
    <t>WB - I90 Entrance @ 456th</t>
  </si>
  <si>
    <t>Change In Length (ft)</t>
  </si>
  <si>
    <t>Table 2 - AADT Summary</t>
  </si>
  <si>
    <t>Table 5 - Impacts of Costs Due to Closures</t>
  </si>
  <si>
    <t>Existing and 20-year forecast daily traffic volumes associated with crash rates on I-90 were obtained from a SDDOT crash database file to accurately associate AADT with crashes in associated segments. To view this data and for further details, refer to the following analysis tool developed by SRF Consulting Group: https://public.tableau.com/views/S_DakotaInfraGrantBCA/I-90CrashHistoryAnalysis2016-2020?:language=en&amp;:retry=yes&amp;:display_count=y&amp;:origin=viz_share_link</t>
  </si>
  <si>
    <t>User travel time benefits for years 2020 and 2040 were valued in accordance with the Benefit-Cost Analysis Guidance for Discretionary Grant Programs - February 2021 (https://www.transportation.gov/sites/dot.gov/files/2021-02/Benefit%20Cost%20Analysis%20Guidance%202021.pdf). The recommended values for travel time benefits were provided in year 2019 dollars.</t>
  </si>
  <si>
    <t>Table 2 - Corridor Wide AADT Summary</t>
  </si>
  <si>
    <t>2017 Build Crash Cost</t>
  </si>
  <si>
    <t>Table 3 - CMF Development</t>
  </si>
  <si>
    <t>2040 Build Crash Cost</t>
  </si>
  <si>
    <t>AADT</t>
  </si>
  <si>
    <t>Conditoin</t>
  </si>
  <si>
    <t>VOC Roughness - Detour Condition</t>
  </si>
  <si>
    <t>Corridor Wide</t>
  </si>
  <si>
    <t>2017 AADT</t>
  </si>
  <si>
    <t>2017 Weighted AADT</t>
  </si>
  <si>
    <t>CO2 Savings Estimations</t>
  </si>
  <si>
    <t>Other Emissions Cost Savings</t>
  </si>
  <si>
    <t>Total (Carbon + Other Emissions)</t>
  </si>
  <si>
    <r>
      <t>Change in C02</t>
    </r>
    <r>
      <rPr>
        <vertAlign val="superscript"/>
        <sz val="9"/>
        <color theme="1"/>
        <rFont val="Calibri"/>
        <family val="2"/>
        <scheme val="minor"/>
      </rPr>
      <t>3</t>
    </r>
    <r>
      <rPr>
        <sz val="9"/>
        <color theme="1"/>
        <rFont val="Calibri"/>
        <family val="2"/>
        <scheme val="minor"/>
      </rPr>
      <t xml:space="preserve"> (metric tons)</t>
    </r>
  </si>
  <si>
    <r>
      <t xml:space="preserve">Yearly Emissions Savings Without Carbon in Current Dollars ($) </t>
    </r>
    <r>
      <rPr>
        <vertAlign val="superscript"/>
        <sz val="9"/>
        <color theme="1"/>
        <rFont val="Calibri"/>
        <family val="2"/>
        <scheme val="minor"/>
      </rPr>
      <t>2</t>
    </r>
  </si>
  <si>
    <t>3% Discount</t>
  </si>
  <si>
    <t>Change in Annual Network VMT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</si>
  <si>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</si>
  <si>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</si>
  <si>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</si>
  <si>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VOC ($)</t>
    </r>
    <r>
      <rPr>
        <vertAlign val="superscript"/>
        <sz val="9"/>
        <color theme="1"/>
        <rFont val="Calibri"/>
        <family val="2"/>
        <scheme val="minor"/>
      </rPr>
      <t>(2)</t>
    </r>
  </si>
  <si>
    <r>
      <t>Change in NOx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</si>
  <si>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</si>
  <si>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</si>
  <si>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Subtotal</t>
  </si>
  <si>
    <t xml:space="preserve"> 7%Discounted</t>
  </si>
  <si>
    <r>
      <t xml:space="preserve">Table 1 - Pollution Emission by Mode (g/VMT) </t>
    </r>
    <r>
      <rPr>
        <b/>
        <vertAlign val="superscript"/>
        <sz val="11"/>
        <color theme="1"/>
        <rFont val="Calibri"/>
        <family val="2"/>
        <scheme val="minor"/>
      </rPr>
      <t>(1)</t>
    </r>
  </si>
  <si>
    <t>MOVES Model Output (grams per VMT)</t>
  </si>
  <si>
    <t>PM2.5</t>
  </si>
  <si>
    <t>Source Type</t>
  </si>
  <si>
    <t>HPMS Description</t>
  </si>
  <si>
    <t>Auto/Truck</t>
  </si>
  <si>
    <t>Auto</t>
  </si>
  <si>
    <t>Light-Duty Vehicle</t>
  </si>
  <si>
    <r>
      <t xml:space="preserve">Table 2 - Damage Costs for Emissions per metric ton </t>
    </r>
    <r>
      <rPr>
        <b/>
        <vertAlign val="superscript"/>
        <sz val="11"/>
        <color theme="1"/>
        <rFont val="Calibri"/>
        <family val="2"/>
        <scheme val="minor"/>
      </rPr>
      <t>(2)</t>
    </r>
  </si>
  <si>
    <t>Buses</t>
  </si>
  <si>
    <t>Truck</t>
  </si>
  <si>
    <t>Single-Unit Truck</t>
  </si>
  <si>
    <t>Combination Truck</t>
  </si>
  <si>
    <t>Emission costs were obtained from Benefit-Cost Analysis Guidance for Discretionary Grant Programs - February 2021.</t>
  </si>
  <si>
    <t>*Damage costs for emissions in years beyond 2050 assume costs provided for year 2050.</t>
  </si>
  <si>
    <t>No-Build VMT</t>
  </si>
  <si>
    <t>ECONOMIC COMPETITIVENESS - USER BENEFIT CALCULATION OF VEHICLE OPERATING COSTS DUE TO PAVEMENT ROUGHNESS</t>
  </si>
  <si>
    <t>Table 5 - No Build VMT Input Variables: 2025-2030</t>
  </si>
  <si>
    <t>No Build and Build VMT for years between 2020 and 2040 were interpolated based on a linear annual growth rate, and VMT for years between 2020 and 2040 were extrapolated based on the same growth rate.</t>
  </si>
  <si>
    <t>The assumed service life for the Build Alternative was 40 years, which was provided through SDDOT I-90 project life-cycle cost analysis.</t>
  </si>
  <si>
    <t>User travel time benefits and vehicle operating costs were valued in accordance with the Benefit-Cost Analysis Guidance for Discretionary Grant Programs - February 2021 (https://www.transportation.gov/sites/dot.gov/files/2021-02/Benefit%20Cost%20Analysis%20Guidance%202021.pdf).</t>
  </si>
  <si>
    <t>Existing and 20-year forecast daily traffic volumes were obtained for the I-90 corridor from the SDDOT Interactive Needs Book (https://apps.sd.gov/hr53needsbook/).  Average travel time per vehicle data was obtained from google maps. Year 2020 and 2040 VHT and VMT for each alternative were calculated using AADT information, average corridor travel time per vehicle, and an assumed 365 analysis days in a year.  For safety benefit analysis and benefit analysis associated with delay due to construction, existing and 20-year forecast daily traffic volumes associated with crash rates on I-90 were obtained from a SDDOT crash database file to accurately associate AADT with crashes in associated segments. To view this data and for further details, refer to the following analysis tool developed by SRF Consulting Group: https://public.tableau.com/views/S_DakotaInfraGrantBCA/I-90CrashHistoryAnalysis2016-2020?:language=en&amp;:retry=yes&amp;:display_count=y&amp;:origin=viz_share_link</t>
  </si>
  <si>
    <t>Note: Project roadway segments were originally built in 1965-67; nearing end of service life and will continue to degrade in the future</t>
  </si>
  <si>
    <t>(CREATE FREE ACCOUNT FOR ACESS)</t>
  </si>
  <si>
    <t>Weighted AADT For Crash Rate (2017)</t>
  </si>
  <si>
    <t>Costs assumed to be similar to year 2040 costs, which can be considered conservative since difference between No Build and Build increases in each year prior</t>
  </si>
  <si>
    <t>Side Slope Crash Cost Savings</t>
  </si>
  <si>
    <t>Acceleration Lane Crash Cost Savings</t>
  </si>
  <si>
    <t>INFRA 2021 BCA SUMMARY: I-90 Reconstruction</t>
  </si>
  <si>
    <t>Detour Travel Time Savings</t>
  </si>
  <si>
    <t>Detour Operations Savings</t>
  </si>
  <si>
    <t>Pavement Roughness Operations Savings</t>
  </si>
  <si>
    <t>Construction Travel Time Savings</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</si>
  <si>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</si>
  <si>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</si>
  <si>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RCV</t>
  </si>
  <si>
    <t>Phase 05HQ</t>
  </si>
  <si>
    <t>Phase 05T3</t>
  </si>
  <si>
    <t>Phase 05T2</t>
  </si>
  <si>
    <t>Capital Cost</t>
  </si>
  <si>
    <t>Service Life</t>
  </si>
  <si>
    <t>End of BCA Period</t>
  </si>
  <si>
    <t>% Life Remaining</t>
  </si>
  <si>
    <t>Total</t>
  </si>
  <si>
    <t>Current Dollars</t>
  </si>
  <si>
    <t>NPV</t>
  </si>
  <si>
    <t>PCN 05T3 (I-90 WB)*</t>
  </si>
  <si>
    <t>*Denotes WB-I90 Entrance @456th not included in calculation</t>
  </si>
  <si>
    <t>CMF obtained for the treatment "Modify Length of Acceleration Lane".  For further details, refer to http://www.cmfclearinghouse.org/detail.cfm?facid=5216</t>
  </si>
  <si>
    <t>05HQ Short</t>
  </si>
  <si>
    <t>2017 - Weighted AADT For Crash Rate (One-Way)</t>
  </si>
  <si>
    <t>2017 - 016-2020 VMT for Crash Rate (One-Way)</t>
  </si>
  <si>
    <t>2020 - Weighted AADT (One-Way)</t>
  </si>
  <si>
    <t>2040 - Weighted AADT (One-Way)</t>
  </si>
  <si>
    <t>05T2 Short</t>
  </si>
  <si>
    <t>Table 4 - Summary of Crash Costs Before Detours</t>
  </si>
  <si>
    <t>Table 4 - Crash History and Impact of Extending Acceleration Lane Lengths Before Detours</t>
  </si>
  <si>
    <t>Table 5 - Crash Cost Calculations on Impact of Extending Acceleration Lane Lengths Before Detours</t>
  </si>
  <si>
    <t>CMF ID: 4613 obtained for the treatment "FLATTEN SIDESLOPE FROM 1V:3H TO 1V:4H".  For further details, refer to http://www.cmfclearinghouse.org/detail.cfm?facid=4613</t>
  </si>
  <si>
    <t xml:space="preserve">For the purpose of this analysis it was assumed that the project ID: 05HQ would begin construction in year 2022, project ID: 05T3 would begin construction in year 2023 and project ID: 05T2 would begin construction in year 2024. Project construction was assumed to be complected in the same year construction began for each project. The analysis primarily focused on annual benefits for the twenty-year period from 2025 to 2044 , while some user costs were quantified during the construction phases of the project and when certain segments of the project opened during the years 2022 through 2024. </t>
  </si>
  <si>
    <t>Crashes were monetized for years 2020 and 2040 using the values and procedures described in the Benefit-Cost Analysis Guidance for Discretionary Grant Programs - February 2021. The recommended values for crash costs were provided in year 2019 dollars.</t>
  </si>
  <si>
    <r>
      <t>Table 5 - Summary of Crash Costs After First Detour</t>
    </r>
    <r>
      <rPr>
        <b/>
        <vertAlign val="superscript"/>
        <sz val="11"/>
        <color theme="1"/>
        <rFont val="Calibri"/>
        <family val="2"/>
        <scheme val="minor"/>
      </rPr>
      <t>4</t>
    </r>
  </si>
  <si>
    <t>Detours are expected in year 2025 when bridges along I-90 have zero remaining service life and are deemed to no longer be safely traversable by the public. Crashes along parts of I-90 that will no longer be traversed by the public were removed from the safety benefits evalution in Table 5. Additionally, in year 2030, detours will be required that will reroute traffic around the entirety of the I-90 project extents.</t>
  </si>
  <si>
    <t>Table 6 - Crash History and Impact of Extending Acceleration Lane Lengths Before Detours</t>
  </si>
  <si>
    <t>Table 5 - Crash Cost Calculations on Impact of Extending Acceleration Lane Lengths After First Detour</t>
  </si>
  <si>
    <t>No Build and Build VHT for years between 2020 and 2040 were interpolated based on a linear annual growth rate.</t>
  </si>
  <si>
    <t>*Assumes construction occurs for five months out of the year during construction season</t>
  </si>
  <si>
    <t>Existing and 20-year forecast daily traffic volumes were obtained for the I-90 corridor from the SDDOT Interactive Needs Book (https://apps.sd.gov/hr53needsbook/).  Average travel time per vehicle data was determined by assuming the posted speed in the No Build conditions is 80 mph and the posted speed in the Build Conditions is 65 mph. Year 2020 and 2040 VHT and VMT for each alternative were calculated using AADT information, average corridor travel time per vehicle, and an assumed construction schedule of five months out of the year.</t>
  </si>
  <si>
    <t>Existing and 20-year forecast daily traffic volumes were obtained for the I-90 corridor from the SDDOT Interactive Needs Book (https://apps.sd.gov/hr53needsbook/). Average travel time per vehicle data was obtained from Google Maps. Year 2020 and 2040 VHT and VMT for each alternative were calculated using AADT information, average corridor travel time per vehicle, and an assumed 365 analysis days in a year.</t>
  </si>
  <si>
    <t>User travel time benefits for years 2020 and 2040 were valued in accordance with the Benefit-Cost Analysis Guidance for Discretionary Grant Programs - February 2021 (https://www.transportation.gov/sites/dot.gov/files/2021-02/Benefit%20Cost%20Analysis%20Guidance%202021.pdf). Westound I-90 detours are expected in year 2025 when bridges along I-90 have zero remaining service life and are deemed to no longer be safely traversable by the public (as shown in the 5-year detour figures to the right). Additionally, in year 2030, detours will be required that will reroute westbound traffic around the entirety of the I-90 project extents and eastbound traffic around the eastern project segments (as shown in the 10-year detour figures to the right).</t>
  </si>
  <si>
    <t>ECONOMIC COMPETITIVENESS - USER BENEFIT CALCULATION OF VEHICLE OPERATING COST CHANGE DUE TO DETOUR</t>
  </si>
  <si>
    <t>Existing and 20-year forecast daily traffic volumes were obtained for the I-90 corridor from the SDDOT Interactive Needs Book (https://apps.sd.gov/hr53needsbook/).  Average travel time per vehicle data was obtained from Google Maps. Year 2020 and 2040 VHT and VMT for each alternative were calculated using AADT information, average corridor travel time per vehicle, and an assumed 365 analysis days in a year.</t>
  </si>
  <si>
    <t>Vehicle operating costs for years 2020 and 2040 were valued in accordance with the Benefit-Cost Analysis Guidance for Discretionary Grant Programs - February 2021 (https://www.transportation.gov/sites/dot.gov/files/2021-02/Benefit%20Cost%20Analysis%20Guidance%202021.pdf). Westound I-90 detours are expected in year 2025 when bridges along I-90 have zero remaining service life and are deemed to no longer be safely traversable by the public (as shown in the 5-year detour figures to the right). Additionally, in year 2030, detours will be required that will reroute westbound traffic around the entirety of the I-90 project extents and eastbound traffic around the eastern project segments (as shown in the 10-year detour figures to the right).</t>
  </si>
  <si>
    <t>* Values inflated from year 2017 to 2019 to GDP deflators</t>
  </si>
  <si>
    <t>2023-2024*</t>
  </si>
  <si>
    <t>2025-2030*</t>
  </si>
  <si>
    <t>Table 7-5 summarizes the change in vehicle operating costs per kilometer (mile) for all vehicle classes due to changes in pavement roughness (as measured by IRI) from the baseline condition of 1 m/km (63.4 in./mi).</t>
  </si>
  <si>
    <t>Truck VOC</t>
  </si>
  <si>
    <t>Auto VOC</t>
  </si>
  <si>
    <t>Vehicle operating costs for years 2020 and 2040 were valued in accordance with the Benefit-Cost Analysis Guidance for Discretionary Grant Programs - February 2021 (https://www.transportation.gov/sites/dot.gov/files/2021-02/Benefit%20Cost%20Analysis%20Guidance%202021.pdf). Operating costs were derived from the need for vehicles to drive over substandard pavement, resulting in increased damage costs to vehicles.</t>
  </si>
  <si>
    <t>Per-mile operating costs associated with additional impacts of pavement roughness were derived using values from NCHRP Report 720 - "Estimating the Effects of Pavement Condition on Vehicle Operating Costs"; Table 7-5 (see calculations to the right). Current and future pavement roughness under the No Build scenario was assumed to fall in the bottom three categories (used an average of 4-6 in Table 7-5) based on current pavement condition and the expectation that pavement were further deteriorate if left unmaintained.</t>
  </si>
  <si>
    <t>Traffic avoiding I-90 due to detours beginning in years 2025 and 2030 in the No Build was factored into the VMT estimations undergoing increased vehicle operating costs.</t>
  </si>
  <si>
    <t xml:space="preserve">Average emission rates per vehicle type were obtained from the Environmental Protection Agency’s Motor Vehicle Emission Simulator (MOVES) version 3. The change in VMT between No Build and Build conditions derived from detours necessary under the No Build due to future bridge closures (refer to the Operating Cost - Detour tab of this workbook). The change in VMT by year was applied to emission rates by vehicle type. </t>
  </si>
  <si>
    <t xml:space="preserve">Changes in annual roadway maintenance costs are expected due to intensified maintenance that will be required to keep the No Build Alternative serviceable compared to what will be required on new infrastructure under the Build. Anticipated costs for the No Build and Build Alternatives were provided by SDDOT and were broken down into I-90 project segments.
Note that ongoing detours are expected to occur in years 2025 and 2030 due to various permanent bridge closures. Thus, maintenance for segments where traffic is expected to detour around is assumed to no longer be necessary after the respective detours are in effect. </t>
  </si>
  <si>
    <t>For the purpose of this analysis it was assumed that the project ID: 05HQ would begin construction in year 2022, project ID: 05T3 would begin construction in year 2023 and project ID: 05T2 would begin construction in year 2024. Project construction was assumed to be complected in the same year construction began for each project. Refer to Table 1 and Figure 1 for details on project construction assumptions.</t>
  </si>
  <si>
    <t>Table 1 - Project Schedule</t>
  </si>
  <si>
    <t>Figure 1 - Project Schedule</t>
  </si>
  <si>
    <t>The assumed service life for the Build Alternative was 40 years, which was provided through SDDOT I-90 project life-cycle cost analysis. In determining the remaining capital value of the Build Alternative, project components were assumed to have a linear depreciation from the time each phase was completed to the end of the benefit-cost analysis period. The remaining capital value quantities were discounted and attributed to other project benefits for the Build Alternative.</t>
  </si>
  <si>
    <t>Table 4 - No Build VMT Input Variables: 2023</t>
  </si>
  <si>
    <t>Table 4 - No Build VMT Input Variables: 2024</t>
  </si>
  <si>
    <t>Directional Miles</t>
  </si>
  <si>
    <t>Subtracting detour length from years 2025-2029</t>
  </si>
  <si>
    <t>2073.81</t>
  </si>
  <si>
    <t>4147.61</t>
  </si>
  <si>
    <t>6221.42</t>
  </si>
  <si>
    <t>8295.23</t>
  </si>
  <si>
    <t>10369</t>
  </si>
  <si>
    <t>12442.8</t>
  </si>
  <si>
    <t>14516.6</t>
  </si>
  <si>
    <t>16590.4</t>
  </si>
  <si>
    <t>18664.3</t>
  </si>
  <si>
    <t>20738.1</t>
  </si>
  <si>
    <t>22811.9</t>
  </si>
  <si>
    <t>24885.7</t>
  </si>
  <si>
    <t>26959.5</t>
  </si>
  <si>
    <t>29033.3</t>
  </si>
  <si>
    <t>31107.1</t>
  </si>
  <si>
    <t>33180.9</t>
  </si>
  <si>
    <t>35254.7</t>
  </si>
  <si>
    <t>37328.5</t>
  </si>
  <si>
    <t>21715.4</t>
  </si>
  <si>
    <t>1171.49</t>
  </si>
  <si>
    <t>16401.9</t>
  </si>
  <si>
    <t>47405</t>
  </si>
  <si>
    <t>78204.8</t>
  </si>
  <si>
    <t>80708.10</t>
  </si>
  <si>
    <t>11160.2</t>
  </si>
  <si>
    <t>820.429</t>
  </si>
  <si>
    <t>7712.59</t>
  </si>
  <si>
    <t>23884.3</t>
  </si>
  <si>
    <t>33168.3</t>
  </si>
  <si>
    <t>37328.6</t>
  </si>
  <si>
    <t>Service Life for BCA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</si>
</sst>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quot;$&quot;#,##0\ ;\(&quot;$&quot;#,##0\)"/>
    <numFmt numFmtId="168" formatCode="_(* #,##0_);_(* \(#,##0\);_(* &quot;-&quot;??_);_(@_)"/>
    <numFmt numFmtId="169" formatCode="0.0%"/>
    <numFmt numFmtId="170" formatCode="&quot;$&quot;#,##0.00"/>
    <numFmt numFmtId="171" formatCode="0.000"/>
    <numFmt numFmtId="172" formatCode="0.00000"/>
    <numFmt numFmtId="173" formatCode="#,##0_);\(#,##0_)"/>
    <numFmt numFmtId="174" formatCode="0.0000"/>
    <numFmt numFmtId="175" formatCode="0.0"/>
    <numFmt numFmtId="176" formatCode="00\-000\-000"/>
    <numFmt numFmtId="177" formatCode="&quot;$&quot;#,##0.000"/>
    <numFmt numFmtId="178" formatCode="#,##0.000"/>
    <numFmt numFmtId="179" formatCode="&quot;$&quot;#,##0.0"/>
  </numFmts>
  <fonts count="46"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indexed="8"/>
      <name val="Calibri"/>
      <family val="2"/>
      <scheme val="minor"/>
    </font>
    <font>
      <sz val="9"/>
      <color rgb="FF0070C0"/>
      <name val="Calibri"/>
      <family val="2"/>
      <scheme val="minor"/>
    </font>
    <font>
      <b/>
      <sz val="16"/>
      <color theme="1"/>
      <name val="Calibri"/>
      <family val="2"/>
      <scheme val="minor"/>
    </font>
    <font>
      <u/>
      <sz val="11"/>
      <color theme="10"/>
      <name val="Calibri"/>
      <family val="2"/>
      <scheme val="minor"/>
    </font>
    <font>
      <i/>
      <sz val="11"/>
      <color theme="1"/>
      <name val="Calibri"/>
      <family val="2"/>
      <scheme val="minor"/>
    </font>
    <font>
      <b/>
      <sz val="18"/>
      <color rgb="FFFF0000"/>
      <name val="Calibri"/>
      <family val="2"/>
      <scheme val="minor"/>
    </font>
    <font>
      <vertAlign val="superscript"/>
      <sz val="9"/>
      <name val="Calibri"/>
      <family val="2"/>
      <scheme val="minor"/>
    </font>
    <font>
      <b/>
      <i/>
      <sz val="9"/>
      <name val="Calibri"/>
      <family val="2"/>
      <scheme val="minor"/>
    </font>
    <font>
      <i/>
      <sz val="11"/>
      <name val="Calibri"/>
      <family val="2"/>
      <scheme val="minor"/>
    </font>
    <font>
      <sz val="9"/>
      <color rgb="FFFF0000"/>
      <name val="Calibri"/>
      <family val="2"/>
      <scheme val="minor"/>
    </font>
    <font>
      <vertAlign val="superscript"/>
      <sz val="11"/>
      <color theme="1"/>
      <name val="Calibri"/>
      <family val="2"/>
      <scheme val="minor"/>
    </font>
    <font>
      <u/>
      <sz val="10"/>
      <name val="Arial"/>
      <family val="2"/>
    </font>
    <font>
      <b/>
      <sz val="10"/>
      <name val="Arial"/>
      <family val="2"/>
    </font>
    <font>
      <sz val="10"/>
      <color indexed="10"/>
      <name val="Arial"/>
      <family val="2"/>
    </font>
    <font>
      <b/>
      <sz val="14"/>
      <name val="Arial"/>
      <family val="2"/>
    </font>
    <font>
      <b/>
      <sz val="12"/>
      <name val="Arial"/>
      <family val="2"/>
    </font>
    <font>
      <sz val="10"/>
      <name val="MS Sans Serif"/>
    </font>
    <font>
      <sz val="10"/>
      <color rgb="FF0000FF"/>
      <name val="Arial"/>
      <family val="2"/>
    </font>
    <font>
      <sz val="8"/>
      <color theme="1"/>
      <name val="Calibri"/>
      <family val="2"/>
      <scheme val="minor"/>
    </font>
    <font>
      <i/>
      <u/>
      <sz val="8"/>
      <color theme="10"/>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b/>
      <u/>
      <sz val="12"/>
      <color theme="1"/>
      <name val="Calibri"/>
      <family val="2"/>
      <scheme val="minor"/>
    </font>
    <font>
      <b/>
      <u/>
      <sz val="11"/>
      <color theme="1"/>
      <name val="Calibri"/>
      <family val="2"/>
      <scheme val="minor"/>
    </font>
    <font>
      <sz val="11"/>
      <color rgb="FFFF0000"/>
      <name val="Calibri"/>
      <family val="2"/>
      <scheme val="minor"/>
    </font>
    <font>
      <u/>
      <sz val="8"/>
      <color theme="10"/>
      <name val="Calibri"/>
      <family val="2"/>
      <scheme val="minor"/>
    </font>
    <font>
      <vertAlign val="subscript"/>
      <sz val="9"/>
      <color theme="1"/>
      <name val="Calibri"/>
      <family val="2"/>
      <scheme val="minor"/>
    </font>
    <font>
      <sz val="8"/>
      <name val="Calibri"/>
      <family val="2"/>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indexed="1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1" tint="0.499984740745262"/>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double">
        <color indexed="64"/>
      </top>
      <bottom style="thin">
        <color indexed="64"/>
      </bottom>
      <diagonal/>
    </border>
  </borders>
  <cellStyleXfs count="141">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7"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xf numFmtId="0" fontId="20" fillId="0" borderId="0" applyNumberForma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0"/>
  </cellStyleXfs>
  <cellXfs count="789">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164" fontId="8" fillId="0" borderId="0" xfId="0" applyNumberFormat="1" applyFont="1" applyFill="1" applyBorder="1" applyAlignment="1">
      <alignment horizontal="center"/>
    </xf>
    <xf numFmtId="164" fontId="2" fillId="0" borderId="0" xfId="0" applyNumberFormat="1" applyFont="1" applyBorder="1" applyAlignment="1">
      <alignment horizontal="center"/>
    </xf>
    <xf numFmtId="165" fontId="2" fillId="0" borderId="0" xfId="0" applyNumberFormat="1" applyFont="1"/>
    <xf numFmtId="0" fontId="0" fillId="0" borderId="0" xfId="0" applyAlignment="1"/>
    <xf numFmtId="0" fontId="2" fillId="0" borderId="0" xfId="0" applyFont="1" applyBorder="1" applyAlignment="1">
      <alignment horizontal="center"/>
    </xf>
    <xf numFmtId="0" fontId="10" fillId="0" borderId="0" xfId="0" applyFont="1" applyBorder="1" applyAlignment="1">
      <alignment horizontal="center"/>
    </xf>
    <xf numFmtId="0" fontId="11" fillId="0" borderId="0" xfId="0" applyFont="1"/>
    <xf numFmtId="164" fontId="12" fillId="0" borderId="0" xfId="0" applyNumberFormat="1" applyFont="1" applyFill="1" applyBorder="1" applyAlignment="1">
      <alignment horizontal="center"/>
    </xf>
    <xf numFmtId="0" fontId="0" fillId="0" borderId="38" xfId="0" applyBorder="1"/>
    <xf numFmtId="0" fontId="4" fillId="2" borderId="40" xfId="0" applyFont="1" applyFill="1" applyBorder="1"/>
    <xf numFmtId="0" fontId="4" fillId="2" borderId="39" xfId="0" applyFont="1" applyFill="1" applyBorder="1"/>
    <xf numFmtId="0" fontId="0" fillId="0" borderId="0" xfId="0" applyFill="1"/>
    <xf numFmtId="0" fontId="4" fillId="0" borderId="0" xfId="0" applyFont="1" applyFill="1"/>
    <xf numFmtId="0" fontId="2" fillId="0" borderId="0" xfId="0" applyFont="1" applyFill="1"/>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Fill="1" applyBorder="1" applyAlignment="1">
      <alignment horizontal="left"/>
    </xf>
    <xf numFmtId="0" fontId="0" fillId="0" borderId="0" xfId="0" applyFont="1" applyFill="1"/>
    <xf numFmtId="0" fontId="0" fillId="0" borderId="25" xfId="0" applyFont="1" applyFill="1" applyBorder="1"/>
    <xf numFmtId="0" fontId="0" fillId="0" borderId="25" xfId="0" applyFont="1" applyFill="1" applyBorder="1" applyAlignment="1">
      <alignment horizontal="center"/>
    </xf>
    <xf numFmtId="0" fontId="0" fillId="0" borderId="0" xfId="0" applyBorder="1" applyAlignment="1">
      <alignment horizontal="center"/>
    </xf>
    <xf numFmtId="0" fontId="14" fillId="0" borderId="0" xfId="0" applyFont="1" applyFill="1" applyBorder="1" applyAlignment="1">
      <alignment horizontal="left"/>
    </xf>
    <xf numFmtId="0" fontId="15" fillId="0" borderId="0" xfId="0" applyFont="1"/>
    <xf numFmtId="168" fontId="4" fillId="0" borderId="0" xfId="15" applyNumberFormat="1" applyFont="1"/>
    <xf numFmtId="0" fontId="10" fillId="0" borderId="0" xfId="0" applyFont="1" applyAlignment="1">
      <alignment horizontal="left"/>
    </xf>
    <xf numFmtId="0" fontId="10" fillId="0" borderId="0" xfId="0" applyFont="1" applyBorder="1" applyAlignment="1">
      <alignment horizontal="left"/>
    </xf>
    <xf numFmtId="168" fontId="0" fillId="0" borderId="0" xfId="15" applyNumberFormat="1" applyFont="1" applyBorder="1"/>
    <xf numFmtId="9" fontId="4" fillId="2" borderId="46" xfId="0" applyNumberFormat="1" applyFont="1" applyFill="1" applyBorder="1" applyAlignment="1">
      <alignment horizontal="center"/>
    </xf>
    <xf numFmtId="164" fontId="0" fillId="0" borderId="27" xfId="0" applyNumberFormat="1" applyBorder="1" applyAlignment="1">
      <alignment horizontal="center"/>
    </xf>
    <xf numFmtId="164" fontId="0" fillId="0" borderId="47" xfId="0" applyNumberFormat="1" applyBorder="1" applyAlignment="1">
      <alignment horizontal="center"/>
    </xf>
    <xf numFmtId="164" fontId="0" fillId="0" borderId="30" xfId="0" applyNumberFormat="1" applyBorder="1" applyAlignment="1">
      <alignment horizontal="center"/>
    </xf>
    <xf numFmtId="164" fontId="0" fillId="0" borderId="0" xfId="0" applyNumberFormat="1" applyBorder="1" applyAlignment="1">
      <alignment horizontal="center"/>
    </xf>
    <xf numFmtId="2" fontId="0" fillId="0" borderId="30" xfId="0" applyNumberFormat="1" applyBorder="1" applyAlignment="1">
      <alignment horizontal="center"/>
    </xf>
    <xf numFmtId="2" fontId="0" fillId="0" borderId="0" xfId="0" applyNumberFormat="1" applyBorder="1" applyAlignment="1">
      <alignment horizontal="center"/>
    </xf>
    <xf numFmtId="0" fontId="0" fillId="0" borderId="0" xfId="0" applyBorder="1" applyAlignment="1"/>
    <xf numFmtId="9" fontId="4" fillId="0" borderId="30" xfId="0" applyNumberFormat="1" applyFont="1" applyFill="1" applyBorder="1" applyAlignment="1">
      <alignment horizontal="center"/>
    </xf>
    <xf numFmtId="9" fontId="4" fillId="0" borderId="0" xfId="0" applyNumberFormat="1" applyFont="1" applyFill="1" applyBorder="1" applyAlignment="1">
      <alignment horizontal="center"/>
    </xf>
    <xf numFmtId="0" fontId="0" fillId="0" borderId="0" xfId="0" applyBorder="1" applyAlignment="1">
      <alignment vertical="top" wrapText="1"/>
    </xf>
    <xf numFmtId="168" fontId="0" fillId="0" borderId="0" xfId="0" applyNumberFormat="1" applyBorder="1"/>
    <xf numFmtId="0" fontId="0" fillId="0" borderId="25" xfId="0" applyFill="1" applyBorder="1" applyAlignment="1">
      <alignment horizontal="center"/>
    </xf>
    <xf numFmtId="0" fontId="4" fillId="0" borderId="0" xfId="0" applyFont="1" applyFill="1" applyBorder="1" applyAlignment="1">
      <alignment horizontal="center"/>
    </xf>
    <xf numFmtId="0" fontId="2" fillId="0" borderId="13"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43" xfId="0" applyFont="1" applyBorder="1" applyAlignment="1">
      <alignment horizontal="center"/>
    </xf>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Alignment="1">
      <alignment horizontal="right" vertical="top"/>
    </xf>
    <xf numFmtId="0" fontId="0" fillId="0" borderId="0" xfId="0" applyAlignment="1">
      <alignment vertical="top"/>
    </xf>
    <xf numFmtId="164" fontId="18" fillId="0" borderId="0" xfId="0" applyNumberFormat="1" applyFont="1" applyBorder="1" applyAlignment="1">
      <alignment horizontal="center"/>
    </xf>
    <xf numFmtId="0" fontId="0" fillId="0" borderId="25" xfId="0" applyFont="1" applyFill="1" applyBorder="1" applyAlignment="1"/>
    <xf numFmtId="0" fontId="0" fillId="0" borderId="0" xfId="0" applyFont="1" applyFill="1" applyAlignment="1">
      <alignment horizontal="center"/>
    </xf>
    <xf numFmtId="0" fontId="0" fillId="0" borderId="0" xfId="0" applyFont="1" applyFill="1" applyBorder="1" applyAlignment="1">
      <alignment horizontal="center"/>
    </xf>
    <xf numFmtId="166" fontId="2" fillId="0" borderId="0" xfId="0" applyNumberFormat="1" applyFont="1" applyFill="1" applyBorder="1" applyAlignment="1">
      <alignment horizontal="center"/>
    </xf>
    <xf numFmtId="164" fontId="3" fillId="0" borderId="0" xfId="0" applyNumberFormat="1" applyFont="1" applyBorder="1" applyAlignment="1"/>
    <xf numFmtId="165" fontId="2" fillId="0" borderId="0" xfId="1" applyNumberFormat="1" applyFont="1" applyBorder="1" applyAlignment="1">
      <alignment horizontal="center"/>
    </xf>
    <xf numFmtId="0" fontId="19" fillId="0" borderId="0" xfId="0" applyFont="1" applyBorder="1" applyAlignment="1">
      <alignment horizontal="center" vertical="center"/>
    </xf>
    <xf numFmtId="9" fontId="19" fillId="0" borderId="0" xfId="16" applyFont="1" applyBorder="1" applyAlignment="1">
      <alignment horizontal="center" vertical="center"/>
    </xf>
    <xf numFmtId="0" fontId="0" fillId="0" borderId="0" xfId="0" applyFill="1" applyAlignment="1">
      <alignment vertical="top"/>
    </xf>
    <xf numFmtId="164" fontId="0" fillId="0" borderId="25" xfId="0" applyNumberFormat="1" applyFont="1" applyFill="1" applyBorder="1" applyAlignment="1">
      <alignment horizontal="center"/>
    </xf>
    <xf numFmtId="37" fontId="2" fillId="0" borderId="0" xfId="0" applyNumberFormat="1" applyFont="1"/>
    <xf numFmtId="0" fontId="0" fillId="0" borderId="0" xfId="0"/>
    <xf numFmtId="0" fontId="0" fillId="0" borderId="0" xfId="0" applyFill="1" applyBorder="1" applyAlignment="1">
      <alignment horizontal="left"/>
    </xf>
    <xf numFmtId="168" fontId="0" fillId="0" borderId="0" xfId="0" applyNumberFormat="1" applyFill="1" applyBorder="1" applyAlignment="1">
      <alignment horizontal="center"/>
    </xf>
    <xf numFmtId="168"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0" fillId="0" borderId="0" xfId="0" applyAlignment="1">
      <alignment horizontal="left"/>
    </xf>
    <xf numFmtId="0" fontId="2" fillId="0" borderId="40" xfId="0" applyFont="1" applyBorder="1" applyAlignment="1">
      <alignment horizontal="center"/>
    </xf>
    <xf numFmtId="0" fontId="2" fillId="0" borderId="7" xfId="0" applyFont="1" applyBorder="1" applyAlignment="1">
      <alignment horizontal="center"/>
    </xf>
    <xf numFmtId="0" fontId="2" fillId="0" borderId="49" xfId="0" applyFont="1" applyBorder="1" applyAlignment="1">
      <alignment horizontal="center"/>
    </xf>
    <xf numFmtId="0" fontId="2" fillId="0" borderId="9" xfId="0" applyFont="1" applyBorder="1" applyAlignment="1">
      <alignment horizontal="center"/>
    </xf>
    <xf numFmtId="164" fontId="2" fillId="0" borderId="30" xfId="0" applyNumberFormat="1" applyFont="1" applyBorder="1" applyAlignment="1">
      <alignment horizontal="center"/>
    </xf>
    <xf numFmtId="0" fontId="0" fillId="0" borderId="0" xfId="0" applyFill="1" applyAlignment="1">
      <alignment horizontal="right"/>
    </xf>
    <xf numFmtId="1" fontId="0" fillId="0" borderId="0" xfId="0" applyNumberFormat="1"/>
    <xf numFmtId="0" fontId="0" fillId="0" borderId="0" xfId="0" applyFill="1" applyAlignment="1">
      <alignment horizontal="left"/>
    </xf>
    <xf numFmtId="170" fontId="0" fillId="0" borderId="0" xfId="1" applyNumberFormat="1" applyFont="1" applyFill="1" applyBorder="1" applyAlignment="1">
      <alignment horizontal="center"/>
    </xf>
    <xf numFmtId="0" fontId="4" fillId="0" borderId="25" xfId="0" applyFont="1" applyFill="1" applyBorder="1"/>
    <xf numFmtId="169" fontId="0" fillId="0" borderId="25" xfId="16" applyNumberFormat="1" applyFont="1" applyFill="1" applyBorder="1" applyAlignment="1">
      <alignment horizontal="center"/>
    </xf>
    <xf numFmtId="0" fontId="0" fillId="0" borderId="25" xfId="0" applyFill="1" applyBorder="1" applyAlignment="1">
      <alignment horizontal="left"/>
    </xf>
    <xf numFmtId="6" fontId="3" fillId="0" borderId="0" xfId="0" applyNumberFormat="1" applyFont="1" applyFill="1"/>
    <xf numFmtId="170" fontId="0" fillId="0" borderId="25" xfId="1" applyNumberFormat="1" applyFont="1" applyFill="1" applyBorder="1" applyAlignment="1">
      <alignment horizontal="center"/>
    </xf>
    <xf numFmtId="6" fontId="2" fillId="0" borderId="13" xfId="0" applyNumberFormat="1" applyFont="1" applyFill="1" applyBorder="1" applyAlignment="1">
      <alignment horizontal="right"/>
    </xf>
    <xf numFmtId="6" fontId="2" fillId="0" borderId="18" xfId="1" applyNumberFormat="1" applyFont="1" applyFill="1" applyBorder="1" applyAlignment="1">
      <alignment horizontal="right"/>
    </xf>
    <xf numFmtId="6" fontId="2" fillId="0" borderId="14" xfId="0" applyNumberFormat="1" applyFont="1" applyFill="1" applyBorder="1" applyAlignment="1">
      <alignment horizontal="right"/>
    </xf>
    <xf numFmtId="6" fontId="2" fillId="0" borderId="19" xfId="1" applyNumberFormat="1" applyFont="1" applyFill="1" applyBorder="1" applyAlignment="1">
      <alignment horizontal="right"/>
    </xf>
    <xf numFmtId="6" fontId="2" fillId="0" borderId="15" xfId="0" applyNumberFormat="1" applyFont="1" applyFill="1" applyBorder="1" applyAlignment="1">
      <alignment horizontal="right"/>
    </xf>
    <xf numFmtId="6" fontId="2" fillId="0" borderId="20" xfId="1" applyNumberFormat="1" applyFont="1" applyFill="1" applyBorder="1" applyAlignment="1">
      <alignment horizontal="right"/>
    </xf>
    <xf numFmtId="164" fontId="2" fillId="0" borderId="43" xfId="0" applyNumberFormat="1" applyFont="1" applyBorder="1" applyAlignment="1">
      <alignment horizont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0" xfId="0" applyFill="1" applyAlignment="1">
      <alignment horizontal="left" vertical="top" wrapText="1"/>
    </xf>
    <xf numFmtId="0" fontId="4" fillId="0" borderId="25" xfId="0" applyFont="1" applyFill="1" applyBorder="1" applyAlignment="1">
      <alignment horizontal="center"/>
    </xf>
    <xf numFmtId="0" fontId="0" fillId="0" borderId="0" xfId="0" applyFont="1" applyFill="1" applyAlignment="1">
      <alignment horizontal="left" vertical="top" wrapText="1"/>
    </xf>
    <xf numFmtId="0" fontId="0" fillId="0" borderId="0" xfId="0" applyFill="1" applyAlignment="1">
      <alignment horizontal="left" vertical="top"/>
    </xf>
    <xf numFmtId="0" fontId="0" fillId="0" borderId="0" xfId="0" applyFill="1" applyAlignment="1">
      <alignment vertical="top" wrapText="1"/>
    </xf>
    <xf numFmtId="0" fontId="3" fillId="0" borderId="0" xfId="0" applyFont="1"/>
    <xf numFmtId="6" fontId="11" fillId="0" borderId="0" xfId="0" applyNumberFormat="1" applyFont="1" applyAlignment="1">
      <alignment horizontal="center"/>
    </xf>
    <xf numFmtId="0" fontId="3" fillId="0" borderId="53" xfId="0" applyFont="1" applyFill="1" applyBorder="1" applyAlignment="1">
      <alignment horizontal="center" vertical="center" wrapText="1"/>
    </xf>
    <xf numFmtId="0" fontId="0" fillId="0" borderId="53" xfId="0" applyBorder="1" applyAlignment="1">
      <alignment horizontal="center" wrapText="1"/>
    </xf>
    <xf numFmtId="0" fontId="8" fillId="0" borderId="0" xfId="2" applyFont="1" applyFill="1" applyBorder="1" applyAlignment="1">
      <alignment horizontal="left" vertical="center"/>
    </xf>
    <xf numFmtId="0" fontId="9" fillId="0" borderId="0" xfId="2" applyFont="1" applyFill="1" applyBorder="1" applyAlignment="1">
      <alignment horizontal="left"/>
    </xf>
    <xf numFmtId="0" fontId="22" fillId="0" borderId="0" xfId="2" applyFont="1" applyFill="1" applyBorder="1" applyAlignment="1"/>
    <xf numFmtId="0" fontId="9" fillId="0" borderId="25" xfId="2" applyFont="1" applyFill="1" applyBorder="1" applyAlignment="1">
      <alignment horizontal="left" vertical="center"/>
    </xf>
    <xf numFmtId="0" fontId="9" fillId="0" borderId="25" xfId="2" applyFont="1" applyFill="1" applyBorder="1" applyAlignment="1">
      <alignment horizontal="center" vertical="center"/>
    </xf>
    <xf numFmtId="0" fontId="9" fillId="0" borderId="0" xfId="2" applyFont="1" applyFill="1" applyBorder="1" applyAlignment="1">
      <alignment horizontal="left" vertical="center"/>
    </xf>
    <xf numFmtId="172" fontId="9" fillId="0" borderId="0" xfId="2" applyNumberFormat="1" applyFont="1" applyFill="1" applyBorder="1" applyAlignment="1">
      <alignment horizontal="left"/>
    </xf>
    <xf numFmtId="0" fontId="24" fillId="0" borderId="0" xfId="2" applyFont="1" applyFill="1" applyBorder="1" applyAlignment="1">
      <alignment horizontal="left"/>
    </xf>
    <xf numFmtId="0" fontId="8" fillId="0" borderId="25" xfId="2" applyFont="1" applyFill="1" applyBorder="1" applyAlignment="1">
      <alignment horizontal="center" vertical="center"/>
    </xf>
    <xf numFmtId="10" fontId="9" fillId="0" borderId="0" xfId="2" applyNumberFormat="1" applyFont="1" applyFill="1" applyBorder="1" applyAlignment="1">
      <alignment horizontal="center" vertical="center"/>
    </xf>
    <xf numFmtId="170" fontId="9" fillId="0" borderId="25" xfId="2" applyNumberFormat="1" applyFont="1" applyFill="1" applyBorder="1" applyAlignment="1">
      <alignment horizontal="left" vertical="center"/>
    </xf>
    <xf numFmtId="170" fontId="9" fillId="0" borderId="0" xfId="2" applyNumberFormat="1" applyFont="1" applyFill="1" applyBorder="1" applyAlignment="1">
      <alignment horizontal="left" vertical="center"/>
    </xf>
    <xf numFmtId="169" fontId="9" fillId="0" borderId="25" xfId="2" applyNumberFormat="1" applyFont="1" applyFill="1" applyBorder="1" applyAlignment="1">
      <alignment horizontal="left" vertical="center"/>
    </xf>
    <xf numFmtId="0" fontId="8" fillId="0" borderId="0" xfId="0" applyFont="1" applyFill="1" applyBorder="1" applyAlignment="1">
      <alignment horizontal="left"/>
    </xf>
    <xf numFmtId="0" fontId="6" fillId="0" borderId="0" xfId="0" applyFont="1" applyFill="1" applyBorder="1" applyAlignment="1">
      <alignment horizontal="right"/>
    </xf>
    <xf numFmtId="0" fontId="14" fillId="0" borderId="0" xfId="0" applyFont="1" applyFill="1" applyBorder="1" applyAlignment="1">
      <alignment horizontal="right"/>
    </xf>
    <xf numFmtId="0" fontId="6" fillId="0" borderId="0" xfId="0" applyFont="1" applyFill="1" applyBorder="1" applyAlignment="1">
      <alignment horizontal="left" vertical="center" wrapText="1"/>
    </xf>
    <xf numFmtId="0" fontId="6" fillId="0" borderId="0" xfId="2" applyFont="1" applyFill="1" applyBorder="1" applyAlignment="1">
      <alignment horizontal="right"/>
    </xf>
    <xf numFmtId="0" fontId="9" fillId="0" borderId="0" xfId="2" applyFont="1" applyFill="1" applyBorder="1" applyAlignment="1">
      <alignment horizontal="right"/>
    </xf>
    <xf numFmtId="0" fontId="0" fillId="0" borderId="0" xfId="0" applyFill="1" applyAlignment="1">
      <alignment horizontal="left" vertical="top" wrapText="1"/>
    </xf>
    <xf numFmtId="0" fontId="0" fillId="0" borderId="0" xfId="0" applyFill="1" applyAlignment="1">
      <alignment horizontal="left" vertical="top" wrapText="1"/>
    </xf>
    <xf numFmtId="0" fontId="0" fillId="0" borderId="0" xfId="0" applyFill="1" applyAlignment="1">
      <alignment horizontal="center"/>
    </xf>
    <xf numFmtId="6" fontId="2" fillId="0" borderId="0" xfId="0" applyNumberFormat="1" applyFont="1" applyFill="1" applyBorder="1" applyAlignment="1">
      <alignment horizontal="right" indent="1"/>
    </xf>
    <xf numFmtId="0" fontId="9" fillId="0" borderId="0" xfId="2" applyFont="1" applyFill="1" applyBorder="1" applyAlignment="1">
      <alignment horizontal="center" vertical="center"/>
    </xf>
    <xf numFmtId="164" fontId="0" fillId="0" borderId="0" xfId="0" applyNumberFormat="1" applyFont="1" applyFill="1" applyBorder="1" applyAlignment="1">
      <alignment horizontal="center"/>
    </xf>
    <xf numFmtId="164" fontId="2" fillId="0" borderId="13" xfId="0" applyNumberFormat="1" applyFont="1" applyFill="1" applyBorder="1" applyAlignment="1">
      <alignment horizontal="right"/>
    </xf>
    <xf numFmtId="164" fontId="2" fillId="0" borderId="8" xfId="0" applyNumberFormat="1" applyFont="1" applyFill="1" applyBorder="1" applyAlignment="1">
      <alignment horizontal="right" vertical="center"/>
    </xf>
    <xf numFmtId="164" fontId="2" fillId="0" borderId="10" xfId="0" applyNumberFormat="1" applyFont="1" applyFill="1" applyBorder="1" applyAlignment="1">
      <alignment horizontal="right" vertical="center"/>
    </xf>
    <xf numFmtId="164" fontId="0" fillId="0" borderId="0" xfId="0" applyNumberFormat="1"/>
    <xf numFmtId="0" fontId="4" fillId="0" borderId="25" xfId="0" applyFont="1" applyBorder="1"/>
    <xf numFmtId="174" fontId="0" fillId="0" borderId="25" xfId="0" applyNumberFormat="1" applyBorder="1"/>
    <xf numFmtId="0" fontId="0" fillId="0" borderId="25" xfId="0" applyBorder="1"/>
    <xf numFmtId="0" fontId="2" fillId="0" borderId="14" xfId="0" applyFont="1" applyBorder="1" applyAlignment="1">
      <alignment horizontal="center" vertical="center" wrapText="1"/>
    </xf>
    <xf numFmtId="164" fontId="0" fillId="0" borderId="0" xfId="0" applyNumberFormat="1" applyAlignment="1">
      <alignment horizontal="center"/>
    </xf>
    <xf numFmtId="164" fontId="2" fillId="0" borderId="14" xfId="0" applyNumberFormat="1" applyFont="1" applyBorder="1" applyAlignment="1">
      <alignment horizontal="center"/>
    </xf>
    <xf numFmtId="164" fontId="2" fillId="0" borderId="15" xfId="0" applyNumberFormat="1" applyFont="1" applyBorder="1" applyAlignment="1">
      <alignment horizontal="center"/>
    </xf>
    <xf numFmtId="0" fontId="4" fillId="0" borderId="0" xfId="0" applyFont="1" applyAlignment="1">
      <alignment horizontal="right"/>
    </xf>
    <xf numFmtId="0" fontId="0" fillId="0" borderId="0" xfId="0"/>
    <xf numFmtId="0" fontId="20" fillId="0" borderId="0" xfId="18" applyFill="1"/>
    <xf numFmtId="0" fontId="4" fillId="0" borderId="25" xfId="0" applyFont="1" applyFill="1" applyBorder="1" applyAlignment="1">
      <alignment horizontal="left"/>
    </xf>
    <xf numFmtId="164" fontId="4" fillId="0" borderId="25" xfId="0" applyNumberFormat="1" applyFont="1" applyFill="1" applyBorder="1" applyAlignment="1">
      <alignment horizontal="center"/>
    </xf>
    <xf numFmtId="169" fontId="9" fillId="0" borderId="25" xfId="2" applyNumberFormat="1" applyFont="1" applyFill="1" applyBorder="1" applyAlignment="1">
      <alignment horizontal="center" vertical="center"/>
    </xf>
    <xf numFmtId="164" fontId="2" fillId="0" borderId="44" xfId="0" applyNumberFormat="1" applyFont="1" applyBorder="1" applyAlignment="1">
      <alignment horizontal="center"/>
    </xf>
    <xf numFmtId="164" fontId="2" fillId="0" borderId="50" xfId="0" applyNumberFormat="1" applyFont="1" applyBorder="1" applyAlignment="1">
      <alignment horizontal="center"/>
    </xf>
    <xf numFmtId="164" fontId="3" fillId="0" borderId="3" xfId="0" applyNumberFormat="1" applyFont="1" applyBorder="1" applyAlignment="1"/>
    <xf numFmtId="0" fontId="6" fillId="0" borderId="0" xfId="2" applyFont="1" applyFill="1" applyBorder="1" applyAlignment="1">
      <alignment horizontal="left" vertical="top"/>
    </xf>
    <xf numFmtId="173" fontId="25" fillId="0" borderId="0" xfId="2" applyNumberFormat="1" applyFont="1" applyFill="1" applyBorder="1" applyAlignment="1">
      <alignment horizontal="left" vertical="top"/>
    </xf>
    <xf numFmtId="0" fontId="0" fillId="0" borderId="25" xfId="0" applyFill="1" applyBorder="1"/>
    <xf numFmtId="0" fontId="0" fillId="0" borderId="0" xfId="0" applyAlignment="1">
      <alignment horizontal="center"/>
    </xf>
    <xf numFmtId="0" fontId="0" fillId="0" borderId="0" xfId="0" applyFill="1" applyAlignment="1">
      <alignment horizontal="center"/>
    </xf>
    <xf numFmtId="0" fontId="8" fillId="0" borderId="0" xfId="0" applyFont="1" applyFill="1" applyBorder="1" applyAlignment="1">
      <alignment vertical="center"/>
    </xf>
    <xf numFmtId="0" fontId="9" fillId="0" borderId="0" xfId="0" applyFont="1" applyBorder="1" applyAlignment="1">
      <alignment vertical="center"/>
    </xf>
    <xf numFmtId="165" fontId="9" fillId="0" borderId="0" xfId="1" applyNumberFormat="1" applyFont="1" applyBorder="1" applyAlignment="1">
      <alignment vertical="center"/>
    </xf>
    <xf numFmtId="0" fontId="9" fillId="0" borderId="0" xfId="1" applyNumberFormat="1" applyFont="1" applyFill="1" applyBorder="1" applyAlignment="1">
      <alignment horizontal="center"/>
    </xf>
    <xf numFmtId="165" fontId="8" fillId="0" borderId="0" xfId="1" applyNumberFormat="1" applyFont="1" applyFill="1" applyBorder="1" applyAlignment="1">
      <alignment horizontal="center"/>
    </xf>
    <xf numFmtId="0" fontId="8" fillId="0" borderId="0" xfId="4" applyFont="1" applyFill="1" applyBorder="1" applyAlignment="1">
      <alignment vertical="center"/>
    </xf>
    <xf numFmtId="165" fontId="9" fillId="0" borderId="0" xfId="1" applyNumberFormat="1" applyFont="1" applyFill="1" applyBorder="1" applyAlignment="1">
      <alignment horizontal="center"/>
    </xf>
    <xf numFmtId="2" fontId="9" fillId="0" borderId="0" xfId="0" applyNumberFormat="1" applyFont="1" applyFill="1" applyBorder="1" applyAlignment="1">
      <alignment horizontal="center"/>
    </xf>
    <xf numFmtId="0" fontId="0" fillId="0" borderId="25" xfId="0" applyFont="1" applyFill="1" applyBorder="1" applyAlignment="1">
      <alignment horizontal="left"/>
    </xf>
    <xf numFmtId="0" fontId="2" fillId="0" borderId="14" xfId="0" applyFont="1" applyFill="1" applyBorder="1" applyAlignment="1">
      <alignment horizontal="center" vertical="center" wrapText="1"/>
    </xf>
    <xf numFmtId="170" fontId="0" fillId="4" borderId="20" xfId="0" applyNumberFormat="1" applyFill="1" applyBorder="1"/>
    <xf numFmtId="0" fontId="7" fillId="0" borderId="0" xfId="24" applyAlignment="1">
      <alignment vertical="center"/>
    </xf>
    <xf numFmtId="166" fontId="7" fillId="0" borderId="0" xfId="24" applyNumberFormat="1" applyAlignment="1">
      <alignment horizontal="center" vertical="center"/>
    </xf>
    <xf numFmtId="166" fontId="7" fillId="0" borderId="0" xfId="24" applyNumberFormat="1" applyAlignment="1">
      <alignment vertical="center"/>
    </xf>
    <xf numFmtId="0" fontId="28" fillId="0" borderId="0" xfId="24" applyFont="1" applyAlignment="1">
      <alignment vertical="center"/>
    </xf>
    <xf numFmtId="2" fontId="7" fillId="0" borderId="58" xfId="24" applyNumberFormat="1" applyBorder="1" applyAlignment="1">
      <alignment vertical="center"/>
    </xf>
    <xf numFmtId="175" fontId="7" fillId="0" borderId="58" xfId="24" applyNumberFormat="1" applyBorder="1" applyAlignment="1">
      <alignment vertical="center"/>
    </xf>
    <xf numFmtId="0" fontId="29" fillId="0" borderId="58" xfId="24" applyFont="1" applyBorder="1" applyAlignment="1">
      <alignment vertical="center"/>
    </xf>
    <xf numFmtId="0" fontId="7" fillId="0" borderId="25" xfId="24" applyBorder="1" applyAlignment="1">
      <alignment vertical="center"/>
    </xf>
    <xf numFmtId="0" fontId="7" fillId="0" borderId="24" xfId="24" applyBorder="1" applyAlignment="1">
      <alignment vertical="center"/>
    </xf>
    <xf numFmtId="2" fontId="7" fillId="0" borderId="25" xfId="24" applyNumberFormat="1" applyBorder="1" applyAlignment="1">
      <alignment horizontal="right" vertical="center"/>
    </xf>
    <xf numFmtId="49" fontId="7" fillId="0" borderId="25" xfId="24" applyNumberFormat="1" applyBorder="1" applyAlignment="1">
      <alignment horizontal="right" vertical="center"/>
    </xf>
    <xf numFmtId="175" fontId="7" fillId="0" borderId="25" xfId="24" applyNumberFormat="1" applyBorder="1" applyAlignment="1">
      <alignment horizontal="right" vertical="center"/>
    </xf>
    <xf numFmtId="0" fontId="7" fillId="0" borderId="25" xfId="24" applyBorder="1" applyAlignment="1">
      <alignment horizontal="left" vertical="center"/>
    </xf>
    <xf numFmtId="2" fontId="7" fillId="0" borderId="24" xfId="24" applyNumberFormat="1" applyBorder="1" applyAlignment="1">
      <alignment vertical="center"/>
    </xf>
    <xf numFmtId="2" fontId="7" fillId="0" borderId="24" xfId="24" applyNumberFormat="1" applyBorder="1" applyAlignment="1">
      <alignment horizontal="right" vertical="center"/>
    </xf>
    <xf numFmtId="49" fontId="7" fillId="0" borderId="24" xfId="24" applyNumberFormat="1" applyBorder="1" applyAlignment="1">
      <alignment horizontal="right" vertical="center"/>
    </xf>
    <xf numFmtId="175" fontId="7" fillId="0" borderId="24" xfId="24" applyNumberFormat="1" applyBorder="1" applyAlignment="1">
      <alignment horizontal="right" vertical="center"/>
    </xf>
    <xf numFmtId="0" fontId="7" fillId="0" borderId="24" xfId="24" applyBorder="1" applyAlignment="1">
      <alignment horizontal="left" vertical="center"/>
    </xf>
    <xf numFmtId="0" fontId="7" fillId="0" borderId="0" xfId="24" applyAlignment="1">
      <alignment horizontal="center"/>
    </xf>
    <xf numFmtId="0" fontId="7" fillId="0" borderId="45" xfId="24" applyBorder="1" applyAlignment="1">
      <alignment horizontal="center"/>
    </xf>
    <xf numFmtId="0" fontId="7" fillId="0" borderId="45" xfId="24" applyBorder="1" applyAlignment="1">
      <alignment horizontal="center" wrapText="1"/>
    </xf>
    <xf numFmtId="0" fontId="29" fillId="0" borderId="0" xfId="24" applyFont="1" applyAlignment="1">
      <alignment vertical="center"/>
    </xf>
    <xf numFmtId="49" fontId="7" fillId="0" borderId="0" xfId="24" applyNumberFormat="1" applyAlignment="1">
      <alignment vertical="center"/>
    </xf>
    <xf numFmtId="2" fontId="7" fillId="0" borderId="0" xfId="24" applyNumberFormat="1" applyAlignment="1">
      <alignment vertical="center"/>
    </xf>
    <xf numFmtId="0" fontId="30" fillId="0" borderId="25" xfId="24" applyFont="1" applyBorder="1" applyAlignment="1">
      <alignment vertical="center"/>
    </xf>
    <xf numFmtId="0" fontId="30" fillId="0" borderId="25" xfId="24" applyFont="1" applyBorder="1" applyAlignment="1">
      <alignment horizontal="left" vertical="center"/>
    </xf>
    <xf numFmtId="2" fontId="30" fillId="0" borderId="25" xfId="24" applyNumberFormat="1" applyFont="1" applyBorder="1" applyAlignment="1">
      <alignment horizontal="left" vertical="center"/>
    </xf>
    <xf numFmtId="0" fontId="30" fillId="0" borderId="24" xfId="24" applyFont="1" applyBorder="1" applyAlignment="1">
      <alignment vertical="center"/>
    </xf>
    <xf numFmtId="0" fontId="30" fillId="0" borderId="24" xfId="24" applyFont="1" applyBorder="1" applyAlignment="1">
      <alignment horizontal="left" vertical="center"/>
    </xf>
    <xf numFmtId="171" fontId="30" fillId="0" borderId="24" xfId="24" applyNumberFormat="1" applyFont="1" applyBorder="1" applyAlignment="1">
      <alignment horizontal="left" vertical="center"/>
    </xf>
    <xf numFmtId="0" fontId="7" fillId="0" borderId="0" xfId="24" applyAlignment="1">
      <alignment horizontal="center" wrapText="1"/>
    </xf>
    <xf numFmtId="49" fontId="7" fillId="0" borderId="45" xfId="24" applyNumberFormat="1" applyBorder="1" applyAlignment="1">
      <alignment horizontal="center" wrapText="1"/>
    </xf>
    <xf numFmtId="49" fontId="31" fillId="0" borderId="0" xfId="24" applyNumberFormat="1" applyFont="1" applyAlignment="1">
      <alignment vertical="center"/>
    </xf>
    <xf numFmtId="44" fontId="7" fillId="0" borderId="0" xfId="24" applyNumberFormat="1" applyAlignment="1">
      <alignment vertical="center"/>
    </xf>
    <xf numFmtId="44" fontId="7" fillId="0" borderId="25" xfId="24" applyNumberFormat="1" applyBorder="1" applyAlignment="1">
      <alignment vertical="center"/>
    </xf>
    <xf numFmtId="0" fontId="32" fillId="0" borderId="0" xfId="24" applyFont="1" applyAlignment="1">
      <alignment horizontal="right" vertical="center"/>
    </xf>
    <xf numFmtId="0" fontId="30" fillId="0" borderId="0" xfId="24" applyFont="1" applyAlignment="1">
      <alignment vertical="center"/>
    </xf>
    <xf numFmtId="10" fontId="7" fillId="0" borderId="0" xfId="24" applyNumberFormat="1" applyAlignment="1">
      <alignment vertical="center"/>
    </xf>
    <xf numFmtId="0" fontId="7" fillId="0" borderId="0" xfId="24" applyAlignment="1">
      <alignment horizontal="right" vertical="center"/>
    </xf>
    <xf numFmtId="10" fontId="30" fillId="0" borderId="0" xfId="24" applyNumberFormat="1" applyFont="1" applyAlignment="1">
      <alignment vertical="center"/>
    </xf>
    <xf numFmtId="9" fontId="7" fillId="0" borderId="0" xfId="24" applyNumberFormat="1" applyAlignment="1">
      <alignment vertical="center"/>
    </xf>
    <xf numFmtId="44" fontId="7" fillId="0" borderId="25" xfId="20" applyFont="1" applyBorder="1" applyAlignment="1">
      <alignment vertical="center"/>
    </xf>
    <xf numFmtId="2" fontId="30" fillId="0" borderId="25" xfId="24" applyNumberFormat="1" applyFont="1" applyBorder="1" applyAlignment="1">
      <alignment vertical="center"/>
    </xf>
    <xf numFmtId="44" fontId="7" fillId="0" borderId="25" xfId="20" applyFont="1" applyBorder="1" applyAlignment="1">
      <alignment horizontal="left" vertical="center"/>
    </xf>
    <xf numFmtId="0" fontId="7" fillId="0" borderId="25" xfId="140" applyFont="1" applyBorder="1" applyAlignment="1">
      <alignment vertical="center"/>
    </xf>
    <xf numFmtId="0" fontId="7" fillId="0" borderId="25" xfId="140" applyFont="1" applyBorder="1" applyAlignment="1">
      <alignment horizontal="left" vertical="center"/>
    </xf>
    <xf numFmtId="1" fontId="30" fillId="0" borderId="25" xfId="24" applyNumberFormat="1" applyFont="1" applyBorder="1" applyAlignment="1">
      <alignment vertical="center"/>
    </xf>
    <xf numFmtId="44" fontId="7" fillId="0" borderId="25" xfId="20" applyFont="1" applyBorder="1" applyAlignment="1">
      <alignment horizontal="left"/>
    </xf>
    <xf numFmtId="0" fontId="7" fillId="0" borderId="25" xfId="140" applyFont="1" applyBorder="1"/>
    <xf numFmtId="49" fontId="7" fillId="0" borderId="25" xfId="140" applyNumberFormat="1" applyFont="1" applyBorder="1" applyAlignment="1">
      <alignment vertical="center"/>
    </xf>
    <xf numFmtId="1" fontId="30" fillId="0" borderId="25" xfId="24" applyNumberFormat="1" applyFont="1" applyBorder="1" applyAlignment="1">
      <alignment horizontal="right" vertical="center"/>
    </xf>
    <xf numFmtId="0" fontId="7" fillId="0" borderId="0" xfId="24"/>
    <xf numFmtId="1" fontId="30" fillId="0" borderId="23" xfId="24" applyNumberFormat="1" applyFont="1" applyBorder="1" applyAlignment="1">
      <alignment horizontal="right" vertical="center"/>
    </xf>
    <xf numFmtId="49" fontId="7" fillId="0" borderId="25" xfId="24" applyNumberFormat="1" applyBorder="1" applyAlignment="1">
      <alignment vertical="center"/>
    </xf>
    <xf numFmtId="2" fontId="7" fillId="0" borderId="25" xfId="7" applyNumberFormat="1" applyFont="1" applyBorder="1" applyAlignment="1">
      <alignment horizontal="right" vertical="center"/>
    </xf>
    <xf numFmtId="0" fontId="7" fillId="0" borderId="25" xfId="140" applyFont="1" applyBorder="1" applyAlignment="1">
      <alignment horizontal="left"/>
    </xf>
    <xf numFmtId="49" fontId="7" fillId="0" borderId="25" xfId="24" applyNumberFormat="1" applyBorder="1"/>
    <xf numFmtId="0" fontId="7" fillId="0" borderId="25" xfId="24" applyBorder="1"/>
    <xf numFmtId="0" fontId="7" fillId="0" borderId="0" xfId="24" applyAlignment="1">
      <alignment horizontal="left"/>
    </xf>
    <xf numFmtId="2" fontId="7" fillId="0" borderId="25" xfId="140" applyNumberFormat="1" applyFont="1" applyBorder="1" applyAlignment="1">
      <alignment horizontal="right" vertical="center"/>
    </xf>
    <xf numFmtId="0" fontId="7" fillId="0" borderId="25" xfId="24" applyBorder="1" applyAlignment="1">
      <alignment horizontal="left"/>
    </xf>
    <xf numFmtId="49" fontId="7" fillId="0" borderId="25" xfId="24" applyNumberFormat="1" applyBorder="1" applyAlignment="1">
      <alignment horizontal="left"/>
    </xf>
    <xf numFmtId="44" fontId="7" fillId="5" borderId="25" xfId="20" applyFont="1" applyFill="1" applyBorder="1" applyAlignment="1">
      <alignment horizontal="left"/>
    </xf>
    <xf numFmtId="0" fontId="7" fillId="3" borderId="25" xfId="24" applyFill="1" applyBorder="1" applyAlignment="1">
      <alignment horizontal="left"/>
    </xf>
    <xf numFmtId="44" fontId="7" fillId="3" borderId="25" xfId="20" applyFont="1" applyFill="1" applyBorder="1" applyAlignment="1"/>
    <xf numFmtId="44" fontId="7" fillId="3" borderId="25" xfId="20" applyFont="1" applyFill="1" applyBorder="1" applyAlignment="1">
      <alignment horizontal="left" vertical="center"/>
    </xf>
    <xf numFmtId="0" fontId="7" fillId="3" borderId="25" xfId="24" applyFill="1" applyBorder="1" applyAlignment="1">
      <alignment horizontal="left" vertical="center"/>
    </xf>
    <xf numFmtId="44" fontId="7" fillId="0" borderId="25" xfId="20" applyFont="1" applyFill="1" applyBorder="1" applyAlignment="1">
      <alignment horizontal="left" vertical="center"/>
    </xf>
    <xf numFmtId="0" fontId="29" fillId="0" borderId="0" xfId="140" applyFont="1" applyAlignment="1">
      <alignment vertical="center"/>
    </xf>
    <xf numFmtId="44" fontId="7" fillId="0" borderId="25" xfId="20" applyFont="1" applyFill="1" applyBorder="1" applyAlignment="1"/>
    <xf numFmtId="2" fontId="30" fillId="0" borderId="25" xfId="140" applyNumberFormat="1" applyFont="1" applyBorder="1" applyAlignment="1">
      <alignment horizontal="right" vertical="center"/>
    </xf>
    <xf numFmtId="49" fontId="7" fillId="0" borderId="25" xfId="24" applyNumberFormat="1" applyBorder="1" applyAlignment="1">
      <alignment horizontal="left" vertical="center"/>
    </xf>
    <xf numFmtId="44" fontId="7" fillId="3" borderId="25" xfId="24" applyNumberFormat="1" applyFill="1" applyBorder="1" applyAlignment="1">
      <alignment vertical="top"/>
    </xf>
    <xf numFmtId="0" fontId="7" fillId="3" borderId="25" xfId="24" applyFill="1" applyBorder="1" applyAlignment="1">
      <alignment horizontal="left" vertical="top"/>
    </xf>
    <xf numFmtId="44" fontId="7" fillId="0" borderId="25" xfId="20" applyFont="1" applyFill="1" applyBorder="1" applyAlignment="1">
      <alignment vertical="center"/>
    </xf>
    <xf numFmtId="44" fontId="7" fillId="0" borderId="24" xfId="20" applyFont="1" applyBorder="1" applyAlignment="1">
      <alignment vertical="center"/>
    </xf>
    <xf numFmtId="2" fontId="7" fillId="0" borderId="24" xfId="140" applyNumberFormat="1" applyFont="1" applyBorder="1" applyAlignment="1">
      <alignment horizontal="right" vertical="center"/>
    </xf>
    <xf numFmtId="44" fontId="7" fillId="0" borderId="24" xfId="20" applyFont="1" applyBorder="1" applyAlignment="1">
      <alignment horizontal="left" vertical="center"/>
    </xf>
    <xf numFmtId="0" fontId="7" fillId="0" borderId="0" xfId="24" applyAlignment="1">
      <alignment horizontal="center" vertical="center"/>
    </xf>
    <xf numFmtId="0" fontId="29" fillId="0" borderId="59" xfId="140" applyFont="1" applyBorder="1" applyAlignment="1">
      <alignment horizontal="center" vertical="center"/>
    </xf>
    <xf numFmtId="0" fontId="29" fillId="0" borderId="58" xfId="140" applyFont="1" applyBorder="1" applyAlignment="1">
      <alignment horizontal="center" vertical="center"/>
    </xf>
    <xf numFmtId="0" fontId="34" fillId="0" borderId="0" xfId="24" applyFont="1" applyAlignment="1">
      <alignment vertical="center"/>
    </xf>
    <xf numFmtId="0" fontId="0" fillId="0" borderId="0" xfId="0" applyNumberFormat="1"/>
    <xf numFmtId="175" fontId="0" fillId="0" borderId="0" xfId="0" applyNumberFormat="1"/>
    <xf numFmtId="0" fontId="0" fillId="0" borderId="1" xfId="0" applyNumberFormat="1" applyBorder="1"/>
    <xf numFmtId="0" fontId="0" fillId="0" borderId="2" xfId="0" applyBorder="1"/>
    <xf numFmtId="49" fontId="0" fillId="0" borderId="2" xfId="0" applyNumberFormat="1" applyBorder="1"/>
    <xf numFmtId="175" fontId="0" fillId="0" borderId="2" xfId="0" applyNumberFormat="1" applyBorder="1"/>
    <xf numFmtId="1" fontId="0" fillId="0" borderId="2" xfId="0" applyNumberFormat="1" applyBorder="1" applyAlignment="1">
      <alignment horizontal="center"/>
    </xf>
    <xf numFmtId="1" fontId="0" fillId="0" borderId="31" xfId="0" applyNumberFormat="1" applyBorder="1" applyAlignment="1">
      <alignment horizontal="center"/>
    </xf>
    <xf numFmtId="0" fontId="0" fillId="6" borderId="30" xfId="0" applyNumberFormat="1" applyFill="1" applyBorder="1"/>
    <xf numFmtId="0" fontId="0" fillId="6" borderId="0" xfId="0" applyNumberFormat="1" applyFill="1" applyBorder="1"/>
    <xf numFmtId="49" fontId="0" fillId="6" borderId="0" xfId="0" applyNumberFormat="1" applyFill="1" applyBorder="1"/>
    <xf numFmtId="0" fontId="0" fillId="6" borderId="0" xfId="0" applyFill="1" applyBorder="1"/>
    <xf numFmtId="175" fontId="0" fillId="6" borderId="0" xfId="0" applyNumberFormat="1" applyFill="1" applyBorder="1"/>
    <xf numFmtId="1" fontId="0" fillId="6" borderId="0" xfId="0" applyNumberFormat="1" applyFill="1" applyBorder="1" applyAlignment="1">
      <alignment horizontal="right"/>
    </xf>
    <xf numFmtId="1" fontId="0" fillId="6" borderId="60" xfId="0" applyNumberFormat="1" applyFill="1" applyBorder="1" applyAlignment="1">
      <alignment horizontal="right"/>
    </xf>
    <xf numFmtId="0" fontId="0" fillId="7" borderId="30" xfId="0" applyNumberFormat="1" applyFill="1" applyBorder="1"/>
    <xf numFmtId="0" fontId="0" fillId="7" borderId="0" xfId="0" applyNumberFormat="1" applyFill="1" applyBorder="1"/>
    <xf numFmtId="49" fontId="0" fillId="7" borderId="0" xfId="0" applyNumberFormat="1" applyFill="1" applyBorder="1"/>
    <xf numFmtId="0" fontId="0" fillId="7" borderId="0" xfId="0" applyFill="1" applyBorder="1"/>
    <xf numFmtId="175" fontId="0" fillId="7" borderId="0" xfId="0" applyNumberFormat="1" applyFill="1" applyBorder="1"/>
    <xf numFmtId="1" fontId="0" fillId="7" borderId="0" xfId="0" applyNumberFormat="1" applyFill="1" applyBorder="1" applyAlignment="1">
      <alignment horizontal="right"/>
    </xf>
    <xf numFmtId="1" fontId="0" fillId="7" borderId="60" xfId="0" applyNumberFormat="1" applyFill="1" applyBorder="1" applyAlignment="1">
      <alignment horizontal="right"/>
    </xf>
    <xf numFmtId="0" fontId="0" fillId="0" borderId="30" xfId="0" applyNumberFormat="1" applyBorder="1"/>
    <xf numFmtId="0" fontId="0" fillId="0" borderId="0" xfId="0" applyNumberFormat="1" applyBorder="1"/>
    <xf numFmtId="49" fontId="0" fillId="0" borderId="0" xfId="0" applyNumberFormat="1" applyBorder="1"/>
    <xf numFmtId="175" fontId="0" fillId="0" borderId="0" xfId="0" applyNumberFormat="1" applyBorder="1"/>
    <xf numFmtId="1" fontId="0" fillId="0" borderId="0" xfId="0" applyNumberFormat="1" applyBorder="1" applyAlignment="1">
      <alignment horizontal="center"/>
    </xf>
    <xf numFmtId="1" fontId="0" fillId="0" borderId="60" xfId="0" applyNumberFormat="1" applyBorder="1" applyAlignment="1">
      <alignment horizontal="center"/>
    </xf>
    <xf numFmtId="0" fontId="0" fillId="8" borderId="30" xfId="0" applyNumberFormat="1" applyFill="1" applyBorder="1"/>
    <xf numFmtId="0" fontId="0" fillId="8" borderId="0" xfId="0" applyNumberFormat="1" applyFill="1" applyBorder="1"/>
    <xf numFmtId="49" fontId="0" fillId="8" borderId="0" xfId="0" applyNumberFormat="1" applyFill="1" applyBorder="1"/>
    <xf numFmtId="0" fontId="0" fillId="8" borderId="0" xfId="0" applyFill="1" applyBorder="1"/>
    <xf numFmtId="175" fontId="0" fillId="8" borderId="0" xfId="0" applyNumberFormat="1" applyFill="1" applyBorder="1"/>
    <xf numFmtId="1" fontId="0" fillId="8" borderId="0" xfId="0" applyNumberFormat="1" applyFill="1" applyBorder="1" applyAlignment="1">
      <alignment horizontal="right"/>
    </xf>
    <xf numFmtId="1" fontId="0" fillId="8" borderId="60" xfId="0" applyNumberFormat="1" applyFill="1" applyBorder="1" applyAlignment="1">
      <alignment horizontal="right"/>
    </xf>
    <xf numFmtId="0" fontId="0" fillId="9" borderId="30" xfId="0" applyNumberFormat="1" applyFill="1" applyBorder="1"/>
    <xf numFmtId="0" fontId="0" fillId="9" borderId="0" xfId="0" applyNumberFormat="1" applyFill="1" applyBorder="1"/>
    <xf numFmtId="49" fontId="0" fillId="9" borderId="0" xfId="0" applyNumberFormat="1" applyFill="1" applyBorder="1"/>
    <xf numFmtId="0" fontId="0" fillId="9" borderId="0" xfId="0" applyFill="1" applyBorder="1"/>
    <xf numFmtId="175" fontId="0" fillId="9" borderId="0" xfId="0" applyNumberFormat="1" applyFill="1" applyBorder="1"/>
    <xf numFmtId="1" fontId="0" fillId="9" borderId="0" xfId="0" applyNumberFormat="1" applyFill="1" applyBorder="1" applyAlignment="1">
      <alignment horizontal="right"/>
    </xf>
    <xf numFmtId="1" fontId="0" fillId="9" borderId="60" xfId="0" applyNumberFormat="1" applyFill="1" applyBorder="1" applyAlignment="1">
      <alignment horizontal="right"/>
    </xf>
    <xf numFmtId="0" fontId="0" fillId="0" borderId="3" xfId="0" applyBorder="1"/>
    <xf numFmtId="0" fontId="0" fillId="0" borderId="4" xfId="0" applyBorder="1"/>
    <xf numFmtId="49" fontId="0" fillId="0" borderId="4" xfId="0" applyNumberFormat="1" applyBorder="1"/>
    <xf numFmtId="175" fontId="4" fillId="0" borderId="4" xfId="0" applyNumberFormat="1" applyFont="1" applyBorder="1"/>
    <xf numFmtId="44" fontId="4" fillId="0" borderId="4" xfId="1" applyFont="1" applyBorder="1"/>
    <xf numFmtId="44" fontId="4" fillId="0" borderId="29" xfId="1" applyFont="1" applyBorder="1"/>
    <xf numFmtId="0" fontId="0" fillId="0" borderId="3" xfId="0" applyNumberFormat="1" applyBorder="1"/>
    <xf numFmtId="0" fontId="0" fillId="0" borderId="4" xfId="0" applyNumberFormat="1" applyBorder="1"/>
    <xf numFmtId="0" fontId="4" fillId="0" borderId="0" xfId="0" applyFont="1" applyBorder="1" applyAlignment="1">
      <alignment horizontal="center"/>
    </xf>
    <xf numFmtId="0" fontId="9" fillId="0" borderId="0" xfId="0" applyFont="1" applyBorder="1" applyAlignment="1">
      <alignment horizontal="center" vertical="center"/>
    </xf>
    <xf numFmtId="6" fontId="3" fillId="0" borderId="0" xfId="0" applyNumberFormat="1" applyFont="1"/>
    <xf numFmtId="0" fontId="4" fillId="0" borderId="25" xfId="0" applyFont="1" applyBorder="1" applyAlignment="1">
      <alignment horizontal="center" vertical="center"/>
    </xf>
    <xf numFmtId="0" fontId="4" fillId="0" borderId="32" xfId="0" applyFont="1" applyBorder="1" applyAlignment="1">
      <alignment horizontal="left"/>
    </xf>
    <xf numFmtId="0" fontId="4" fillId="0" borderId="37" xfId="0" applyFont="1" applyBorder="1" applyAlignment="1">
      <alignment horizontal="left"/>
    </xf>
    <xf numFmtId="0" fontId="4" fillId="0" borderId="33" xfId="0" applyFont="1" applyBorder="1" applyAlignment="1">
      <alignment horizontal="left"/>
    </xf>
    <xf numFmtId="0" fontId="0" fillId="6" borderId="56" xfId="0" applyFill="1" applyBorder="1" applyAlignment="1">
      <alignment horizontal="center"/>
    </xf>
    <xf numFmtId="0" fontId="0" fillId="10" borderId="18" xfId="0" applyFill="1" applyBorder="1" applyAlignment="1">
      <alignment horizontal="center"/>
    </xf>
    <xf numFmtId="0" fontId="0" fillId="6" borderId="25" xfId="0" applyFill="1" applyBorder="1" applyAlignment="1">
      <alignment horizontal="center"/>
    </xf>
    <xf numFmtId="0" fontId="0" fillId="10" borderId="19" xfId="0" applyFill="1" applyBorder="1" applyAlignment="1">
      <alignment horizontal="center"/>
    </xf>
    <xf numFmtId="0" fontId="0" fillId="6" borderId="45" xfId="0" applyFill="1" applyBorder="1" applyAlignment="1">
      <alignment horizontal="center"/>
    </xf>
    <xf numFmtId="0" fontId="0" fillId="10" borderId="20" xfId="0" applyFill="1" applyBorder="1" applyAlignment="1">
      <alignment horizontal="center"/>
    </xf>
    <xf numFmtId="0" fontId="0" fillId="8" borderId="25" xfId="0" applyFill="1" applyBorder="1" applyAlignment="1">
      <alignment horizontal="center"/>
    </xf>
    <xf numFmtId="0" fontId="0" fillId="9" borderId="19" xfId="0" applyFill="1" applyBorder="1" applyAlignment="1">
      <alignment horizontal="center"/>
    </xf>
    <xf numFmtId="0" fontId="0" fillId="8" borderId="56" xfId="0" applyFill="1" applyBorder="1" applyAlignment="1">
      <alignment horizontal="center"/>
    </xf>
    <xf numFmtId="0" fontId="0" fillId="9" borderId="18" xfId="0" applyFill="1" applyBorder="1" applyAlignment="1">
      <alignment horizontal="center"/>
    </xf>
    <xf numFmtId="0" fontId="0" fillId="8" borderId="45" xfId="0" applyFill="1" applyBorder="1"/>
    <xf numFmtId="0" fontId="0" fillId="9" borderId="20" xfId="0" applyFill="1" applyBorder="1"/>
    <xf numFmtId="0" fontId="35" fillId="0" borderId="0" xfId="0" applyFont="1"/>
    <xf numFmtId="0" fontId="36" fillId="0" borderId="0" xfId="18" applyFont="1"/>
    <xf numFmtId="0" fontId="20" fillId="0" borderId="0" xfId="18"/>
    <xf numFmtId="2" fontId="0" fillId="0" borderId="25" xfId="0" applyNumberFormat="1" applyBorder="1"/>
    <xf numFmtId="2" fontId="0" fillId="11" borderId="25" xfId="0" applyNumberFormat="1" applyFill="1" applyBorder="1"/>
    <xf numFmtId="2" fontId="0" fillId="0" borderId="25" xfId="0" applyNumberFormat="1" applyBorder="1" applyAlignment="1">
      <alignment horizontal="center"/>
    </xf>
    <xf numFmtId="44" fontId="0" fillId="0" borderId="25" xfId="1" applyFont="1" applyBorder="1" applyAlignment="1">
      <alignment horizontal="center"/>
    </xf>
    <xf numFmtId="9" fontId="0" fillId="0" borderId="0" xfId="0" applyNumberFormat="1"/>
    <xf numFmtId="0" fontId="6" fillId="0" borderId="0" xfId="0" applyFont="1"/>
    <xf numFmtId="0" fontId="14" fillId="0" borderId="0" xfId="0" applyFont="1"/>
    <xf numFmtId="44" fontId="6" fillId="0" borderId="0" xfId="1" applyFont="1" applyFill="1"/>
    <xf numFmtId="0" fontId="21" fillId="0" borderId="0" xfId="0" applyFont="1"/>
    <xf numFmtId="3" fontId="0" fillId="0" borderId="0" xfId="0" applyNumberFormat="1"/>
    <xf numFmtId="22" fontId="0" fillId="0" borderId="0" xfId="0" applyNumberFormat="1"/>
    <xf numFmtId="4" fontId="0" fillId="0" borderId="0" xfId="0" applyNumberFormat="1"/>
    <xf numFmtId="49" fontId="37" fillId="0" borderId="0" xfId="0" applyNumberFormat="1" applyFont="1" applyAlignment="1">
      <alignment horizontal="center" wrapText="1"/>
    </xf>
    <xf numFmtId="49" fontId="37" fillId="0" borderId="25" xfId="0" applyNumberFormat="1" applyFont="1" applyBorder="1" applyAlignment="1">
      <alignment horizontal="left" wrapText="1"/>
    </xf>
    <xf numFmtId="176" fontId="37" fillId="0" borderId="25" xfId="0" applyNumberFormat="1" applyFont="1" applyBorder="1" applyAlignment="1">
      <alignment horizontal="left" wrapText="1"/>
    </xf>
    <xf numFmtId="2" fontId="37" fillId="0" borderId="25" xfId="0" applyNumberFormat="1" applyFont="1" applyBorder="1" applyAlignment="1">
      <alignment horizontal="left" wrapText="1"/>
    </xf>
    <xf numFmtId="0" fontId="37" fillId="0" borderId="25" xfId="0" applyFont="1" applyBorder="1" applyAlignment="1">
      <alignment horizontal="center" wrapText="1"/>
    </xf>
    <xf numFmtId="49" fontId="37" fillId="0" borderId="25" xfId="0" applyNumberFormat="1" applyFont="1" applyBorder="1" applyAlignment="1">
      <alignment horizontal="center" wrapText="1"/>
    </xf>
    <xf numFmtId="49" fontId="37" fillId="9" borderId="25" xfId="0" applyNumberFormat="1" applyFont="1" applyFill="1" applyBorder="1" applyAlignment="1">
      <alignment horizontal="left" wrapText="1"/>
    </xf>
    <xf numFmtId="176" fontId="37" fillId="9" borderId="25" xfId="0" applyNumberFormat="1" applyFont="1" applyFill="1" applyBorder="1" applyAlignment="1">
      <alignment horizontal="left" wrapText="1"/>
    </xf>
    <xf numFmtId="2" fontId="37" fillId="9" borderId="25" xfId="0" applyNumberFormat="1" applyFont="1" applyFill="1" applyBorder="1" applyAlignment="1">
      <alignment horizontal="left" wrapText="1"/>
    </xf>
    <xf numFmtId="0" fontId="37" fillId="9" borderId="25" xfId="0" applyFont="1" applyFill="1" applyBorder="1" applyAlignment="1">
      <alignment horizontal="center" wrapText="1"/>
    </xf>
    <xf numFmtId="49" fontId="37" fillId="9" borderId="25" xfId="0" applyNumberFormat="1" applyFont="1" applyFill="1" applyBorder="1" applyAlignment="1">
      <alignment horizontal="center" wrapText="1"/>
    </xf>
    <xf numFmtId="176" fontId="38" fillId="0" borderId="25" xfId="0" applyNumberFormat="1" applyFont="1" applyBorder="1" applyAlignment="1">
      <alignment horizontal="left" wrapText="1"/>
    </xf>
    <xf numFmtId="49" fontId="37" fillId="0" borderId="37" xfId="0" applyNumberFormat="1" applyFont="1" applyBorder="1" applyAlignment="1">
      <alignment horizontal="left" wrapText="1"/>
    </xf>
    <xf numFmtId="0" fontId="0" fillId="0" borderId="19" xfId="0" applyBorder="1"/>
    <xf numFmtId="49" fontId="37" fillId="9" borderId="37" xfId="0" applyNumberFormat="1" applyFont="1" applyFill="1" applyBorder="1" applyAlignment="1">
      <alignment horizontal="left" wrapText="1"/>
    </xf>
    <xf numFmtId="49" fontId="37" fillId="0" borderId="33" xfId="0" applyNumberFormat="1" applyFont="1" applyBorder="1" applyAlignment="1">
      <alignment horizontal="left" wrapText="1"/>
    </xf>
    <xf numFmtId="49" fontId="37" fillId="0" borderId="45" xfId="0" applyNumberFormat="1" applyFont="1" applyBorder="1" applyAlignment="1">
      <alignment horizontal="left" wrapText="1"/>
    </xf>
    <xf numFmtId="2" fontId="37" fillId="0" borderId="45" xfId="0" applyNumberFormat="1" applyFont="1" applyBorder="1" applyAlignment="1">
      <alignment horizontal="left" wrapText="1"/>
    </xf>
    <xf numFmtId="0" fontId="37" fillId="0" borderId="45" xfId="0" applyFont="1" applyBorder="1" applyAlignment="1">
      <alignment horizontal="center" wrapText="1"/>
    </xf>
    <xf numFmtId="49" fontId="37" fillId="0" borderId="45" xfId="0" applyNumberFormat="1" applyFont="1" applyBorder="1" applyAlignment="1">
      <alignment horizontal="center" wrapText="1"/>
    </xf>
    <xf numFmtId="0" fontId="0" fillId="0" borderId="20" xfId="0" applyBorder="1"/>
    <xf numFmtId="49" fontId="37" fillId="0" borderId="41" xfId="0" applyNumberFormat="1" applyFont="1" applyBorder="1" applyAlignment="1">
      <alignment horizontal="left" wrapText="1"/>
    </xf>
    <xf numFmtId="176" fontId="37" fillId="0" borderId="24" xfId="0" applyNumberFormat="1" applyFont="1" applyBorder="1" applyAlignment="1">
      <alignment horizontal="left" wrapText="1"/>
    </xf>
    <xf numFmtId="49" fontId="37" fillId="0" borderId="24" xfId="0" applyNumberFormat="1" applyFont="1" applyBorder="1" applyAlignment="1">
      <alignment horizontal="left" wrapText="1"/>
    </xf>
    <xf numFmtId="2" fontId="37" fillId="0" borderId="24" xfId="0" applyNumberFormat="1" applyFont="1" applyBorder="1" applyAlignment="1">
      <alignment horizontal="left" wrapText="1"/>
    </xf>
    <xf numFmtId="0" fontId="37" fillId="0" borderId="24" xfId="0" applyFont="1" applyBorder="1" applyAlignment="1">
      <alignment horizontal="center" wrapText="1"/>
    </xf>
    <xf numFmtId="49" fontId="37" fillId="0" borderId="24" xfId="0" applyNumberFormat="1" applyFont="1" applyBorder="1" applyAlignment="1">
      <alignment horizontal="center" wrapText="1"/>
    </xf>
    <xf numFmtId="0" fontId="0" fillId="0" borderId="42" xfId="0" applyBorder="1"/>
    <xf numFmtId="0" fontId="39" fillId="0" borderId="63" xfId="0" applyFont="1" applyBorder="1" applyAlignment="1">
      <alignment horizontal="center" vertical="center" wrapText="1"/>
    </xf>
    <xf numFmtId="0" fontId="39" fillId="0" borderId="64" xfId="0" applyFont="1" applyBorder="1" applyAlignment="1">
      <alignment horizontal="center" vertical="center" wrapText="1"/>
    </xf>
    <xf numFmtId="0" fontId="39" fillId="0" borderId="65" xfId="0" applyFont="1" applyBorder="1" applyAlignment="1">
      <alignment horizontal="center" vertical="center" wrapText="1"/>
    </xf>
    <xf numFmtId="0" fontId="40" fillId="0" borderId="0" xfId="0" applyNumberFormat="1" applyFont="1"/>
    <xf numFmtId="0" fontId="0" fillId="0" borderId="0" xfId="0"/>
    <xf numFmtId="6" fontId="2" fillId="0" borderId="12" xfId="0" applyNumberFormat="1" applyFont="1" applyFill="1" applyBorder="1" applyAlignment="1">
      <alignment horizontal="right" indent="1"/>
    </xf>
    <xf numFmtId="0" fontId="0" fillId="0" borderId="0" xfId="0"/>
    <xf numFmtId="0" fontId="0" fillId="0" borderId="0" xfId="0" applyAlignment="1">
      <alignment horizontal="center"/>
    </xf>
    <xf numFmtId="0" fontId="2" fillId="0" borderId="15" xfId="0" applyFont="1" applyFill="1" applyBorder="1" applyAlignment="1">
      <alignment horizontal="center" vertical="center" wrapText="1"/>
    </xf>
    <xf numFmtId="0" fontId="0" fillId="0" borderId="0" xfId="0"/>
    <xf numFmtId="0" fontId="0" fillId="0" borderId="0" xfId="0" applyAlignment="1">
      <alignment horizontal="center"/>
    </xf>
    <xf numFmtId="170" fontId="0" fillId="0" borderId="25" xfId="0" applyNumberFormat="1" applyFont="1" applyFill="1" applyBorder="1" applyAlignment="1">
      <alignment horizontal="center"/>
    </xf>
    <xf numFmtId="2" fontId="0" fillId="0" borderId="25" xfId="16" applyNumberFormat="1" applyFont="1" applyFill="1" applyBorder="1" applyAlignment="1">
      <alignment horizontal="center"/>
    </xf>
    <xf numFmtId="0" fontId="0" fillId="0" borderId="33" xfId="0" applyBorder="1"/>
    <xf numFmtId="1" fontId="0" fillId="0" borderId="19" xfId="0" applyNumberFormat="1" applyBorder="1" applyAlignment="1">
      <alignment horizontal="center"/>
    </xf>
    <xf numFmtId="1" fontId="0" fillId="0" borderId="25" xfId="0" applyNumberFormat="1" applyBorder="1" applyAlignment="1">
      <alignment horizontal="center"/>
    </xf>
    <xf numFmtId="0" fontId="0" fillId="0" borderId="19" xfId="0" applyBorder="1" applyAlignment="1">
      <alignment horizontal="center"/>
    </xf>
    <xf numFmtId="170" fontId="0" fillId="0" borderId="20" xfId="0" applyNumberFormat="1" applyBorder="1"/>
    <xf numFmtId="0" fontId="0" fillId="0" borderId="45" xfId="0" applyBorder="1"/>
    <xf numFmtId="170" fontId="0" fillId="0" borderId="19" xfId="0" applyNumberFormat="1" applyBorder="1"/>
    <xf numFmtId="0" fontId="0" fillId="0" borderId="37" xfId="0" applyBorder="1"/>
    <xf numFmtId="0" fontId="0" fillId="0" borderId="18" xfId="0" applyBorder="1"/>
    <xf numFmtId="0" fontId="0" fillId="0" borderId="56" xfId="0" applyBorder="1"/>
    <xf numFmtId="0" fontId="0" fillId="0" borderId="56" xfId="0" applyBorder="1" applyAlignment="1">
      <alignment horizontal="center"/>
    </xf>
    <xf numFmtId="0" fontId="0" fillId="13" borderId="0" xfId="0" applyFill="1"/>
    <xf numFmtId="37" fontId="2" fillId="0" borderId="14" xfId="15" applyNumberFormat="1" applyFont="1" applyFill="1" applyBorder="1" applyAlignment="1">
      <alignment horizontal="center"/>
    </xf>
    <xf numFmtId="37" fontId="2" fillId="0" borderId="44" xfId="15" applyNumberFormat="1" applyFont="1" applyFill="1" applyBorder="1" applyAlignment="1">
      <alignment horizontal="center"/>
    </xf>
    <xf numFmtId="6" fontId="2" fillId="0" borderId="14" xfId="15" applyNumberFormat="1" applyFont="1" applyFill="1" applyBorder="1" applyAlignment="1">
      <alignment horizontal="right"/>
    </xf>
    <xf numFmtId="6" fontId="2" fillId="0" borderId="8" xfId="15" applyNumberFormat="1" applyFont="1" applyFill="1" applyBorder="1" applyAlignment="1">
      <alignment horizontal="right"/>
    </xf>
    <xf numFmtId="0" fontId="2" fillId="0" borderId="5" xfId="0" applyFont="1" applyBorder="1" applyAlignment="1">
      <alignment horizontal="center"/>
    </xf>
    <xf numFmtId="169" fontId="0" fillId="0" borderId="0" xfId="16" applyNumberFormat="1" applyFont="1" applyFill="1" applyBorder="1" applyAlignment="1">
      <alignment horizontal="center"/>
    </xf>
    <xf numFmtId="2" fontId="0" fillId="0" borderId="0" xfId="16" applyNumberFormat="1" applyFont="1" applyFill="1" applyBorder="1" applyAlignment="1">
      <alignment horizontal="center"/>
    </xf>
    <xf numFmtId="170" fontId="0" fillId="0" borderId="0" xfId="0" applyNumberFormat="1" applyFont="1" applyFill="1" applyBorder="1" applyAlignment="1">
      <alignment horizontal="center"/>
    </xf>
    <xf numFmtId="37" fontId="2" fillId="0" borderId="14" xfId="15" applyNumberFormat="1" applyFont="1" applyFill="1" applyBorder="1" applyAlignment="1">
      <alignment horizontal="center" vertical="center"/>
    </xf>
    <xf numFmtId="37" fontId="2" fillId="0" borderId="15" xfId="15" applyNumberFormat="1" applyFont="1" applyFill="1" applyBorder="1" applyAlignment="1">
      <alignment horizontal="center" vertical="center"/>
    </xf>
    <xf numFmtId="37" fontId="2" fillId="0" borderId="14" xfId="15" applyNumberFormat="1" applyFont="1" applyFill="1" applyBorder="1" applyAlignment="1">
      <alignment vertical="center"/>
    </xf>
    <xf numFmtId="37" fontId="2" fillId="0" borderId="15" xfId="15" applyNumberFormat="1" applyFont="1" applyFill="1" applyBorder="1" applyAlignment="1">
      <alignment vertical="center"/>
    </xf>
    <xf numFmtId="37" fontId="2" fillId="0" borderId="13" xfId="15" applyNumberFormat="1" applyFont="1" applyFill="1" applyBorder="1" applyAlignment="1">
      <alignment horizontal="center"/>
    </xf>
    <xf numFmtId="37" fontId="2" fillId="0" borderId="51" xfId="15" applyNumberFormat="1" applyFont="1" applyFill="1" applyBorder="1" applyAlignment="1">
      <alignment horizontal="center"/>
    </xf>
    <xf numFmtId="6" fontId="2" fillId="0" borderId="13" xfId="15" applyNumberFormat="1" applyFont="1" applyFill="1" applyBorder="1" applyAlignment="1">
      <alignment horizontal="right"/>
    </xf>
    <xf numFmtId="6" fontId="2" fillId="0" borderId="6" xfId="15" applyNumberFormat="1" applyFont="1" applyFill="1" applyBorder="1" applyAlignment="1">
      <alignment horizontal="right"/>
    </xf>
    <xf numFmtId="6" fontId="2" fillId="0" borderId="13" xfId="15" applyNumberFormat="1" applyFont="1" applyFill="1" applyBorder="1" applyAlignment="1"/>
    <xf numFmtId="6" fontId="2" fillId="0" borderId="6" xfId="15" applyNumberFormat="1" applyFont="1" applyFill="1" applyBorder="1" applyAlignment="1"/>
    <xf numFmtId="6" fontId="2" fillId="0" borderId="14" xfId="15" applyNumberFormat="1" applyFont="1" applyFill="1" applyBorder="1" applyAlignment="1"/>
    <xf numFmtId="6" fontId="2" fillId="0" borderId="8" xfId="15" applyNumberFormat="1" applyFont="1" applyFill="1" applyBorder="1" applyAlignment="1"/>
    <xf numFmtId="37" fontId="37" fillId="14" borderId="44" xfId="15" applyNumberFormat="1" applyFont="1" applyFill="1" applyBorder="1" applyAlignment="1">
      <alignment horizontal="center"/>
    </xf>
    <xf numFmtId="6" fontId="2" fillId="14" borderId="14" xfId="15" applyNumberFormat="1" applyFont="1" applyFill="1" applyBorder="1" applyAlignment="1">
      <alignment horizontal="right"/>
    </xf>
    <xf numFmtId="6" fontId="2" fillId="14" borderId="8" xfId="15" applyNumberFormat="1" applyFont="1" applyFill="1" applyBorder="1" applyAlignment="1">
      <alignment horizontal="right"/>
    </xf>
    <xf numFmtId="37" fontId="2" fillId="14" borderId="44" xfId="15" applyNumberFormat="1" applyFont="1" applyFill="1" applyBorder="1" applyAlignment="1">
      <alignment horizontal="center"/>
    </xf>
    <xf numFmtId="37" fontId="2" fillId="14" borderId="50" xfId="15" applyNumberFormat="1" applyFont="1" applyFill="1" applyBorder="1" applyAlignment="1">
      <alignment horizontal="center"/>
    </xf>
    <xf numFmtId="6" fontId="2" fillId="14" borderId="15" xfId="15" applyNumberFormat="1" applyFont="1" applyFill="1" applyBorder="1" applyAlignment="1">
      <alignment horizontal="right"/>
    </xf>
    <xf numFmtId="6" fontId="2" fillId="14" borderId="10" xfId="15" applyNumberFormat="1" applyFont="1" applyFill="1" applyBorder="1" applyAlignment="1">
      <alignment horizontal="right"/>
    </xf>
    <xf numFmtId="0" fontId="0" fillId="0" borderId="0" xfId="0" applyFill="1" applyAlignment="1">
      <alignment horizontal="left" vertical="top" wrapText="1"/>
    </xf>
    <xf numFmtId="0" fontId="0" fillId="0" borderId="0" xfId="0"/>
    <xf numFmtId="0" fontId="4" fillId="0" borderId="0" xfId="0" applyFont="1" applyFill="1" applyBorder="1" applyAlignment="1">
      <alignment horizontal="left"/>
    </xf>
    <xf numFmtId="0" fontId="6" fillId="0" borderId="0" xfId="2" applyFont="1" applyFill="1" applyBorder="1" applyAlignment="1">
      <alignment horizontal="left" vertical="top"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0" fillId="0" borderId="0" xfId="0"/>
    <xf numFmtId="0" fontId="4" fillId="0" borderId="0" xfId="0" applyFont="1" applyFill="1" applyBorder="1" applyAlignment="1">
      <alignment horizontal="left"/>
    </xf>
    <xf numFmtId="0" fontId="4" fillId="0" borderId="26" xfId="0" applyFont="1" applyBorder="1" applyAlignment="1">
      <alignment horizontal="left"/>
    </xf>
    <xf numFmtId="0" fontId="0" fillId="0" borderId="0" xfId="0" applyAlignment="1">
      <alignment horizontal="left" vertical="top" wrapText="1"/>
    </xf>
    <xf numFmtId="0" fontId="0" fillId="0" borderId="25" xfId="0" applyBorder="1" applyAlignment="1">
      <alignment horizontal="center" vertical="center"/>
    </xf>
    <xf numFmtId="0" fontId="4" fillId="0" borderId="25" xfId="0" applyFont="1" applyBorder="1" applyAlignment="1">
      <alignment horizontal="center"/>
    </xf>
    <xf numFmtId="0" fontId="4" fillId="0" borderId="25" xfId="0" applyFont="1" applyBorder="1" applyAlignment="1">
      <alignment horizontal="center" wrapText="1"/>
    </xf>
    <xf numFmtId="0" fontId="0" fillId="0" borderId="25" xfId="0" applyBorder="1" applyAlignment="1">
      <alignment horizontal="center"/>
    </xf>
    <xf numFmtId="0" fontId="0" fillId="0" borderId="0" xfId="0" applyAlignment="1">
      <alignment horizontal="center"/>
    </xf>
    <xf numFmtId="37" fontId="2" fillId="0" borderId="15" xfId="15" applyNumberFormat="1" applyFont="1" applyFill="1" applyBorder="1" applyAlignment="1">
      <alignment horizontal="center"/>
    </xf>
    <xf numFmtId="0" fontId="0" fillId="0" borderId="54" xfId="0" applyFont="1" applyFill="1" applyBorder="1" applyAlignment="1"/>
    <xf numFmtId="0" fontId="4" fillId="0" borderId="0" xfId="0" applyFont="1" applyFill="1" applyBorder="1" applyAlignment="1"/>
    <xf numFmtId="170" fontId="0" fillId="0" borderId="25" xfId="0" applyNumberFormat="1" applyFill="1" applyBorder="1" applyAlignment="1">
      <alignment horizontal="center"/>
    </xf>
    <xf numFmtId="168" fontId="4" fillId="0" borderId="0" xfId="15" applyNumberFormat="1" applyFont="1" applyFill="1" applyBorder="1" applyAlignment="1">
      <alignment horizontal="center"/>
    </xf>
    <xf numFmtId="0" fontId="0" fillId="0" borderId="41" xfId="0" applyFill="1" applyBorder="1"/>
    <xf numFmtId="0" fontId="0" fillId="0" borderId="37" xfId="0" applyFill="1" applyBorder="1"/>
    <xf numFmtId="0" fontId="0" fillId="0" borderId="37" xfId="0" applyFill="1" applyBorder="1" applyAlignment="1">
      <alignment horizontal="center"/>
    </xf>
    <xf numFmtId="0" fontId="0" fillId="0" borderId="33" xfId="0" applyFill="1" applyBorder="1" applyAlignment="1">
      <alignment horizontal="center"/>
    </xf>
    <xf numFmtId="0" fontId="0" fillId="0" borderId="70" xfId="0" applyFill="1" applyBorder="1"/>
    <xf numFmtId="0" fontId="0" fillId="0" borderId="19" xfId="0" applyFill="1" applyBorder="1" applyAlignment="1">
      <alignment horizontal="center"/>
    </xf>
    <xf numFmtId="1" fontId="0" fillId="0" borderId="19" xfId="0" applyNumberFormat="1" applyFill="1" applyBorder="1" applyAlignment="1">
      <alignment horizontal="center"/>
    </xf>
    <xf numFmtId="10" fontId="0" fillId="0" borderId="71" xfId="16" applyNumberFormat="1" applyFont="1" applyFill="1" applyBorder="1" applyAlignment="1">
      <alignment horizontal="center"/>
    </xf>
    <xf numFmtId="0" fontId="0" fillId="0" borderId="42" xfId="0" applyBorder="1" applyAlignment="1">
      <alignment horizontal="center"/>
    </xf>
    <xf numFmtId="10" fontId="0" fillId="0" borderId="19" xfId="16" applyNumberFormat="1" applyFont="1" applyFill="1" applyBorder="1" applyAlignment="1">
      <alignment horizontal="center"/>
    </xf>
    <xf numFmtId="0" fontId="0" fillId="12" borderId="37" xfId="0" applyFill="1" applyBorder="1" applyAlignment="1">
      <alignment horizontal="center"/>
    </xf>
    <xf numFmtId="1" fontId="0" fillId="12" borderId="19" xfId="0" applyNumberFormat="1" applyFill="1" applyBorder="1" applyAlignment="1">
      <alignment horizontal="center"/>
    </xf>
    <xf numFmtId="0" fontId="0" fillId="12" borderId="33" xfId="0" applyFill="1" applyBorder="1" applyAlignment="1">
      <alignment horizontal="center"/>
    </xf>
    <xf numFmtId="1" fontId="0" fillId="12" borderId="20" xfId="0" applyNumberFormat="1" applyFill="1" applyBorder="1" applyAlignment="1">
      <alignment horizontal="center"/>
    </xf>
    <xf numFmtId="1" fontId="0" fillId="0" borderId="20" xfId="0" applyNumberFormat="1" applyFill="1" applyBorder="1" applyAlignment="1">
      <alignment horizontal="center"/>
    </xf>
    <xf numFmtId="0" fontId="4" fillId="12" borderId="25" xfId="0" applyFont="1" applyFill="1" applyBorder="1" applyAlignment="1">
      <alignment horizontal="center"/>
    </xf>
    <xf numFmtId="37" fontId="1" fillId="0" borderId="25" xfId="15" applyNumberFormat="1" applyFont="1" applyFill="1" applyBorder="1" applyAlignment="1">
      <alignment horizontal="center"/>
    </xf>
    <xf numFmtId="0" fontId="0" fillId="0" borderId="0" xfId="0"/>
    <xf numFmtId="0" fontId="4" fillId="9" borderId="25" xfId="0" applyFont="1" applyFill="1" applyBorder="1" applyAlignment="1">
      <alignment horizontal="center"/>
    </xf>
    <xf numFmtId="0" fontId="41" fillId="0" borderId="0" xfId="0" applyFont="1"/>
    <xf numFmtId="6" fontId="2" fillId="0" borderId="15" xfId="15" applyNumberFormat="1" applyFont="1" applyFill="1" applyBorder="1" applyAlignment="1">
      <alignment horizontal="right"/>
    </xf>
    <xf numFmtId="6" fontId="2" fillId="0" borderId="10" xfId="15" applyNumberFormat="1" applyFont="1" applyFill="1" applyBorder="1" applyAlignment="1">
      <alignment horizontal="right"/>
    </xf>
    <xf numFmtId="164" fontId="0" fillId="0" borderId="25" xfId="0" applyNumberFormat="1" applyBorder="1" applyAlignment="1">
      <alignment horizontal="center"/>
    </xf>
    <xf numFmtId="0" fontId="6" fillId="0" borderId="0" xfId="0" applyFont="1" applyFill="1" applyBorder="1" applyAlignment="1">
      <alignment vertical="top" wrapText="1"/>
    </xf>
    <xf numFmtId="164" fontId="4" fillId="12" borderId="25" xfId="0" applyNumberFormat="1" applyFont="1" applyFill="1" applyBorder="1" applyAlignment="1">
      <alignment horizontal="center"/>
    </xf>
    <xf numFmtId="1" fontId="0" fillId="0" borderId="25" xfId="0" applyNumberFormat="1" applyFill="1" applyBorder="1" applyAlignment="1">
      <alignment horizontal="center"/>
    </xf>
    <xf numFmtId="10" fontId="0" fillId="0" borderId="25" xfId="16" applyNumberFormat="1" applyFont="1" applyFill="1" applyBorder="1" applyAlignment="1">
      <alignment horizontal="center"/>
    </xf>
    <xf numFmtId="0" fontId="0" fillId="0" borderId="24" xfId="0" applyFill="1" applyBorder="1"/>
    <xf numFmtId="0" fontId="0" fillId="0" borderId="24" xfId="0" applyBorder="1" applyAlignment="1">
      <alignment horizontal="center"/>
    </xf>
    <xf numFmtId="0" fontId="0" fillId="12" borderId="25" xfId="0" applyFill="1" applyBorder="1" applyAlignment="1">
      <alignment horizontal="center"/>
    </xf>
    <xf numFmtId="1" fontId="0" fillId="12" borderId="25" xfId="0" applyNumberFormat="1" applyFill="1" applyBorder="1" applyAlignment="1">
      <alignment horizontal="center"/>
    </xf>
    <xf numFmtId="0" fontId="0" fillId="0" borderId="76" xfId="0" applyFill="1" applyBorder="1"/>
    <xf numFmtId="10" fontId="0" fillId="0" borderId="76" xfId="16" applyNumberFormat="1" applyFont="1" applyFill="1" applyBorder="1" applyAlignment="1">
      <alignment horizontal="center"/>
    </xf>
    <xf numFmtId="171" fontId="0" fillId="0" borderId="25" xfId="0" applyNumberFormat="1" applyFont="1" applyFill="1" applyBorder="1" applyAlignment="1">
      <alignment horizontal="center"/>
    </xf>
    <xf numFmtId="0" fontId="4" fillId="0" borderId="0" xfId="0" applyFont="1" applyFill="1" applyBorder="1"/>
    <xf numFmtId="1" fontId="4" fillId="0" borderId="0" xfId="0" applyNumberFormat="1" applyFont="1"/>
    <xf numFmtId="2" fontId="0" fillId="0" borderId="0" xfId="0" applyNumberFormat="1" applyFill="1" applyBorder="1" applyAlignment="1">
      <alignment horizontal="center" vertical="center"/>
    </xf>
    <xf numFmtId="10" fontId="1" fillId="0" borderId="0" xfId="16" applyNumberFormat="1" applyFont="1"/>
    <xf numFmtId="164" fontId="0" fillId="0" borderId="25" xfId="0" applyNumberFormat="1" applyFill="1" applyBorder="1" applyAlignment="1">
      <alignment horizontal="center"/>
    </xf>
    <xf numFmtId="175" fontId="2" fillId="0" borderId="5" xfId="0" applyNumberFormat="1" applyFont="1" applyBorder="1" applyAlignment="1">
      <alignment horizontal="center"/>
    </xf>
    <xf numFmtId="6" fontId="2" fillId="0" borderId="32" xfId="0" applyNumberFormat="1" applyFont="1" applyBorder="1" applyAlignment="1">
      <alignment horizontal="center"/>
    </xf>
    <xf numFmtId="6" fontId="2" fillId="0" borderId="18" xfId="0" applyNumberFormat="1" applyFont="1" applyBorder="1" applyAlignment="1">
      <alignment horizontal="center"/>
    </xf>
    <xf numFmtId="3" fontId="2" fillId="0" borderId="13" xfId="0" applyNumberFormat="1" applyFont="1" applyBorder="1" applyAlignment="1">
      <alignment horizontal="center"/>
    </xf>
    <xf numFmtId="178" fontId="2" fillId="0" borderId="32" xfId="0" applyNumberFormat="1" applyFont="1" applyBorder="1" applyAlignment="1">
      <alignment horizontal="center"/>
    </xf>
    <xf numFmtId="178" fontId="2" fillId="0" borderId="56" xfId="0" applyNumberFormat="1" applyFont="1" applyBorder="1" applyAlignment="1">
      <alignment horizontal="center"/>
    </xf>
    <xf numFmtId="178" fontId="2" fillId="0" borderId="18" xfId="0" applyNumberFormat="1" applyFont="1" applyBorder="1" applyAlignment="1">
      <alignment horizontal="center"/>
    </xf>
    <xf numFmtId="6" fontId="2" fillId="0" borderId="68" xfId="0" applyNumberFormat="1" applyFont="1" applyBorder="1" applyAlignment="1">
      <alignment horizontal="center"/>
    </xf>
    <xf numFmtId="6" fontId="2" fillId="0" borderId="56"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41" xfId="0" applyNumberFormat="1" applyFont="1" applyBorder="1" applyAlignment="1">
      <alignment horizontal="center"/>
    </xf>
    <xf numFmtId="6" fontId="2" fillId="0" borderId="42" xfId="0" applyNumberFormat="1" applyFont="1" applyBorder="1" applyAlignment="1">
      <alignment horizontal="center"/>
    </xf>
    <xf numFmtId="175" fontId="2" fillId="0" borderId="40" xfId="0" applyNumberFormat="1" applyFont="1" applyBorder="1" applyAlignment="1">
      <alignment horizontal="center"/>
    </xf>
    <xf numFmtId="3" fontId="2" fillId="0" borderId="14" xfId="0" applyNumberFormat="1" applyFont="1" applyBorder="1" applyAlignment="1">
      <alignment horizontal="center"/>
    </xf>
    <xf numFmtId="178" fontId="2" fillId="0" borderId="37" xfId="0" applyNumberFormat="1" applyFont="1" applyBorder="1" applyAlignment="1">
      <alignment horizontal="center"/>
    </xf>
    <xf numFmtId="178" fontId="2" fillId="0" borderId="25" xfId="0" applyNumberFormat="1" applyFont="1" applyBorder="1" applyAlignment="1">
      <alignment horizontal="center"/>
    </xf>
    <xf numFmtId="178" fontId="2" fillId="0" borderId="19" xfId="0" applyNumberFormat="1" applyFont="1" applyBorder="1" applyAlignment="1">
      <alignment horizontal="center"/>
    </xf>
    <xf numFmtId="6" fontId="2" fillId="0" borderId="55" xfId="0" applyNumberFormat="1" applyFont="1" applyBorder="1" applyAlignment="1">
      <alignment horizontal="center"/>
    </xf>
    <xf numFmtId="6" fontId="2" fillId="0" borderId="25"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8" xfId="0" applyNumberFormat="1" applyFont="1" applyBorder="1" applyAlignment="1">
      <alignment horizontal="center"/>
    </xf>
    <xf numFmtId="6" fontId="2" fillId="0" borderId="37" xfId="0" applyNumberFormat="1" applyFont="1" applyBorder="1" applyAlignment="1">
      <alignment horizontal="center"/>
    </xf>
    <xf numFmtId="174" fontId="0" fillId="0" borderId="25" xfId="0" applyNumberFormat="1" applyBorder="1" applyAlignment="1">
      <alignment horizontal="center" vertical="center"/>
    </xf>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0" fontId="4" fillId="0" borderId="25" xfId="0" applyFont="1" applyBorder="1" applyAlignment="1">
      <alignment vertical="center"/>
    </xf>
    <xf numFmtId="6" fontId="0" fillId="0" borderId="25" xfId="0" applyNumberFormat="1" applyBorder="1"/>
    <xf numFmtId="175" fontId="2" fillId="0" borderId="9" xfId="0" applyNumberFormat="1" applyFont="1" applyBorder="1" applyAlignment="1">
      <alignment horizontal="center"/>
    </xf>
    <xf numFmtId="6" fontId="2" fillId="0" borderId="33" xfId="0" applyNumberFormat="1" applyFont="1" applyBorder="1" applyAlignment="1">
      <alignment horizontal="center"/>
    </xf>
    <xf numFmtId="6" fontId="2" fillId="0" borderId="20" xfId="0" applyNumberFormat="1" applyFont="1" applyBorder="1" applyAlignment="1">
      <alignment horizontal="center"/>
    </xf>
    <xf numFmtId="3" fontId="2" fillId="0" borderId="15" xfId="0" applyNumberFormat="1" applyFont="1" applyBorder="1" applyAlignment="1">
      <alignment horizontal="center"/>
    </xf>
    <xf numFmtId="178" fontId="2" fillId="0" borderId="33" xfId="0" applyNumberFormat="1" applyFont="1" applyBorder="1" applyAlignment="1">
      <alignment horizontal="center"/>
    </xf>
    <xf numFmtId="178" fontId="2" fillId="0" borderId="45" xfId="0" applyNumberFormat="1" applyFont="1" applyBorder="1" applyAlignment="1">
      <alignment horizontal="center"/>
    </xf>
    <xf numFmtId="178" fontId="2" fillId="0" borderId="20" xfId="0" applyNumberFormat="1" applyFont="1" applyBorder="1" applyAlignment="1">
      <alignment horizontal="center"/>
    </xf>
    <xf numFmtId="6" fontId="2" fillId="0" borderId="69" xfId="0" applyNumberFormat="1" applyFont="1" applyBorder="1" applyAlignment="1">
      <alignment horizontal="center"/>
    </xf>
    <xf numFmtId="6" fontId="2" fillId="0" borderId="45" xfId="0" applyNumberFormat="1" applyFont="1" applyBorder="1" applyAlignment="1">
      <alignment horizontal="center"/>
    </xf>
    <xf numFmtId="6" fontId="2" fillId="0" borderId="15" xfId="0" applyNumberFormat="1" applyFont="1" applyBorder="1" applyAlignment="1">
      <alignment horizontal="center"/>
    </xf>
    <xf numFmtId="6" fontId="2" fillId="0" borderId="10" xfId="0" applyNumberFormat="1" applyFont="1" applyBorder="1" applyAlignment="1">
      <alignment horizontal="center"/>
    </xf>
    <xf numFmtId="6" fontId="2" fillId="0" borderId="0" xfId="0" applyNumberFormat="1" applyFont="1" applyAlignment="1">
      <alignment horizontal="center"/>
    </xf>
    <xf numFmtId="0" fontId="26" fillId="0" borderId="0" xfId="0" applyFont="1"/>
    <xf numFmtId="0" fontId="0" fillId="0" borderId="0" xfId="0" applyAlignment="1">
      <alignment wrapText="1"/>
    </xf>
    <xf numFmtId="0" fontId="0" fillId="15" borderId="25" xfId="0" applyFill="1" applyBorder="1" applyAlignment="1">
      <alignment horizontal="center" vertical="center"/>
    </xf>
    <xf numFmtId="6" fontId="0" fillId="15" borderId="25" xfId="0" applyNumberFormat="1" applyFill="1" applyBorder="1"/>
    <xf numFmtId="0" fontId="4" fillId="0" borderId="0" xfId="0" applyFont="1" applyAlignment="1">
      <alignment horizontal="center" vertical="center" textRotation="90" wrapText="1"/>
    </xf>
    <xf numFmtId="0" fontId="42" fillId="0" borderId="0" xfId="0" applyFont="1"/>
    <xf numFmtId="176" fontId="37" fillId="0" borderId="45" xfId="0" applyNumberFormat="1" applyFont="1" applyBorder="1" applyAlignment="1">
      <alignment horizontal="left" wrapText="1"/>
    </xf>
    <xf numFmtId="177" fontId="0" fillId="0" borderId="25" xfId="0" applyNumberFormat="1" applyFill="1" applyBorder="1" applyAlignment="1">
      <alignment horizontal="center"/>
    </xf>
    <xf numFmtId="0" fontId="0" fillId="0" borderId="25" xfId="0" applyFill="1" applyBorder="1" applyAlignment="1">
      <alignment horizontal="center" vertical="center"/>
    </xf>
    <xf numFmtId="0" fontId="4" fillId="0" borderId="25" xfId="0" applyFont="1" applyFill="1" applyBorder="1" applyAlignment="1">
      <alignment horizontal="center" vertical="center"/>
    </xf>
    <xf numFmtId="2" fontId="9" fillId="0" borderId="25" xfId="2" applyNumberFormat="1" applyFont="1" applyFill="1" applyBorder="1" applyAlignment="1">
      <alignment horizontal="center" vertical="center"/>
    </xf>
    <xf numFmtId="0" fontId="4" fillId="0" borderId="25" xfId="0" applyFont="1" applyFill="1" applyBorder="1" applyAlignment="1">
      <alignment horizontal="center"/>
    </xf>
    <xf numFmtId="0" fontId="0" fillId="0" borderId="25" xfId="0" applyBorder="1" applyAlignment="1">
      <alignment horizontal="center"/>
    </xf>
    <xf numFmtId="0" fontId="0" fillId="0" borderId="0" xfId="0"/>
    <xf numFmtId="0" fontId="2" fillId="0" borderId="7" xfId="0" applyFont="1" applyBorder="1" applyAlignment="1">
      <alignment horizontal="center" vertical="center" wrapText="1"/>
    </xf>
    <xf numFmtId="164" fontId="2" fillId="0" borderId="32" xfId="0" applyNumberFormat="1" applyFont="1" applyBorder="1" applyAlignment="1">
      <alignment horizontal="right" vertical="center" wrapText="1"/>
    </xf>
    <xf numFmtId="164" fontId="2" fillId="0" borderId="18" xfId="0" applyNumberFormat="1" applyFont="1" applyBorder="1" applyAlignment="1">
      <alignment horizontal="right" vertical="center" wrapText="1"/>
    </xf>
    <xf numFmtId="164" fontId="2" fillId="0" borderId="13" xfId="0" applyNumberFormat="1" applyFont="1" applyBorder="1" applyAlignment="1">
      <alignment horizontal="right" vertical="center" wrapText="1"/>
    </xf>
    <xf numFmtId="164" fontId="2" fillId="0" borderId="14" xfId="0" applyNumberFormat="1" applyFont="1" applyBorder="1" applyAlignment="1">
      <alignment horizontal="right"/>
    </xf>
    <xf numFmtId="164" fontId="2" fillId="0" borderId="51" xfId="0" applyNumberFormat="1" applyFont="1" applyBorder="1" applyAlignment="1">
      <alignment horizontal="right" vertical="center"/>
    </xf>
    <xf numFmtId="164" fontId="2" fillId="0" borderId="37" xfId="0" applyNumberFormat="1" applyFont="1" applyBorder="1" applyAlignment="1">
      <alignment horizontal="right" vertical="center" wrapText="1"/>
    </xf>
    <xf numFmtId="164" fontId="2" fillId="0" borderId="54" xfId="0" applyNumberFormat="1" applyFont="1" applyBorder="1" applyAlignment="1">
      <alignment horizontal="right" vertical="center" wrapText="1"/>
    </xf>
    <xf numFmtId="164" fontId="2" fillId="0" borderId="19" xfId="0" applyNumberFormat="1" applyFont="1" applyBorder="1" applyAlignment="1">
      <alignment horizontal="right" vertical="center" wrapText="1"/>
    </xf>
    <xf numFmtId="164" fontId="2" fillId="0" borderId="14" xfId="0" applyNumberFormat="1" applyFont="1" applyBorder="1" applyAlignment="1">
      <alignment horizontal="right" vertical="center" wrapText="1"/>
    </xf>
    <xf numFmtId="164" fontId="2" fillId="0" borderId="44" xfId="0" applyNumberFormat="1" applyFont="1" applyBorder="1" applyAlignment="1">
      <alignment horizontal="right" vertical="center"/>
    </xf>
    <xf numFmtId="164" fontId="2" fillId="0" borderId="41" xfId="0" applyNumberFormat="1" applyFont="1" applyBorder="1" applyAlignment="1">
      <alignment horizontal="right"/>
    </xf>
    <xf numFmtId="164" fontId="2" fillId="0" borderId="27" xfId="0" applyNumberFormat="1" applyFont="1" applyBorder="1" applyAlignment="1">
      <alignment horizontal="right"/>
    </xf>
    <xf numFmtId="164" fontId="2" fillId="0" borderId="42" xfId="0" applyNumberFormat="1" applyFont="1" applyBorder="1" applyAlignment="1">
      <alignment horizontal="right"/>
    </xf>
    <xf numFmtId="164" fontId="2" fillId="0" borderId="43" xfId="0" applyNumberFormat="1" applyFont="1" applyBorder="1" applyAlignment="1">
      <alignment horizontal="right"/>
    </xf>
    <xf numFmtId="164" fontId="2" fillId="0" borderId="48" xfId="0" applyNumberFormat="1" applyFont="1" applyBorder="1" applyAlignment="1">
      <alignment horizontal="right"/>
    </xf>
    <xf numFmtId="164" fontId="2" fillId="0" borderId="54" xfId="0" applyNumberFormat="1" applyFont="1" applyBorder="1" applyAlignment="1">
      <alignment horizontal="right"/>
    </xf>
    <xf numFmtId="164" fontId="2" fillId="0" borderId="44" xfId="0" applyNumberFormat="1" applyFont="1" applyBorder="1" applyAlignment="1">
      <alignment horizontal="right"/>
    </xf>
    <xf numFmtId="164" fontId="2" fillId="0" borderId="37" xfId="0" applyNumberFormat="1" applyFont="1" applyBorder="1" applyAlignment="1">
      <alignment horizontal="right"/>
    </xf>
    <xf numFmtId="164" fontId="2" fillId="0" borderId="57" xfId="0" applyNumberFormat="1" applyFont="1" applyBorder="1" applyAlignment="1">
      <alignment horizontal="right"/>
    </xf>
    <xf numFmtId="164" fontId="2" fillId="0" borderId="33" xfId="0" applyNumberFormat="1" applyFont="1" applyBorder="1" applyAlignment="1">
      <alignment horizontal="right"/>
    </xf>
    <xf numFmtId="164" fontId="2" fillId="0" borderId="80" xfId="0" applyNumberFormat="1" applyFont="1" applyBorder="1" applyAlignment="1">
      <alignment horizontal="right"/>
    </xf>
    <xf numFmtId="164" fontId="2" fillId="0" borderId="20" xfId="0" applyNumberFormat="1" applyFont="1" applyBorder="1" applyAlignment="1">
      <alignment horizontal="right"/>
    </xf>
    <xf numFmtId="164" fontId="2" fillId="0" borderId="15" xfId="0" applyNumberFormat="1" applyFont="1" applyBorder="1" applyAlignment="1">
      <alignment horizontal="right"/>
    </xf>
    <xf numFmtId="164" fontId="2" fillId="0" borderId="34" xfId="0" applyNumberFormat="1" applyFont="1" applyBorder="1" applyAlignment="1">
      <alignment horizontal="right"/>
    </xf>
    <xf numFmtId="164" fontId="2" fillId="0" borderId="12" xfId="0" applyNumberFormat="1" applyFont="1" applyBorder="1" applyAlignment="1">
      <alignment horizontal="right"/>
    </xf>
    <xf numFmtId="164" fontId="2" fillId="0" borderId="50" xfId="0" applyNumberFormat="1" applyFont="1" applyBorder="1" applyAlignment="1">
      <alignment horizontal="right"/>
    </xf>
    <xf numFmtId="164" fontId="2" fillId="0" borderId="56" xfId="0" applyNumberFormat="1" applyFont="1" applyBorder="1" applyAlignment="1">
      <alignment horizontal="right" vertical="center" wrapText="1"/>
    </xf>
    <xf numFmtId="0" fontId="3" fillId="0" borderId="38" xfId="0" applyFont="1" applyFill="1" applyBorder="1" applyAlignment="1">
      <alignment horizontal="center" vertical="center" wrapText="1"/>
    </xf>
    <xf numFmtId="164" fontId="2" fillId="0" borderId="6"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164" fontId="2" fillId="0" borderId="40" xfId="0" applyNumberFormat="1" applyFont="1" applyBorder="1" applyAlignment="1">
      <alignment horizontal="right"/>
    </xf>
    <xf numFmtId="164" fontId="2" fillId="0" borderId="3" xfId="0" applyNumberFormat="1" applyFont="1" applyBorder="1" applyAlignment="1">
      <alignment horizontal="right"/>
    </xf>
    <xf numFmtId="6" fontId="2" fillId="0" borderId="53" xfId="0" applyNumberFormat="1" applyFont="1" applyFill="1" applyBorder="1" applyAlignment="1">
      <alignment horizontal="right" indent="1"/>
    </xf>
    <xf numFmtId="0" fontId="14" fillId="0" borderId="25" xfId="0" applyFont="1" applyFill="1" applyBorder="1" applyAlignment="1">
      <alignment horizontal="center"/>
    </xf>
    <xf numFmtId="0" fontId="6" fillId="0" borderId="25" xfId="0" applyFont="1" applyFill="1" applyBorder="1" applyAlignment="1">
      <alignment horizontal="center"/>
    </xf>
    <xf numFmtId="0" fontId="6" fillId="0" borderId="25" xfId="0" applyNumberFormat="1" applyFont="1" applyFill="1" applyBorder="1"/>
    <xf numFmtId="0" fontId="6" fillId="0" borderId="25" xfId="0" applyNumberFormat="1" applyFont="1" applyFill="1" applyBorder="1" applyAlignment="1">
      <alignment horizontal="center"/>
    </xf>
    <xf numFmtId="164" fontId="6" fillId="0" borderId="25" xfId="0" applyNumberFormat="1" applyFont="1" applyFill="1" applyBorder="1"/>
    <xf numFmtId="164" fontId="6" fillId="0" borderId="25" xfId="0" applyNumberFormat="1" applyFont="1" applyBorder="1"/>
    <xf numFmtId="0" fontId="6" fillId="0" borderId="25" xfId="0" applyFont="1" applyFill="1" applyBorder="1"/>
    <xf numFmtId="0" fontId="6" fillId="0" borderId="25" xfId="0" applyFont="1" applyBorder="1" applyAlignment="1">
      <alignment horizontal="center"/>
    </xf>
    <xf numFmtId="169" fontId="6" fillId="0" borderId="25" xfId="16" applyNumberFormat="1" applyFont="1" applyBorder="1" applyAlignment="1">
      <alignment horizontal="center"/>
    </xf>
    <xf numFmtId="0" fontId="8" fillId="0" borderId="25" xfId="0" applyFont="1" applyBorder="1" applyAlignment="1">
      <alignment vertical="center"/>
    </xf>
    <xf numFmtId="164" fontId="2" fillId="0" borderId="51" xfId="0" applyNumberFormat="1" applyFont="1" applyBorder="1" applyAlignment="1">
      <alignment horizontal="right" vertical="center" wrapText="1"/>
    </xf>
    <xf numFmtId="164" fontId="2" fillId="0" borderId="44" xfId="0" applyNumberFormat="1" applyFont="1" applyBorder="1" applyAlignment="1">
      <alignment horizontal="right" vertical="center" wrapText="1"/>
    </xf>
    <xf numFmtId="164" fontId="2" fillId="0" borderId="29" xfId="0" applyNumberFormat="1" applyFont="1" applyBorder="1" applyAlignment="1">
      <alignment horizontal="right"/>
    </xf>
    <xf numFmtId="164" fontId="2" fillId="0" borderId="50" xfId="0" applyNumberFormat="1" applyFont="1" applyFill="1" applyBorder="1" applyAlignment="1">
      <alignment horizontal="right"/>
    </xf>
    <xf numFmtId="164" fontId="3" fillId="0" borderId="2" xfId="0" applyNumberFormat="1" applyFont="1" applyBorder="1" applyAlignment="1">
      <alignment horizontal="right"/>
    </xf>
    <xf numFmtId="165" fontId="3" fillId="0" borderId="2" xfId="0" applyNumberFormat="1" applyFont="1" applyFill="1" applyBorder="1"/>
    <xf numFmtId="164" fontId="6" fillId="0" borderId="0" xfId="1" applyNumberFormat="1" applyFont="1" applyFill="1" applyBorder="1" applyAlignment="1">
      <alignment horizontal="right"/>
    </xf>
    <xf numFmtId="164" fontId="2" fillId="0" borderId="29" xfId="0" applyNumberFormat="1" applyFont="1" applyBorder="1" applyAlignment="1">
      <alignment horizontal="right" vertical="center"/>
    </xf>
    <xf numFmtId="164" fontId="2" fillId="0" borderId="48" xfId="0" applyNumberFormat="1" applyFont="1" applyBorder="1" applyAlignment="1">
      <alignment horizontal="right" vertical="center"/>
    </xf>
    <xf numFmtId="164" fontId="2" fillId="0" borderId="50" xfId="0" applyNumberFormat="1" applyFont="1" applyBorder="1" applyAlignment="1">
      <alignment horizontal="right" vertical="center"/>
    </xf>
    <xf numFmtId="5" fontId="2" fillId="0" borderId="32" xfId="0" applyNumberFormat="1" applyFont="1" applyBorder="1" applyAlignment="1">
      <alignment horizontal="right" vertical="center" wrapText="1"/>
    </xf>
    <xf numFmtId="164" fontId="2" fillId="0" borderId="18" xfId="0" applyNumberFormat="1" applyFont="1" applyBorder="1" applyAlignment="1">
      <alignment horizontal="right" vertical="center"/>
    </xf>
    <xf numFmtId="5" fontId="2" fillId="0" borderId="37" xfId="0" applyNumberFormat="1" applyFont="1" applyBorder="1" applyAlignment="1">
      <alignment horizontal="right" vertical="center" wrapText="1"/>
    </xf>
    <xf numFmtId="164" fontId="2" fillId="0" borderId="19" xfId="0" applyNumberFormat="1" applyFont="1" applyBorder="1" applyAlignment="1">
      <alignment horizontal="right" vertical="center"/>
    </xf>
    <xf numFmtId="164" fontId="2" fillId="0" borderId="20" xfId="0" applyNumberFormat="1" applyFont="1" applyBorder="1" applyAlignment="1">
      <alignment horizontal="right" vertical="center"/>
    </xf>
    <xf numFmtId="164" fontId="2" fillId="0" borderId="52" xfId="0" applyNumberFormat="1" applyFont="1" applyBorder="1" applyAlignment="1">
      <alignment horizontal="right"/>
    </xf>
    <xf numFmtId="164" fontId="2" fillId="0" borderId="42" xfId="0" applyNumberFormat="1" applyFont="1" applyBorder="1" applyAlignment="1">
      <alignment horizontal="right" vertical="center"/>
    </xf>
    <xf numFmtId="164" fontId="2" fillId="0" borderId="41" xfId="0" applyNumberFormat="1" applyFont="1" applyBorder="1" applyAlignment="1">
      <alignment horizontal="right" vertical="center"/>
    </xf>
    <xf numFmtId="164" fontId="2" fillId="0" borderId="55" xfId="0" applyNumberFormat="1" applyFont="1" applyBorder="1" applyAlignment="1">
      <alignment horizontal="right"/>
    </xf>
    <xf numFmtId="164" fontId="2" fillId="0" borderId="37" xfId="0" applyNumberFormat="1" applyFont="1" applyBorder="1" applyAlignment="1">
      <alignment horizontal="right" vertical="center"/>
    </xf>
    <xf numFmtId="164" fontId="0" fillId="0" borderId="55" xfId="0" applyNumberFormat="1" applyBorder="1" applyAlignment="1">
      <alignment horizontal="right"/>
    </xf>
    <xf numFmtId="164" fontId="0" fillId="0" borderId="69" xfId="0" applyNumberFormat="1" applyBorder="1" applyAlignment="1">
      <alignment horizontal="right"/>
    </xf>
    <xf numFmtId="164" fontId="2" fillId="0" borderId="33" xfId="0" applyNumberFormat="1" applyFont="1" applyBorder="1" applyAlignment="1">
      <alignment horizontal="right" vertical="center"/>
    </xf>
    <xf numFmtId="164" fontId="2" fillId="0" borderId="8" xfId="0" applyNumberFormat="1" applyFont="1" applyBorder="1" applyAlignment="1">
      <alignment horizontal="right" vertical="center" wrapText="1"/>
    </xf>
    <xf numFmtId="164" fontId="2" fillId="0" borderId="8" xfId="0" applyNumberFormat="1" applyFont="1" applyBorder="1" applyAlignment="1">
      <alignment horizontal="right"/>
    </xf>
    <xf numFmtId="164" fontId="2" fillId="0" borderId="19" xfId="0" applyNumberFormat="1" applyFont="1" applyBorder="1" applyAlignment="1">
      <alignment horizontal="right"/>
    </xf>
    <xf numFmtId="164" fontId="2" fillId="0" borderId="10" xfId="0" applyNumberFormat="1" applyFont="1" applyBorder="1" applyAlignment="1">
      <alignment horizontal="right"/>
    </xf>
    <xf numFmtId="164" fontId="2" fillId="0" borderId="26" xfId="0" applyNumberFormat="1" applyFont="1" applyBorder="1" applyAlignment="1">
      <alignment horizontal="right"/>
    </xf>
    <xf numFmtId="164" fontId="2" fillId="0" borderId="0" xfId="0" applyNumberFormat="1" applyFont="1" applyAlignment="1">
      <alignment horizontal="right"/>
    </xf>
    <xf numFmtId="6" fontId="11" fillId="0" borderId="0" xfId="0" applyNumberFormat="1" applyFont="1" applyAlignment="1">
      <alignment horizontal="right"/>
    </xf>
    <xf numFmtId="165" fontId="2" fillId="0" borderId="0" xfId="1" applyNumberFormat="1" applyFont="1" applyFill="1" applyBorder="1" applyAlignment="1">
      <alignment horizontal="center"/>
    </xf>
    <xf numFmtId="0" fontId="2" fillId="0" borderId="0" xfId="0" applyFont="1" applyFill="1" applyBorder="1" applyAlignment="1">
      <alignment horizontal="center" vertical="center"/>
    </xf>
    <xf numFmtId="164" fontId="2" fillId="0" borderId="0" xfId="0" applyNumberFormat="1" applyFont="1" applyFill="1" applyBorder="1" applyAlignment="1">
      <alignment horizontal="center" vertical="center"/>
    </xf>
    <xf numFmtId="0" fontId="4" fillId="2" borderId="83" xfId="0" applyFont="1" applyFill="1" applyBorder="1"/>
    <xf numFmtId="2" fontId="0" fillId="0" borderId="84" xfId="0" applyNumberFormat="1" applyBorder="1" applyAlignment="1">
      <alignment horizontal="center"/>
    </xf>
    <xf numFmtId="0" fontId="4" fillId="2" borderId="33" xfId="0" applyFont="1" applyFill="1" applyBorder="1"/>
    <xf numFmtId="164" fontId="0" fillId="0" borderId="20" xfId="0" applyNumberFormat="1" applyBorder="1" applyAlignment="1">
      <alignment horizontal="center"/>
    </xf>
    <xf numFmtId="9" fontId="4" fillId="2" borderId="35" xfId="0" applyNumberFormat="1" applyFont="1" applyFill="1" applyBorder="1" applyAlignment="1">
      <alignment horizontal="center"/>
    </xf>
    <xf numFmtId="179" fontId="0" fillId="2" borderId="42" xfId="0" applyNumberFormat="1" applyFill="1" applyBorder="1" applyAlignment="1">
      <alignment horizontal="center"/>
    </xf>
    <xf numFmtId="179" fontId="0" fillId="2" borderId="74" xfId="0" applyNumberFormat="1" applyFill="1" applyBorder="1" applyAlignment="1">
      <alignment horizontal="center"/>
    </xf>
    <xf numFmtId="175" fontId="0" fillId="0" borderId="84" xfId="0" applyNumberFormat="1" applyBorder="1" applyAlignment="1">
      <alignment horizontal="center"/>
    </xf>
    <xf numFmtId="179" fontId="0" fillId="0" borderId="20" xfId="0" applyNumberFormat="1" applyBorder="1" applyAlignment="1">
      <alignment horizontal="center"/>
    </xf>
    <xf numFmtId="0" fontId="43" fillId="0" borderId="0" xfId="18" applyFont="1" applyAlignment="1">
      <alignment wrapText="1"/>
    </xf>
    <xf numFmtId="175" fontId="0" fillId="0" borderId="25" xfId="0" applyNumberFormat="1" applyFill="1" applyBorder="1" applyAlignment="1">
      <alignment horizontal="center"/>
    </xf>
    <xf numFmtId="0" fontId="4" fillId="0" borderId="25" xfId="0" applyFont="1" applyFill="1" applyBorder="1" applyAlignment="1">
      <alignment horizontal="center"/>
    </xf>
    <xf numFmtId="0" fontId="0" fillId="0" borderId="0" xfId="0"/>
    <xf numFmtId="164" fontId="2" fillId="0" borderId="14" xfId="0" applyNumberFormat="1" applyFont="1" applyFill="1" applyBorder="1" applyAlignment="1">
      <alignment horizontal="right"/>
    </xf>
    <xf numFmtId="0" fontId="0" fillId="0" borderId="85" xfId="0" applyFill="1" applyBorder="1"/>
    <xf numFmtId="0" fontId="0" fillId="0" borderId="0" xfId="0" applyBorder="1" applyAlignment="1">
      <alignment horizontal="center" vertical="center"/>
    </xf>
    <xf numFmtId="0" fontId="0" fillId="0" borderId="76" xfId="0" applyBorder="1"/>
    <xf numFmtId="2" fontId="0" fillId="0" borderId="76" xfId="0" applyNumberFormat="1" applyBorder="1"/>
    <xf numFmtId="2" fontId="0" fillId="11" borderId="76" xfId="0" applyNumberFormat="1" applyFill="1" applyBorder="1"/>
    <xf numFmtId="2" fontId="0" fillId="0" borderId="76" xfId="0" applyNumberFormat="1" applyBorder="1" applyAlignment="1">
      <alignment horizontal="center"/>
    </xf>
    <xf numFmtId="44" fontId="0" fillId="0" borderId="76" xfId="1" applyFont="1" applyBorder="1" applyAlignment="1">
      <alignment horizontal="center"/>
    </xf>
    <xf numFmtId="0" fontId="4" fillId="0" borderId="32" xfId="0" applyFont="1" applyFill="1" applyBorder="1"/>
    <xf numFmtId="0" fontId="4" fillId="0" borderId="56" xfId="0" applyFont="1" applyFill="1" applyBorder="1"/>
    <xf numFmtId="0" fontId="4" fillId="0" borderId="56" xfId="0" applyFont="1" applyBorder="1"/>
    <xf numFmtId="0" fontId="4" fillId="0" borderId="2" xfId="0" applyFont="1" applyBorder="1"/>
    <xf numFmtId="2" fontId="4" fillId="0" borderId="56" xfId="0" applyNumberFormat="1" applyFont="1" applyBorder="1"/>
    <xf numFmtId="2" fontId="4" fillId="11" borderId="56" xfId="0" applyNumberFormat="1" applyFont="1" applyFill="1" applyBorder="1"/>
    <xf numFmtId="2" fontId="4" fillId="0" borderId="56" xfId="0" applyNumberFormat="1" applyFont="1" applyBorder="1" applyAlignment="1">
      <alignment horizontal="center"/>
    </xf>
    <xf numFmtId="0" fontId="4" fillId="0" borderId="33" xfId="0" applyFont="1" applyFill="1" applyBorder="1"/>
    <xf numFmtId="0" fontId="4" fillId="0" borderId="45" xfId="0" applyFont="1" applyFill="1" applyBorder="1"/>
    <xf numFmtId="0" fontId="4" fillId="0" borderId="45" xfId="0" applyFont="1" applyBorder="1"/>
    <xf numFmtId="0" fontId="4" fillId="0" borderId="4" xfId="0" applyFont="1" applyBorder="1"/>
    <xf numFmtId="2" fontId="4" fillId="0" borderId="45" xfId="0" applyNumberFormat="1" applyFont="1" applyBorder="1"/>
    <xf numFmtId="2" fontId="4" fillId="11" borderId="45" xfId="0" applyNumberFormat="1" applyFont="1" applyFill="1" applyBorder="1"/>
    <xf numFmtId="2" fontId="4" fillId="0" borderId="45" xfId="0" applyNumberFormat="1" applyFont="1" applyBorder="1" applyAlignment="1">
      <alignment horizontal="center"/>
    </xf>
    <xf numFmtId="44" fontId="4" fillId="0" borderId="18" xfId="1" applyNumberFormat="1" applyFont="1" applyBorder="1" applyAlignment="1">
      <alignment horizontal="center"/>
    </xf>
    <xf numFmtId="44" fontId="4" fillId="0" borderId="20" xfId="1" applyNumberFormat="1" applyFont="1" applyBorder="1" applyAlignment="1">
      <alignment horizontal="center"/>
    </xf>
    <xf numFmtId="171" fontId="0" fillId="6" borderId="25" xfId="0" applyNumberFormat="1" applyFill="1" applyBorder="1"/>
    <xf numFmtId="1" fontId="0" fillId="6" borderId="25" xfId="0" applyNumberFormat="1" applyFill="1" applyBorder="1"/>
    <xf numFmtId="1" fontId="0" fillId="0" borderId="0" xfId="0" applyNumberFormat="1" applyFill="1"/>
    <xf numFmtId="0" fontId="0" fillId="0" borderId="0" xfId="0"/>
    <xf numFmtId="0" fontId="0" fillId="0" borderId="25" xfId="0" applyFill="1" applyBorder="1" applyAlignment="1">
      <alignment horizontal="center"/>
    </xf>
    <xf numFmtId="0" fontId="4" fillId="0" borderId="0" xfId="0" applyFont="1" applyFill="1" applyBorder="1" applyAlignment="1">
      <alignment horizontal="left"/>
    </xf>
    <xf numFmtId="0" fontId="0" fillId="0" borderId="0" xfId="0"/>
    <xf numFmtId="0" fontId="0" fillId="0" borderId="25" xfId="0" applyBorder="1" applyAlignment="1">
      <alignment horizontal="center"/>
    </xf>
    <xf numFmtId="0" fontId="2" fillId="0" borderId="13" xfId="0" applyFont="1" applyBorder="1" applyAlignment="1">
      <alignment horizontal="center" vertical="center" wrapText="1"/>
    </xf>
    <xf numFmtId="164" fontId="2" fillId="0" borderId="6" xfId="0" applyNumberFormat="1" applyFont="1" applyBorder="1" applyAlignment="1">
      <alignment horizontal="right"/>
    </xf>
    <xf numFmtId="164" fontId="2" fillId="0" borderId="18" xfId="0" applyNumberFormat="1" applyFont="1" applyBorder="1" applyAlignment="1">
      <alignment horizontal="right"/>
    </xf>
    <xf numFmtId="0" fontId="2" fillId="0" borderId="43" xfId="0" applyFont="1" applyFill="1" applyBorder="1" applyAlignment="1">
      <alignment horizontal="center"/>
    </xf>
    <xf numFmtId="164" fontId="2" fillId="0" borderId="48" xfId="0" applyNumberFormat="1" applyFont="1" applyBorder="1" applyAlignment="1">
      <alignment horizontal="center"/>
    </xf>
    <xf numFmtId="0" fontId="2" fillId="0" borderId="15" xfId="0" applyFont="1" applyBorder="1" applyAlignment="1">
      <alignment horizontal="center" vertical="center" wrapText="1"/>
    </xf>
    <xf numFmtId="164" fontId="2" fillId="16" borderId="43" xfId="0" applyNumberFormat="1" applyFont="1" applyFill="1" applyBorder="1" applyAlignment="1">
      <alignment horizontal="center"/>
    </xf>
    <xf numFmtId="164" fontId="2" fillId="16" borderId="48" xfId="0" applyNumberFormat="1" applyFont="1" applyFill="1" applyBorder="1" applyAlignment="1">
      <alignment horizontal="center"/>
    </xf>
    <xf numFmtId="0" fontId="0" fillId="0" borderId="81" xfId="0" applyBorder="1"/>
    <xf numFmtId="0" fontId="4" fillId="2" borderId="41" xfId="0" applyFont="1" applyFill="1" applyBorder="1"/>
    <xf numFmtId="0" fontId="4" fillId="2" borderId="73" xfId="0" applyFont="1" applyFill="1" applyBorder="1"/>
    <xf numFmtId="0" fontId="4" fillId="2" borderId="86" xfId="0" applyFont="1" applyFill="1" applyBorder="1"/>
    <xf numFmtId="0" fontId="6" fillId="0" borderId="0" xfId="0" applyFont="1" applyFill="1" applyBorder="1" applyAlignment="1">
      <alignment horizontal="left" vertical="top" wrapText="1"/>
    </xf>
    <xf numFmtId="0" fontId="6" fillId="0" borderId="0" xfId="2" applyFont="1" applyFill="1" applyBorder="1" applyAlignment="1">
      <alignment horizontal="left" vertical="top"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2"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28" xfId="0" applyFont="1" applyFill="1" applyBorder="1" applyAlignment="1">
      <alignment horizontal="center" vertical="center"/>
    </xf>
    <xf numFmtId="164" fontId="3" fillId="0" borderId="38" xfId="0" applyNumberFormat="1" applyFont="1" applyBorder="1" applyAlignment="1">
      <alignment horizontal="center" vertical="center"/>
    </xf>
    <xf numFmtId="164" fontId="3" fillId="0" borderId="28" xfId="0" applyNumberFormat="1" applyFont="1" applyBorder="1" applyAlignment="1">
      <alignment horizontal="center" vertical="center"/>
    </xf>
    <xf numFmtId="0" fontId="3" fillId="0" borderId="62"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0" fillId="0" borderId="0" xfId="0" applyFill="1" applyAlignment="1">
      <alignment horizontal="left" vertical="top" wrapText="1"/>
    </xf>
    <xf numFmtId="0" fontId="0" fillId="0" borderId="0" xfId="0" applyFont="1" applyFill="1" applyAlignment="1">
      <alignment horizontal="left" vertical="top" wrapText="1"/>
    </xf>
    <xf numFmtId="0" fontId="2" fillId="0"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164" fontId="0" fillId="0" borderId="76" xfId="0" applyNumberFormat="1" applyFont="1" applyFill="1" applyBorder="1" applyAlignment="1">
      <alignment horizontal="center" vertical="center"/>
    </xf>
    <xf numFmtId="164" fontId="0" fillId="0" borderId="24" xfId="0" applyNumberFormat="1" applyFont="1" applyFill="1" applyBorder="1" applyAlignment="1">
      <alignment horizontal="center" vertical="center"/>
    </xf>
    <xf numFmtId="164" fontId="0" fillId="0" borderId="25" xfId="0" applyNumberFormat="1" applyFont="1" applyFill="1" applyBorder="1" applyAlignment="1">
      <alignment horizontal="center" vertical="center"/>
    </xf>
    <xf numFmtId="0" fontId="0" fillId="0" borderId="25" xfId="0" applyFont="1" applyFill="1" applyBorder="1" applyAlignment="1">
      <alignment horizontal="center" vertical="center"/>
    </xf>
    <xf numFmtId="164" fontId="0" fillId="0" borderId="25" xfId="0" applyNumberFormat="1" applyFill="1" applyBorder="1" applyAlignment="1">
      <alignment horizontal="center" vertical="center"/>
    </xf>
    <xf numFmtId="0" fontId="0" fillId="0" borderId="25" xfId="0" applyFill="1" applyBorder="1" applyAlignment="1">
      <alignment horizontal="center"/>
    </xf>
    <xf numFmtId="1" fontId="0" fillId="0" borderId="25" xfId="1" applyNumberFormat="1" applyFont="1" applyFill="1" applyBorder="1" applyAlignment="1">
      <alignment horizontal="center" vertical="center"/>
    </xf>
    <xf numFmtId="0" fontId="4" fillId="0" borderId="26" xfId="0" applyFont="1" applyFill="1" applyBorder="1" applyAlignment="1">
      <alignment horizontal="left"/>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9" xfId="0" applyFont="1" applyBorder="1" applyAlignment="1">
      <alignment horizontal="center" vertical="center" wrapText="1"/>
    </xf>
    <xf numFmtId="0" fontId="0" fillId="0" borderId="25" xfId="0" applyFill="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0" fillId="0" borderId="25" xfId="0" applyFont="1" applyFill="1" applyBorder="1" applyAlignment="1">
      <alignment horizontal="center"/>
    </xf>
    <xf numFmtId="0" fontId="0" fillId="9" borderId="25" xfId="0" applyFont="1" applyFill="1" applyBorder="1" applyAlignment="1">
      <alignment horizontal="center"/>
    </xf>
    <xf numFmtId="0" fontId="4" fillId="0" borderId="47" xfId="0" applyFont="1" applyBorder="1" applyAlignment="1">
      <alignment horizontal="center"/>
    </xf>
    <xf numFmtId="0" fontId="4" fillId="0" borderId="77" xfId="0" applyFont="1" applyBorder="1" applyAlignment="1">
      <alignment horizontal="center"/>
    </xf>
    <xf numFmtId="0" fontId="4" fillId="0" borderId="58" xfId="0" applyFont="1" applyBorder="1" applyAlignment="1">
      <alignment horizontal="center"/>
    </xf>
    <xf numFmtId="0" fontId="4" fillId="0" borderId="25" xfId="0"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Border="1" applyAlignment="1">
      <alignment horizontal="left"/>
    </xf>
    <xf numFmtId="0" fontId="4" fillId="0" borderId="32" xfId="0" applyFont="1" applyFill="1" applyBorder="1" applyAlignment="1">
      <alignment horizontal="center"/>
    </xf>
    <xf numFmtId="0" fontId="4" fillId="0" borderId="18" xfId="0" applyFont="1" applyFill="1" applyBorder="1" applyAlignment="1">
      <alignment horizontal="center"/>
    </xf>
    <xf numFmtId="0" fontId="4" fillId="0" borderId="73" xfId="0" applyFont="1" applyBorder="1" applyAlignment="1">
      <alignment horizontal="center"/>
    </xf>
    <xf numFmtId="0" fontId="4" fillId="0" borderId="74" xfId="0" applyFont="1" applyBorder="1" applyAlignment="1">
      <alignment horizontal="center"/>
    </xf>
    <xf numFmtId="0" fontId="0" fillId="9" borderId="37" xfId="0" applyFont="1" applyFill="1" applyBorder="1" applyAlignment="1">
      <alignment horizontal="center"/>
    </xf>
    <xf numFmtId="0" fontId="0" fillId="9" borderId="19" xfId="0" applyFont="1" applyFill="1" applyBorder="1" applyAlignment="1">
      <alignment horizontal="center"/>
    </xf>
    <xf numFmtId="0" fontId="0" fillId="0" borderId="41" xfId="0" applyFont="1" applyFill="1" applyBorder="1" applyAlignment="1">
      <alignment horizontal="center"/>
    </xf>
    <xf numFmtId="0" fontId="0" fillId="0" borderId="42" xfId="0" applyFont="1" applyFill="1" applyBorder="1" applyAlignment="1">
      <alignment horizontal="center"/>
    </xf>
    <xf numFmtId="0" fontId="0" fillId="0" borderId="37" xfId="0" applyFont="1" applyFill="1" applyBorder="1" applyAlignment="1">
      <alignment horizontal="center"/>
    </xf>
    <xf numFmtId="0" fontId="0" fillId="0" borderId="19" xfId="0" applyFont="1" applyFill="1" applyBorder="1" applyAlignment="1">
      <alignment horizontal="center"/>
    </xf>
    <xf numFmtId="0" fontId="4" fillId="0" borderId="39" xfId="0" applyFont="1" applyBorder="1" applyAlignment="1">
      <alignment horizontal="center"/>
    </xf>
    <xf numFmtId="0" fontId="4" fillId="0" borderId="75" xfId="0" applyFont="1" applyBorder="1" applyAlignment="1">
      <alignment horizontal="center"/>
    </xf>
    <xf numFmtId="0" fontId="0" fillId="0" borderId="0" xfId="0" applyAlignment="1">
      <alignment horizontal="left" vertical="top" wrapText="1"/>
    </xf>
    <xf numFmtId="0" fontId="4" fillId="0" borderId="25" xfId="0" applyFont="1" applyBorder="1" applyAlignment="1">
      <alignment horizontal="center" wrapText="1"/>
    </xf>
    <xf numFmtId="0" fontId="0" fillId="0" borderId="25" xfId="0" applyBorder="1" applyAlignment="1">
      <alignment horizontal="center"/>
    </xf>
    <xf numFmtId="0" fontId="4" fillId="0" borderId="25" xfId="0" applyFont="1" applyBorder="1" applyAlignment="1">
      <alignment horizontal="center"/>
    </xf>
    <xf numFmtId="0" fontId="0" fillId="0" borderId="25" xfId="0" applyBorder="1" applyAlignment="1">
      <alignment horizontal="center" vertical="center"/>
    </xf>
    <xf numFmtId="0" fontId="0" fillId="0" borderId="0" xfId="0"/>
    <xf numFmtId="0" fontId="0" fillId="0" borderId="22" xfId="0" applyBorder="1" applyAlignment="1">
      <alignment horizontal="left" vertical="top" wrapText="1"/>
    </xf>
    <xf numFmtId="0" fontId="2" fillId="0" borderId="1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4" fillId="0" borderId="38" xfId="0" applyFont="1" applyBorder="1" applyAlignment="1">
      <alignment horizontal="center" vertical="center"/>
    </xf>
    <xf numFmtId="0" fontId="4" fillId="0" borderId="62" xfId="0" applyFont="1" applyBorder="1" applyAlignment="1">
      <alignment horizontal="center" vertical="center"/>
    </xf>
    <xf numFmtId="0" fontId="4" fillId="0" borderId="28" xfId="0" applyFont="1" applyBorder="1" applyAlignment="1">
      <alignment horizontal="center" vertical="center"/>
    </xf>
    <xf numFmtId="0" fontId="4" fillId="0" borderId="38" xfId="0" applyFont="1" applyBorder="1" applyAlignment="1">
      <alignment horizontal="center"/>
    </xf>
    <xf numFmtId="0" fontId="4" fillId="0" borderId="62" xfId="0" applyFont="1" applyBorder="1" applyAlignment="1">
      <alignment horizontal="center"/>
    </xf>
    <xf numFmtId="0" fontId="4" fillId="0" borderId="1" xfId="0" applyFont="1" applyBorder="1" applyAlignment="1">
      <alignment horizontal="center"/>
    </xf>
    <xf numFmtId="0" fontId="4" fillId="0" borderId="31" xfId="0" applyFont="1" applyBorder="1" applyAlignment="1">
      <alignment horizontal="center"/>
    </xf>
    <xf numFmtId="0" fontId="2" fillId="0" borderId="13"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18" xfId="0" applyFont="1" applyBorder="1" applyAlignment="1">
      <alignment horizontal="center" vertical="center"/>
    </xf>
    <xf numFmtId="0" fontId="2" fillId="0" borderId="7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0" fillId="0" borderId="4" xfId="0" applyBorder="1" applyAlignment="1">
      <alignment horizontal="center" wrapText="1"/>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0" fillId="0" borderId="38" xfId="0" applyBorder="1" applyAlignment="1">
      <alignment horizontal="center" wrapText="1"/>
    </xf>
    <xf numFmtId="0" fontId="0" fillId="0" borderId="28" xfId="0" applyBorder="1" applyAlignment="1">
      <alignment horizontal="center" wrapText="1"/>
    </xf>
    <xf numFmtId="0" fontId="0" fillId="0" borderId="38" xfId="0" applyBorder="1" applyAlignment="1">
      <alignment horizontal="center"/>
    </xf>
    <xf numFmtId="0" fontId="0" fillId="0" borderId="28" xfId="0" applyBorder="1" applyAlignment="1">
      <alignment horizontal="center"/>
    </xf>
    <xf numFmtId="0" fontId="2" fillId="0" borderId="16" xfId="0" applyFont="1" applyBorder="1" applyAlignment="1">
      <alignment horizontal="center" vertical="center"/>
    </xf>
    <xf numFmtId="0" fontId="2" fillId="0" borderId="66" xfId="0" applyFont="1" applyBorder="1" applyAlignment="1">
      <alignment horizontal="center" vertical="center"/>
    </xf>
    <xf numFmtId="0" fontId="0" fillId="0" borderId="81" xfId="0" applyBorder="1" applyAlignment="1">
      <alignment horizontal="center"/>
    </xf>
    <xf numFmtId="0" fontId="0" fillId="0" borderId="35" xfId="0" applyBorder="1" applyAlignment="1">
      <alignment horizontal="center"/>
    </xf>
    <xf numFmtId="0" fontId="2" fillId="0" borderId="6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0" xfId="0" applyFont="1" applyBorder="1" applyAlignment="1">
      <alignment horizontal="center" vertical="center" wrapText="1"/>
    </xf>
    <xf numFmtId="0" fontId="10" fillId="0" borderId="0" xfId="0" applyFont="1" applyAlignment="1">
      <alignment horizontal="center"/>
    </xf>
    <xf numFmtId="0" fontId="0" fillId="0" borderId="0" xfId="0" applyAlignment="1">
      <alignment horizontal="center"/>
    </xf>
  </cellXfs>
  <cellStyles count="141">
    <cellStyle name="Comma" xfId="15" builtinId="3"/>
    <cellStyle name="Comma 2" xfId="7" xr:uid="{00000000-0005-0000-0000-000001000000}"/>
    <cellStyle name="Comma 47 2" xfId="21" xr:uid="{00000000-0005-0000-0000-000002000000}"/>
    <cellStyle name="Comma 47 3" xfId="22" xr:uid="{00000000-0005-0000-0000-000003000000}"/>
    <cellStyle name="Comma 47 4" xfId="23" xr:uid="{00000000-0005-0000-0000-000004000000}"/>
    <cellStyle name="Comma0" xfId="8" xr:uid="{00000000-0005-0000-0000-000005000000}"/>
    <cellStyle name="Currency" xfId="1" builtinId="4"/>
    <cellStyle name="Currency 2" xfId="20" xr:uid="{00000000-0005-0000-0000-000007000000}"/>
    <cellStyle name="Currency0" xfId="9" xr:uid="{00000000-0005-0000-0000-000008000000}"/>
    <cellStyle name="Date" xfId="10" xr:uid="{00000000-0005-0000-0000-000009000000}"/>
    <cellStyle name="Fixed" xfId="11" xr:uid="{00000000-0005-0000-0000-00000A000000}"/>
    <cellStyle name="Hyperlink" xfId="18" builtinId="8"/>
    <cellStyle name="Normal" xfId="0" builtinId="0"/>
    <cellStyle name="Normal 11" xfId="24" xr:uid="{00000000-0005-0000-0000-00000D000000}"/>
    <cellStyle name="Normal 11 2" xfId="25" xr:uid="{00000000-0005-0000-0000-00000E000000}"/>
    <cellStyle name="Normal 11 3" xfId="26" xr:uid="{00000000-0005-0000-0000-00000F000000}"/>
    <cellStyle name="Normal 11 4" xfId="27" xr:uid="{00000000-0005-0000-0000-000010000000}"/>
    <cellStyle name="Normal 11 5" xfId="28" xr:uid="{00000000-0005-0000-0000-000011000000}"/>
    <cellStyle name="Normal 12" xfId="29" xr:uid="{00000000-0005-0000-0000-000012000000}"/>
    <cellStyle name="Normal 12 2" xfId="30" xr:uid="{00000000-0005-0000-0000-000013000000}"/>
    <cellStyle name="Normal 12 3" xfId="31" xr:uid="{00000000-0005-0000-0000-000014000000}"/>
    <cellStyle name="Normal 12 4" xfId="32" xr:uid="{00000000-0005-0000-0000-000015000000}"/>
    <cellStyle name="Normal 12 5" xfId="33" xr:uid="{00000000-0005-0000-0000-000016000000}"/>
    <cellStyle name="Normal 13" xfId="34" xr:uid="{00000000-0005-0000-0000-000017000000}"/>
    <cellStyle name="Normal 13 2" xfId="35" xr:uid="{00000000-0005-0000-0000-000018000000}"/>
    <cellStyle name="Normal 13 3" xfId="36" xr:uid="{00000000-0005-0000-0000-000019000000}"/>
    <cellStyle name="Normal 13 4" xfId="37" xr:uid="{00000000-0005-0000-0000-00001A000000}"/>
    <cellStyle name="Normal 13 5" xfId="38" xr:uid="{00000000-0005-0000-0000-00001B000000}"/>
    <cellStyle name="Normal 14" xfId="39" xr:uid="{00000000-0005-0000-0000-00001C000000}"/>
    <cellStyle name="Normal 14 2" xfId="40" xr:uid="{00000000-0005-0000-0000-00001D000000}"/>
    <cellStyle name="Normal 14 3" xfId="41" xr:uid="{00000000-0005-0000-0000-00001E000000}"/>
    <cellStyle name="Normal 14 4" xfId="42" xr:uid="{00000000-0005-0000-0000-00001F000000}"/>
    <cellStyle name="Normal 14 5" xfId="43" xr:uid="{00000000-0005-0000-0000-000020000000}"/>
    <cellStyle name="Normal 15" xfId="44" xr:uid="{00000000-0005-0000-0000-000021000000}"/>
    <cellStyle name="Normal 15 2" xfId="45" xr:uid="{00000000-0005-0000-0000-000022000000}"/>
    <cellStyle name="Normal 15 3" xfId="46" xr:uid="{00000000-0005-0000-0000-000023000000}"/>
    <cellStyle name="Normal 15 4" xfId="47" xr:uid="{00000000-0005-0000-0000-000024000000}"/>
    <cellStyle name="Normal 15 5" xfId="48" xr:uid="{00000000-0005-0000-0000-000025000000}"/>
    <cellStyle name="Normal 16" xfId="2" xr:uid="{00000000-0005-0000-0000-000026000000}"/>
    <cellStyle name="Normal 16 2" xfId="49" xr:uid="{00000000-0005-0000-0000-000027000000}"/>
    <cellStyle name="Normal 16 3" xfId="50" xr:uid="{00000000-0005-0000-0000-000028000000}"/>
    <cellStyle name="Normal 16 4" xfId="51" xr:uid="{00000000-0005-0000-0000-000029000000}"/>
    <cellStyle name="Normal 16 5" xfId="52" xr:uid="{00000000-0005-0000-0000-00002A000000}"/>
    <cellStyle name="Normal 17" xfId="4" xr:uid="{00000000-0005-0000-0000-00002B000000}"/>
    <cellStyle name="Normal 17 2" xfId="53" xr:uid="{00000000-0005-0000-0000-00002C000000}"/>
    <cellStyle name="Normal 17 3" xfId="54" xr:uid="{00000000-0005-0000-0000-00002D000000}"/>
    <cellStyle name="Normal 17 4" xfId="55" xr:uid="{00000000-0005-0000-0000-00002E000000}"/>
    <cellStyle name="Normal 17 5" xfId="56" xr:uid="{00000000-0005-0000-0000-00002F000000}"/>
    <cellStyle name="Normal 18" xfId="3" xr:uid="{00000000-0005-0000-0000-000030000000}"/>
    <cellStyle name="Normal 18 2" xfId="57" xr:uid="{00000000-0005-0000-0000-000031000000}"/>
    <cellStyle name="Normal 18 3" xfId="58" xr:uid="{00000000-0005-0000-0000-000032000000}"/>
    <cellStyle name="Normal 18 4" xfId="59" xr:uid="{00000000-0005-0000-0000-000033000000}"/>
    <cellStyle name="Normal 18 5" xfId="60" xr:uid="{00000000-0005-0000-0000-000034000000}"/>
    <cellStyle name="Normal 19" xfId="5" xr:uid="{00000000-0005-0000-0000-000035000000}"/>
    <cellStyle name="Normal 19 2" xfId="61" xr:uid="{00000000-0005-0000-0000-000036000000}"/>
    <cellStyle name="Normal 19 3" xfId="62" xr:uid="{00000000-0005-0000-0000-000037000000}"/>
    <cellStyle name="Normal 19 4" xfId="63" xr:uid="{00000000-0005-0000-0000-000038000000}"/>
    <cellStyle name="Normal 19 5" xfId="64" xr:uid="{00000000-0005-0000-0000-000039000000}"/>
    <cellStyle name="Normal 2" xfId="6" xr:uid="{00000000-0005-0000-0000-00003A000000}"/>
    <cellStyle name="Normal 2 2" xfId="65" xr:uid="{00000000-0005-0000-0000-00003B000000}"/>
    <cellStyle name="Normal 2 3" xfId="66" xr:uid="{00000000-0005-0000-0000-00003C000000}"/>
    <cellStyle name="Normal 2 4" xfId="67" xr:uid="{00000000-0005-0000-0000-00003D000000}"/>
    <cellStyle name="Normal 2 5" xfId="68" xr:uid="{00000000-0005-0000-0000-00003E000000}"/>
    <cellStyle name="Normal 20" xfId="69" xr:uid="{00000000-0005-0000-0000-00003F000000}"/>
    <cellStyle name="Normal 20 2" xfId="70" xr:uid="{00000000-0005-0000-0000-000040000000}"/>
    <cellStyle name="Normal 20 3" xfId="71" xr:uid="{00000000-0005-0000-0000-000041000000}"/>
    <cellStyle name="Normal 20 4" xfId="72" xr:uid="{00000000-0005-0000-0000-000042000000}"/>
    <cellStyle name="Normal 20 5" xfId="73" xr:uid="{00000000-0005-0000-0000-000043000000}"/>
    <cellStyle name="Normal 21" xfId="74" xr:uid="{00000000-0005-0000-0000-000044000000}"/>
    <cellStyle name="Normal 21 2" xfId="75" xr:uid="{00000000-0005-0000-0000-000045000000}"/>
    <cellStyle name="Normal 21 3" xfId="76" xr:uid="{00000000-0005-0000-0000-000046000000}"/>
    <cellStyle name="Normal 21 4" xfId="77" xr:uid="{00000000-0005-0000-0000-000047000000}"/>
    <cellStyle name="Normal 21 5" xfId="78" xr:uid="{00000000-0005-0000-0000-000048000000}"/>
    <cellStyle name="Normal 23" xfId="79" xr:uid="{00000000-0005-0000-0000-000049000000}"/>
    <cellStyle name="Normal 23 2" xfId="80" xr:uid="{00000000-0005-0000-0000-00004A000000}"/>
    <cellStyle name="Normal 23 3" xfId="81" xr:uid="{00000000-0005-0000-0000-00004B000000}"/>
    <cellStyle name="Normal 23 4" xfId="82" xr:uid="{00000000-0005-0000-0000-00004C000000}"/>
    <cellStyle name="Normal 23 5" xfId="83" xr:uid="{00000000-0005-0000-0000-00004D000000}"/>
    <cellStyle name="Normal 24" xfId="84" xr:uid="{00000000-0005-0000-0000-00004E000000}"/>
    <cellStyle name="Normal 24 2" xfId="85" xr:uid="{00000000-0005-0000-0000-00004F000000}"/>
    <cellStyle name="Normal 24 3" xfId="86" xr:uid="{00000000-0005-0000-0000-000050000000}"/>
    <cellStyle name="Normal 24 4" xfId="87" xr:uid="{00000000-0005-0000-0000-000051000000}"/>
    <cellStyle name="Normal 24 5" xfId="88" xr:uid="{00000000-0005-0000-0000-000052000000}"/>
    <cellStyle name="Normal 25" xfId="89" xr:uid="{00000000-0005-0000-0000-000053000000}"/>
    <cellStyle name="Normal 25 2" xfId="90" xr:uid="{00000000-0005-0000-0000-000054000000}"/>
    <cellStyle name="Normal 25 3" xfId="91" xr:uid="{00000000-0005-0000-0000-000055000000}"/>
    <cellStyle name="Normal 25 4" xfId="92" xr:uid="{00000000-0005-0000-0000-000056000000}"/>
    <cellStyle name="Normal 25 5" xfId="93" xr:uid="{00000000-0005-0000-0000-000057000000}"/>
    <cellStyle name="Normal 26" xfId="94" xr:uid="{00000000-0005-0000-0000-000058000000}"/>
    <cellStyle name="Normal 26 2" xfId="95" xr:uid="{00000000-0005-0000-0000-000059000000}"/>
    <cellStyle name="Normal 26 3" xfId="96" xr:uid="{00000000-0005-0000-0000-00005A000000}"/>
    <cellStyle name="Normal 26 4" xfId="97" xr:uid="{00000000-0005-0000-0000-00005B000000}"/>
    <cellStyle name="Normal 26 5" xfId="98" xr:uid="{00000000-0005-0000-0000-00005C000000}"/>
    <cellStyle name="Normal 27" xfId="99" xr:uid="{00000000-0005-0000-0000-00005D000000}"/>
    <cellStyle name="Normal 27 2" xfId="100" xr:uid="{00000000-0005-0000-0000-00005E000000}"/>
    <cellStyle name="Normal 27 3" xfId="101" xr:uid="{00000000-0005-0000-0000-00005F000000}"/>
    <cellStyle name="Normal 27 4" xfId="102" xr:uid="{00000000-0005-0000-0000-000060000000}"/>
    <cellStyle name="Normal 27 5" xfId="103" xr:uid="{00000000-0005-0000-0000-000061000000}"/>
    <cellStyle name="Normal 28 2" xfId="104" xr:uid="{00000000-0005-0000-0000-000062000000}"/>
    <cellStyle name="Normal 28 3" xfId="105" xr:uid="{00000000-0005-0000-0000-000063000000}"/>
    <cellStyle name="Normal 28 4" xfId="106" xr:uid="{00000000-0005-0000-0000-000064000000}"/>
    <cellStyle name="Normal 29" xfId="107" xr:uid="{00000000-0005-0000-0000-000065000000}"/>
    <cellStyle name="Normal 3" xfId="12" xr:uid="{00000000-0005-0000-0000-000066000000}"/>
    <cellStyle name="Normal 3 2" xfId="108" xr:uid="{00000000-0005-0000-0000-000067000000}"/>
    <cellStyle name="Normal 3 3" xfId="109" xr:uid="{00000000-0005-0000-0000-000068000000}"/>
    <cellStyle name="Normal 3 4" xfId="110" xr:uid="{00000000-0005-0000-0000-000069000000}"/>
    <cellStyle name="Normal 3 5" xfId="111" xr:uid="{00000000-0005-0000-0000-00006A000000}"/>
    <cellStyle name="Normal 30" xfId="112" xr:uid="{00000000-0005-0000-0000-00006B000000}"/>
    <cellStyle name="Normal 32" xfId="113" xr:uid="{00000000-0005-0000-0000-00006C000000}"/>
    <cellStyle name="Normal 4" xfId="13" xr:uid="{00000000-0005-0000-0000-00006D000000}"/>
    <cellStyle name="Normal 4 2" xfId="114" xr:uid="{00000000-0005-0000-0000-00006E000000}"/>
    <cellStyle name="Normal 4 3" xfId="115" xr:uid="{00000000-0005-0000-0000-00006F000000}"/>
    <cellStyle name="Normal 4 4" xfId="116" xr:uid="{00000000-0005-0000-0000-000070000000}"/>
    <cellStyle name="Normal 4 5" xfId="117" xr:uid="{00000000-0005-0000-0000-000071000000}"/>
    <cellStyle name="Normal 5" xfId="17" xr:uid="{00000000-0005-0000-0000-000072000000}"/>
    <cellStyle name="Normal 5 2" xfId="118" xr:uid="{00000000-0005-0000-0000-000073000000}"/>
    <cellStyle name="Normal 5 3" xfId="119" xr:uid="{00000000-0005-0000-0000-000074000000}"/>
    <cellStyle name="Normal 5 4" xfId="120" xr:uid="{00000000-0005-0000-0000-000075000000}"/>
    <cellStyle name="Normal 5 5" xfId="121" xr:uid="{00000000-0005-0000-0000-000076000000}"/>
    <cellStyle name="Normal 6" xfId="122" xr:uid="{00000000-0005-0000-0000-000077000000}"/>
    <cellStyle name="Normal 6 2" xfId="123" xr:uid="{00000000-0005-0000-0000-000078000000}"/>
    <cellStyle name="Normal 6 3" xfId="124" xr:uid="{00000000-0005-0000-0000-000079000000}"/>
    <cellStyle name="Normal 6 4" xfId="125" xr:uid="{00000000-0005-0000-0000-00007A000000}"/>
    <cellStyle name="Normal 6 5" xfId="126" xr:uid="{00000000-0005-0000-0000-00007B000000}"/>
    <cellStyle name="Normal 7 2" xfId="127" xr:uid="{00000000-0005-0000-0000-00007C000000}"/>
    <cellStyle name="Normal 7 3" xfId="128" xr:uid="{00000000-0005-0000-0000-00007D000000}"/>
    <cellStyle name="Normal 7 4" xfId="129" xr:uid="{00000000-0005-0000-0000-00007E000000}"/>
    <cellStyle name="Normal 7 5" xfId="130" xr:uid="{00000000-0005-0000-0000-00007F000000}"/>
    <cellStyle name="Normal 8 2" xfId="131" xr:uid="{00000000-0005-0000-0000-000080000000}"/>
    <cellStyle name="Normal 8 3" xfId="132" xr:uid="{00000000-0005-0000-0000-000081000000}"/>
    <cellStyle name="Normal 8 4" xfId="133" xr:uid="{00000000-0005-0000-0000-000082000000}"/>
    <cellStyle name="Normal 8 5" xfId="134" xr:uid="{00000000-0005-0000-0000-000083000000}"/>
    <cellStyle name="Normal 9" xfId="135" xr:uid="{00000000-0005-0000-0000-000084000000}"/>
    <cellStyle name="Normal 9 2" xfId="136" xr:uid="{00000000-0005-0000-0000-000085000000}"/>
    <cellStyle name="Normal 9 3" xfId="137" xr:uid="{00000000-0005-0000-0000-000086000000}"/>
    <cellStyle name="Normal 9 4" xfId="138" xr:uid="{00000000-0005-0000-0000-000087000000}"/>
    <cellStyle name="Normal 9 5" xfId="139" xr:uid="{00000000-0005-0000-0000-000088000000}"/>
    <cellStyle name="Normal_Sheet1" xfId="140" xr:uid="{7FB06664-9CCC-4968-821B-FC41CA45F28A}"/>
    <cellStyle name="Percent" xfId="16" builtinId="5"/>
    <cellStyle name="Percent 2" xfId="14" xr:uid="{00000000-0005-0000-0000-00008A000000}"/>
    <cellStyle name="Percent 3" xfId="19" xr:uid="{00000000-0005-0000-0000-00008B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37</xdr:col>
      <xdr:colOff>51819</xdr:colOff>
      <xdr:row>40</xdr:row>
      <xdr:rowOff>68036</xdr:rowOff>
    </xdr:to>
    <xdr:pic>
      <xdr:nvPicPr>
        <xdr:cNvPr id="7" name="Picture 6">
          <a:extLst>
            <a:ext uri="{FF2B5EF4-FFF2-40B4-BE49-F238E27FC236}">
              <a16:creationId xmlns:a16="http://schemas.microsoft.com/office/drawing/2014/main" id="{459F31D8-A8BB-4491-884F-BE08F389E50F}"/>
            </a:ext>
          </a:extLst>
        </xdr:cNvPr>
        <xdr:cNvPicPr>
          <a:picLocks/>
        </xdr:cNvPicPr>
      </xdr:nvPicPr>
      <xdr:blipFill>
        <a:blip xmlns:r="http://schemas.openxmlformats.org/officeDocument/2006/relationships" r:embed="rId1"/>
        <a:stretch>
          <a:fillRect/>
        </a:stretch>
      </xdr:blipFill>
      <xdr:spPr>
        <a:xfrm>
          <a:off x="22517100" y="0"/>
          <a:ext cx="12243817" cy="8229600"/>
        </a:xfrm>
        <a:prstGeom prst="rect">
          <a:avLst/>
        </a:prstGeom>
      </xdr:spPr>
    </xdr:pic>
    <xdr:clientData/>
  </xdr:twoCellAnchor>
  <xdr:twoCellAnchor editAs="oneCell">
    <xdr:from>
      <xdr:col>38</xdr:col>
      <xdr:colOff>0</xdr:colOff>
      <xdr:row>0</xdr:row>
      <xdr:rowOff>0</xdr:rowOff>
    </xdr:from>
    <xdr:to>
      <xdr:col>58</xdr:col>
      <xdr:colOff>51817</xdr:colOff>
      <xdr:row>40</xdr:row>
      <xdr:rowOff>68036</xdr:rowOff>
    </xdr:to>
    <xdr:pic>
      <xdr:nvPicPr>
        <xdr:cNvPr id="8" name="Picture 7">
          <a:extLst>
            <a:ext uri="{FF2B5EF4-FFF2-40B4-BE49-F238E27FC236}">
              <a16:creationId xmlns:a16="http://schemas.microsoft.com/office/drawing/2014/main" id="{47EC7E01-CED2-45BA-A8EE-CB21E86F380A}"/>
            </a:ext>
          </a:extLst>
        </xdr:cNvPr>
        <xdr:cNvPicPr>
          <a:picLocks/>
        </xdr:cNvPicPr>
      </xdr:nvPicPr>
      <xdr:blipFill>
        <a:blip xmlns:r="http://schemas.openxmlformats.org/officeDocument/2006/relationships" r:embed="rId2"/>
        <a:stretch>
          <a:fillRect/>
        </a:stretch>
      </xdr:blipFill>
      <xdr:spPr>
        <a:xfrm>
          <a:off x="35318700" y="0"/>
          <a:ext cx="12243817" cy="8229600"/>
        </a:xfrm>
        <a:prstGeom prst="rect">
          <a:avLst/>
        </a:prstGeom>
      </xdr:spPr>
    </xdr:pic>
    <xdr:clientData/>
  </xdr:twoCellAnchor>
  <xdr:twoCellAnchor editAs="oneCell">
    <xdr:from>
      <xdr:col>38</xdr:col>
      <xdr:colOff>0</xdr:colOff>
      <xdr:row>41</xdr:row>
      <xdr:rowOff>0</xdr:rowOff>
    </xdr:from>
    <xdr:to>
      <xdr:col>58</xdr:col>
      <xdr:colOff>47625</xdr:colOff>
      <xdr:row>84</xdr:row>
      <xdr:rowOff>38100</xdr:rowOff>
    </xdr:to>
    <xdr:pic>
      <xdr:nvPicPr>
        <xdr:cNvPr id="9" name="Picture 8">
          <a:extLst>
            <a:ext uri="{FF2B5EF4-FFF2-40B4-BE49-F238E27FC236}">
              <a16:creationId xmlns:a16="http://schemas.microsoft.com/office/drawing/2014/main" id="{8589F9FC-E2CD-457E-A0BD-F3FC6C0E1B4D}"/>
            </a:ext>
          </a:extLst>
        </xdr:cNvPr>
        <xdr:cNvPicPr>
          <a:picLocks/>
        </xdr:cNvPicPr>
      </xdr:nvPicPr>
      <xdr:blipFill>
        <a:blip xmlns:r="http://schemas.openxmlformats.org/officeDocument/2006/relationships" r:embed="rId3"/>
        <a:stretch>
          <a:fillRect/>
        </a:stretch>
      </xdr:blipFill>
      <xdr:spPr>
        <a:xfrm>
          <a:off x="35318700" y="8420100"/>
          <a:ext cx="12239625" cy="822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0</xdr:colOff>
      <xdr:row>0</xdr:row>
      <xdr:rowOff>0</xdr:rowOff>
    </xdr:from>
    <xdr:to>
      <xdr:col>45</xdr:col>
      <xdr:colOff>51817</xdr:colOff>
      <xdr:row>40</xdr:row>
      <xdr:rowOff>76912</xdr:rowOff>
    </xdr:to>
    <xdr:pic>
      <xdr:nvPicPr>
        <xdr:cNvPr id="5" name="Picture 4">
          <a:extLst>
            <a:ext uri="{FF2B5EF4-FFF2-40B4-BE49-F238E27FC236}">
              <a16:creationId xmlns:a16="http://schemas.microsoft.com/office/drawing/2014/main" id="{92FA18DE-6B74-4403-B343-69DCBC28B274}"/>
            </a:ext>
          </a:extLst>
        </xdr:cNvPr>
        <xdr:cNvPicPr>
          <a:picLocks/>
        </xdr:cNvPicPr>
      </xdr:nvPicPr>
      <xdr:blipFill>
        <a:blip xmlns:r="http://schemas.openxmlformats.org/officeDocument/2006/relationships" r:embed="rId1"/>
        <a:stretch>
          <a:fillRect/>
        </a:stretch>
      </xdr:blipFill>
      <xdr:spPr>
        <a:xfrm>
          <a:off x="21602700" y="0"/>
          <a:ext cx="12243817" cy="8234795"/>
        </a:xfrm>
        <a:prstGeom prst="rect">
          <a:avLst/>
        </a:prstGeom>
      </xdr:spPr>
    </xdr:pic>
    <xdr:clientData/>
  </xdr:twoCellAnchor>
  <xdr:twoCellAnchor editAs="oneCell">
    <xdr:from>
      <xdr:col>46</xdr:col>
      <xdr:colOff>0</xdr:colOff>
      <xdr:row>0</xdr:row>
      <xdr:rowOff>0</xdr:rowOff>
    </xdr:from>
    <xdr:to>
      <xdr:col>66</xdr:col>
      <xdr:colOff>51816</xdr:colOff>
      <xdr:row>40</xdr:row>
      <xdr:rowOff>76912</xdr:rowOff>
    </xdr:to>
    <xdr:pic>
      <xdr:nvPicPr>
        <xdr:cNvPr id="6" name="Picture 5">
          <a:extLst>
            <a:ext uri="{FF2B5EF4-FFF2-40B4-BE49-F238E27FC236}">
              <a16:creationId xmlns:a16="http://schemas.microsoft.com/office/drawing/2014/main" id="{373DCA5D-C8C7-4A2A-BFB0-4C816561D025}"/>
            </a:ext>
          </a:extLst>
        </xdr:cNvPr>
        <xdr:cNvPicPr>
          <a:picLocks/>
        </xdr:cNvPicPr>
      </xdr:nvPicPr>
      <xdr:blipFill>
        <a:blip xmlns:r="http://schemas.openxmlformats.org/officeDocument/2006/relationships" r:embed="rId2"/>
        <a:stretch>
          <a:fillRect/>
        </a:stretch>
      </xdr:blipFill>
      <xdr:spPr>
        <a:xfrm>
          <a:off x="34404300" y="0"/>
          <a:ext cx="12243816" cy="8234795"/>
        </a:xfrm>
        <a:prstGeom prst="rect">
          <a:avLst/>
        </a:prstGeom>
      </xdr:spPr>
    </xdr:pic>
    <xdr:clientData/>
  </xdr:twoCellAnchor>
  <xdr:twoCellAnchor editAs="oneCell">
    <xdr:from>
      <xdr:col>46</xdr:col>
      <xdr:colOff>0</xdr:colOff>
      <xdr:row>41</xdr:row>
      <xdr:rowOff>0</xdr:rowOff>
    </xdr:from>
    <xdr:to>
      <xdr:col>66</xdr:col>
      <xdr:colOff>47624</xdr:colOff>
      <xdr:row>84</xdr:row>
      <xdr:rowOff>38100</xdr:rowOff>
    </xdr:to>
    <xdr:pic>
      <xdr:nvPicPr>
        <xdr:cNvPr id="7" name="Picture 6">
          <a:extLst>
            <a:ext uri="{FF2B5EF4-FFF2-40B4-BE49-F238E27FC236}">
              <a16:creationId xmlns:a16="http://schemas.microsoft.com/office/drawing/2014/main" id="{92CF4DF8-BFE2-4547-8F4E-476CB66DF763}"/>
            </a:ext>
          </a:extLst>
        </xdr:cNvPr>
        <xdr:cNvPicPr>
          <a:picLocks/>
        </xdr:cNvPicPr>
      </xdr:nvPicPr>
      <xdr:blipFill>
        <a:blip xmlns:r="http://schemas.openxmlformats.org/officeDocument/2006/relationships" r:embed="rId3"/>
        <a:stretch>
          <a:fillRect/>
        </a:stretch>
      </xdr:blipFill>
      <xdr:spPr>
        <a:xfrm>
          <a:off x="34404300" y="8382000"/>
          <a:ext cx="12239624" cy="8229600"/>
        </a:xfrm>
        <a:prstGeom prst="rect">
          <a:avLst/>
        </a:prstGeom>
      </xdr:spPr>
    </xdr:pic>
    <xdr:clientData/>
  </xdr:twoCellAnchor>
  <xdr:twoCellAnchor editAs="oneCell">
    <xdr:from>
      <xdr:col>10</xdr:col>
      <xdr:colOff>128067</xdr:colOff>
      <xdr:row>15</xdr:row>
      <xdr:rowOff>32017</xdr:rowOff>
    </xdr:from>
    <xdr:to>
      <xdr:col>12</xdr:col>
      <xdr:colOff>794852</xdr:colOff>
      <xdr:row>21</xdr:row>
      <xdr:rowOff>149679</xdr:rowOff>
    </xdr:to>
    <xdr:pic>
      <xdr:nvPicPr>
        <xdr:cNvPr id="8" name="Picture 7" descr="Equation">
          <a:extLst>
            <a:ext uri="{FF2B5EF4-FFF2-40B4-BE49-F238E27FC236}">
              <a16:creationId xmlns:a16="http://schemas.microsoft.com/office/drawing/2014/main" id="{EE451472-D062-4DEC-9E3D-6C19644682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857924" y="3365767"/>
          <a:ext cx="4993857" cy="1260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42</xdr:row>
      <xdr:rowOff>0</xdr:rowOff>
    </xdr:from>
    <xdr:to>
      <xdr:col>38</xdr:col>
      <xdr:colOff>189471</xdr:colOff>
      <xdr:row>59</xdr:row>
      <xdr:rowOff>75784</xdr:rowOff>
    </xdr:to>
    <xdr:pic>
      <xdr:nvPicPr>
        <xdr:cNvPr id="9" name="Picture 8">
          <a:extLst>
            <a:ext uri="{FF2B5EF4-FFF2-40B4-BE49-F238E27FC236}">
              <a16:creationId xmlns:a16="http://schemas.microsoft.com/office/drawing/2014/main" id="{455D37E4-CD7D-46E0-BDA4-3CA216D28E4A}"/>
            </a:ext>
          </a:extLst>
        </xdr:cNvPr>
        <xdr:cNvPicPr>
          <a:picLocks noChangeAspect="1"/>
        </xdr:cNvPicPr>
      </xdr:nvPicPr>
      <xdr:blipFill>
        <a:blip xmlns:r="http://schemas.openxmlformats.org/officeDocument/2006/relationships" r:embed="rId5"/>
        <a:stretch>
          <a:fillRect/>
        </a:stretch>
      </xdr:blipFill>
      <xdr:spPr>
        <a:xfrm>
          <a:off x="26312813" y="8501063"/>
          <a:ext cx="8238095" cy="3314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1736912</xdr:colOff>
      <xdr:row>39</xdr:row>
      <xdr:rowOff>168088</xdr:rowOff>
    </xdr:from>
    <xdr:to>
      <xdr:col>34</xdr:col>
      <xdr:colOff>461123</xdr:colOff>
      <xdr:row>68</xdr:row>
      <xdr:rowOff>143595</xdr:rowOff>
    </xdr:to>
    <xdr:pic>
      <xdr:nvPicPr>
        <xdr:cNvPr id="17" name="Picture 16">
          <a:extLst>
            <a:ext uri="{FF2B5EF4-FFF2-40B4-BE49-F238E27FC236}">
              <a16:creationId xmlns:a16="http://schemas.microsoft.com/office/drawing/2014/main" id="{C0761014-1CB7-4D3A-AD9C-F2DDBC9ACA8B}"/>
            </a:ext>
          </a:extLst>
        </xdr:cNvPr>
        <xdr:cNvPicPr>
          <a:picLocks/>
        </xdr:cNvPicPr>
      </xdr:nvPicPr>
      <xdr:blipFill>
        <a:blip xmlns:r="http://schemas.openxmlformats.org/officeDocument/2006/relationships" r:embed="rId1"/>
        <a:stretch>
          <a:fillRect/>
        </a:stretch>
      </xdr:blipFill>
      <xdr:spPr>
        <a:xfrm>
          <a:off x="30468794" y="8225117"/>
          <a:ext cx="8047505" cy="5522419"/>
        </a:xfrm>
        <a:prstGeom prst="rect">
          <a:avLst/>
        </a:prstGeom>
      </xdr:spPr>
    </xdr:pic>
    <xdr:clientData fLocksWithSheet="0"/>
  </xdr:twoCellAnchor>
  <xdr:twoCellAnchor editAs="oneCell">
    <xdr:from>
      <xdr:col>24</xdr:col>
      <xdr:colOff>1736912</xdr:colOff>
      <xdr:row>70</xdr:row>
      <xdr:rowOff>168088</xdr:rowOff>
    </xdr:from>
    <xdr:to>
      <xdr:col>34</xdr:col>
      <xdr:colOff>461123</xdr:colOff>
      <xdr:row>99</xdr:row>
      <xdr:rowOff>129988</xdr:rowOff>
    </xdr:to>
    <xdr:pic>
      <xdr:nvPicPr>
        <xdr:cNvPr id="18" name="Picture 17">
          <a:extLst>
            <a:ext uri="{FF2B5EF4-FFF2-40B4-BE49-F238E27FC236}">
              <a16:creationId xmlns:a16="http://schemas.microsoft.com/office/drawing/2014/main" id="{24C2CE9F-EC78-4154-83A7-9D2D9A868817}"/>
            </a:ext>
          </a:extLst>
        </xdr:cNvPr>
        <xdr:cNvPicPr>
          <a:picLocks/>
        </xdr:cNvPicPr>
      </xdr:nvPicPr>
      <xdr:blipFill>
        <a:blip xmlns:r="http://schemas.openxmlformats.org/officeDocument/2006/relationships" r:embed="rId2"/>
        <a:stretch>
          <a:fillRect/>
        </a:stretch>
      </xdr:blipFill>
      <xdr:spPr>
        <a:xfrm>
          <a:off x="30468794" y="14153029"/>
          <a:ext cx="8047505" cy="5486400"/>
        </a:xfrm>
        <a:prstGeom prst="rect">
          <a:avLst/>
        </a:prstGeom>
      </xdr:spPr>
    </xdr:pic>
    <xdr:clientData fLocksWithSheet="0"/>
  </xdr:twoCellAnchor>
  <xdr:twoCellAnchor editAs="oneCell">
    <xdr:from>
      <xdr:col>35</xdr:col>
      <xdr:colOff>280147</xdr:colOff>
      <xdr:row>39</xdr:row>
      <xdr:rowOff>168088</xdr:rowOff>
    </xdr:from>
    <xdr:to>
      <xdr:col>48</xdr:col>
      <xdr:colOff>461122</xdr:colOff>
      <xdr:row>68</xdr:row>
      <xdr:rowOff>143595</xdr:rowOff>
    </xdr:to>
    <xdr:pic>
      <xdr:nvPicPr>
        <xdr:cNvPr id="23" name="Picture 22">
          <a:extLst>
            <a:ext uri="{FF2B5EF4-FFF2-40B4-BE49-F238E27FC236}">
              <a16:creationId xmlns:a16="http://schemas.microsoft.com/office/drawing/2014/main" id="{546F9E4F-BBBB-4B19-802C-4740F4814B55}"/>
            </a:ext>
          </a:extLst>
        </xdr:cNvPr>
        <xdr:cNvPicPr>
          <a:picLocks/>
        </xdr:cNvPicPr>
      </xdr:nvPicPr>
      <xdr:blipFill>
        <a:blip xmlns:r="http://schemas.openxmlformats.org/officeDocument/2006/relationships" r:embed="rId3"/>
        <a:stretch>
          <a:fillRect/>
        </a:stretch>
      </xdr:blipFill>
      <xdr:spPr>
        <a:xfrm>
          <a:off x="38940441" y="8225117"/>
          <a:ext cx="8047505" cy="5522419"/>
        </a:xfrm>
        <a:prstGeom prst="rect">
          <a:avLst/>
        </a:prstGeom>
      </xdr:spPr>
    </xdr:pic>
    <xdr:clientData fLocksWithSheet="0"/>
  </xdr:twoCellAnchor>
  <xdr:twoCellAnchor editAs="oneCell">
    <xdr:from>
      <xdr:col>35</xdr:col>
      <xdr:colOff>280147</xdr:colOff>
      <xdr:row>70</xdr:row>
      <xdr:rowOff>168088</xdr:rowOff>
    </xdr:from>
    <xdr:to>
      <xdr:col>48</xdr:col>
      <xdr:colOff>461122</xdr:colOff>
      <xdr:row>99</xdr:row>
      <xdr:rowOff>129988</xdr:rowOff>
    </xdr:to>
    <xdr:pic>
      <xdr:nvPicPr>
        <xdr:cNvPr id="24" name="Picture 23">
          <a:extLst>
            <a:ext uri="{FF2B5EF4-FFF2-40B4-BE49-F238E27FC236}">
              <a16:creationId xmlns:a16="http://schemas.microsoft.com/office/drawing/2014/main" id="{58F9D29B-0ECB-4170-BA05-7E71B165FACB}"/>
            </a:ext>
          </a:extLst>
        </xdr:cNvPr>
        <xdr:cNvPicPr>
          <a:picLocks/>
        </xdr:cNvPicPr>
      </xdr:nvPicPr>
      <xdr:blipFill>
        <a:blip xmlns:r="http://schemas.openxmlformats.org/officeDocument/2006/relationships" r:embed="rId4"/>
        <a:stretch>
          <a:fillRect/>
        </a:stretch>
      </xdr:blipFill>
      <xdr:spPr>
        <a:xfrm>
          <a:off x="38940441" y="14153029"/>
          <a:ext cx="8047505" cy="5486400"/>
        </a:xfrm>
        <a:prstGeom prst="rect">
          <a:avLst/>
        </a:prstGeom>
      </xdr:spPr>
    </xdr:pic>
    <xdr:clientData fLocksWithSheet="0"/>
  </xdr:twoCellAnchor>
  <xdr:twoCellAnchor editAs="oneCell">
    <xdr:from>
      <xdr:col>18</xdr:col>
      <xdr:colOff>179294</xdr:colOff>
      <xdr:row>71</xdr:row>
      <xdr:rowOff>0</xdr:rowOff>
    </xdr:from>
    <xdr:to>
      <xdr:col>24</xdr:col>
      <xdr:colOff>1396813</xdr:colOff>
      <xdr:row>99</xdr:row>
      <xdr:rowOff>152400</xdr:rowOff>
    </xdr:to>
    <xdr:pic>
      <xdr:nvPicPr>
        <xdr:cNvPr id="11" name="Picture 10">
          <a:extLst>
            <a:ext uri="{FF2B5EF4-FFF2-40B4-BE49-F238E27FC236}">
              <a16:creationId xmlns:a16="http://schemas.microsoft.com/office/drawing/2014/main" id="{860E836B-4DD0-40E5-95BC-A575DC60250B}"/>
            </a:ext>
          </a:extLst>
        </xdr:cNvPr>
        <xdr:cNvPicPr>
          <a:picLocks/>
        </xdr:cNvPicPr>
      </xdr:nvPicPr>
      <xdr:blipFill>
        <a:blip xmlns:r="http://schemas.openxmlformats.org/officeDocument/2006/relationships" r:embed="rId5"/>
        <a:stretch>
          <a:fillRect/>
        </a:stretch>
      </xdr:blipFill>
      <xdr:spPr>
        <a:xfrm>
          <a:off x="21885088" y="14175441"/>
          <a:ext cx="8243607" cy="5486400"/>
        </a:xfrm>
        <a:prstGeom prst="rect">
          <a:avLst/>
        </a:prstGeom>
      </xdr:spPr>
    </xdr:pic>
    <xdr:clientData fLocksWithSheet="0"/>
  </xdr:twoCellAnchor>
  <xdr:twoCellAnchor editAs="oneCell">
    <xdr:from>
      <xdr:col>18</xdr:col>
      <xdr:colOff>179294</xdr:colOff>
      <xdr:row>40</xdr:row>
      <xdr:rowOff>0</xdr:rowOff>
    </xdr:from>
    <xdr:to>
      <xdr:col>24</xdr:col>
      <xdr:colOff>1396813</xdr:colOff>
      <xdr:row>68</xdr:row>
      <xdr:rowOff>166007</xdr:rowOff>
    </xdr:to>
    <xdr:pic>
      <xdr:nvPicPr>
        <xdr:cNvPr id="13" name="Picture 12">
          <a:extLst>
            <a:ext uri="{FF2B5EF4-FFF2-40B4-BE49-F238E27FC236}">
              <a16:creationId xmlns:a16="http://schemas.microsoft.com/office/drawing/2014/main" id="{E04F645D-D7A4-42E3-87EA-127B96F03D43}"/>
            </a:ext>
          </a:extLst>
        </xdr:cNvPr>
        <xdr:cNvPicPr>
          <a:picLocks/>
        </xdr:cNvPicPr>
      </xdr:nvPicPr>
      <xdr:blipFill>
        <a:blip xmlns:r="http://schemas.openxmlformats.org/officeDocument/2006/relationships" r:embed="rId6"/>
        <a:stretch>
          <a:fillRect/>
        </a:stretch>
      </xdr:blipFill>
      <xdr:spPr>
        <a:xfrm>
          <a:off x="21885088" y="8247529"/>
          <a:ext cx="8243607" cy="5522419"/>
        </a:xfrm>
        <a:prstGeom prst="rect">
          <a:avLst/>
        </a:prstGeom>
      </xdr:spPr>
    </xdr:pic>
    <xdr:clientData fLocksWithSheet="0"/>
  </xdr:twoCellAnchor>
  <xdr:twoCellAnchor editAs="oneCell">
    <xdr:from>
      <xdr:col>49</xdr:col>
      <xdr:colOff>280147</xdr:colOff>
      <xdr:row>39</xdr:row>
      <xdr:rowOff>168088</xdr:rowOff>
    </xdr:from>
    <xdr:to>
      <xdr:col>62</xdr:col>
      <xdr:colOff>461122</xdr:colOff>
      <xdr:row>68</xdr:row>
      <xdr:rowOff>143595</xdr:rowOff>
    </xdr:to>
    <xdr:pic>
      <xdr:nvPicPr>
        <xdr:cNvPr id="19" name="Picture 18">
          <a:extLst>
            <a:ext uri="{FF2B5EF4-FFF2-40B4-BE49-F238E27FC236}">
              <a16:creationId xmlns:a16="http://schemas.microsoft.com/office/drawing/2014/main" id="{E2979A3F-01ED-48CC-987B-658E2389F406}"/>
            </a:ext>
          </a:extLst>
        </xdr:cNvPr>
        <xdr:cNvPicPr>
          <a:picLocks/>
        </xdr:cNvPicPr>
      </xdr:nvPicPr>
      <xdr:blipFill>
        <a:blip xmlns:r="http://schemas.openxmlformats.org/officeDocument/2006/relationships" r:embed="rId7"/>
        <a:stretch>
          <a:fillRect/>
        </a:stretch>
      </xdr:blipFill>
      <xdr:spPr>
        <a:xfrm>
          <a:off x="47412088" y="8225117"/>
          <a:ext cx="8047505" cy="5522419"/>
        </a:xfrm>
        <a:prstGeom prst="rect">
          <a:avLst/>
        </a:prstGeom>
      </xdr:spPr>
    </xdr:pic>
    <xdr:clientData fLocksWithSheet="0"/>
  </xdr:twoCellAnchor>
  <xdr:twoCellAnchor editAs="oneCell">
    <xdr:from>
      <xdr:col>49</xdr:col>
      <xdr:colOff>280147</xdr:colOff>
      <xdr:row>70</xdr:row>
      <xdr:rowOff>168088</xdr:rowOff>
    </xdr:from>
    <xdr:to>
      <xdr:col>62</xdr:col>
      <xdr:colOff>451597</xdr:colOff>
      <xdr:row>99</xdr:row>
      <xdr:rowOff>129988</xdr:rowOff>
    </xdr:to>
    <xdr:pic>
      <xdr:nvPicPr>
        <xdr:cNvPr id="20" name="Picture 19">
          <a:extLst>
            <a:ext uri="{FF2B5EF4-FFF2-40B4-BE49-F238E27FC236}">
              <a16:creationId xmlns:a16="http://schemas.microsoft.com/office/drawing/2014/main" id="{F12C0C7E-AA09-47B0-89EB-149213FFC464}"/>
            </a:ext>
          </a:extLst>
        </xdr:cNvPr>
        <xdr:cNvPicPr>
          <a:picLocks/>
        </xdr:cNvPicPr>
      </xdr:nvPicPr>
      <xdr:blipFill>
        <a:blip xmlns:r="http://schemas.openxmlformats.org/officeDocument/2006/relationships" r:embed="rId8"/>
        <a:stretch>
          <a:fillRect/>
        </a:stretch>
      </xdr:blipFill>
      <xdr:spPr>
        <a:xfrm>
          <a:off x="47412088" y="14153029"/>
          <a:ext cx="8037980" cy="5486400"/>
        </a:xfrm>
        <a:prstGeom prst="rect">
          <a:avLst/>
        </a:prstGeom>
      </xdr:spPr>
    </xdr:pic>
    <xdr:clientData fLocksWithSheet="0"/>
  </xdr:twoCellAnchor>
  <xdr:twoCellAnchor editAs="oneCell">
    <xdr:from>
      <xdr:col>23</xdr:col>
      <xdr:colOff>2645606</xdr:colOff>
      <xdr:row>0</xdr:row>
      <xdr:rowOff>0</xdr:rowOff>
    </xdr:from>
    <xdr:to>
      <xdr:col>41</xdr:col>
      <xdr:colOff>459440</xdr:colOff>
      <xdr:row>38</xdr:row>
      <xdr:rowOff>60657</xdr:rowOff>
    </xdr:to>
    <xdr:pic>
      <xdr:nvPicPr>
        <xdr:cNvPr id="3" name="Picture 2">
          <a:extLst>
            <a:ext uri="{FF2B5EF4-FFF2-40B4-BE49-F238E27FC236}">
              <a16:creationId xmlns:a16="http://schemas.microsoft.com/office/drawing/2014/main" id="{750DCA00-ED82-4BDA-9596-C1173F44B2A5}"/>
            </a:ext>
          </a:extLst>
        </xdr:cNvPr>
        <xdr:cNvPicPr>
          <a:picLocks noChangeAspect="1"/>
        </xdr:cNvPicPr>
      </xdr:nvPicPr>
      <xdr:blipFill>
        <a:blip xmlns:r="http://schemas.openxmlformats.org/officeDocument/2006/relationships" r:embed="rId9"/>
        <a:stretch>
          <a:fillRect/>
        </a:stretch>
      </xdr:blipFill>
      <xdr:spPr>
        <a:xfrm>
          <a:off x="27982106" y="0"/>
          <a:ext cx="14768334" cy="79271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1449200</xdr:colOff>
      <xdr:row>23</xdr:row>
      <xdr:rowOff>77315</xdr:rowOff>
    </xdr:from>
    <xdr:to>
      <xdr:col>19</xdr:col>
      <xdr:colOff>1044020</xdr:colOff>
      <xdr:row>47</xdr:row>
      <xdr:rowOff>46318</xdr:rowOff>
    </xdr:to>
    <xdr:pic>
      <xdr:nvPicPr>
        <xdr:cNvPr id="14" name="Picture 13">
          <a:extLst>
            <a:ext uri="{FF2B5EF4-FFF2-40B4-BE49-F238E27FC236}">
              <a16:creationId xmlns:a16="http://schemas.microsoft.com/office/drawing/2014/main" id="{E03F1CD2-FEA5-4710-856F-3F657CD43C3B}"/>
            </a:ext>
          </a:extLst>
        </xdr:cNvPr>
        <xdr:cNvPicPr>
          <a:picLocks noChangeAspect="1"/>
        </xdr:cNvPicPr>
      </xdr:nvPicPr>
      <xdr:blipFill>
        <a:blip xmlns:r="http://schemas.openxmlformats.org/officeDocument/2006/relationships" r:embed="rId1"/>
        <a:stretch>
          <a:fillRect/>
        </a:stretch>
      </xdr:blipFill>
      <xdr:spPr>
        <a:xfrm>
          <a:off x="22525427" y="5047633"/>
          <a:ext cx="6011105" cy="4541003"/>
        </a:xfrm>
        <a:prstGeom prst="rect">
          <a:avLst/>
        </a:prstGeom>
      </xdr:spPr>
    </xdr:pic>
    <xdr:clientData/>
  </xdr:twoCellAnchor>
  <xdr:twoCellAnchor editAs="oneCell">
    <xdr:from>
      <xdr:col>15</xdr:col>
      <xdr:colOff>1094629</xdr:colOff>
      <xdr:row>2</xdr:row>
      <xdr:rowOff>0</xdr:rowOff>
    </xdr:from>
    <xdr:to>
      <xdr:col>20</xdr:col>
      <xdr:colOff>845242</xdr:colOff>
      <xdr:row>21</xdr:row>
      <xdr:rowOff>174733</xdr:rowOff>
    </xdr:to>
    <xdr:pic>
      <xdr:nvPicPr>
        <xdr:cNvPr id="2" name="Picture 1">
          <a:extLst>
            <a:ext uri="{FF2B5EF4-FFF2-40B4-BE49-F238E27FC236}">
              <a16:creationId xmlns:a16="http://schemas.microsoft.com/office/drawing/2014/main" id="{08465CBF-C5DC-4AE6-B88F-68E19CD8ADA7}"/>
            </a:ext>
          </a:extLst>
        </xdr:cNvPr>
        <xdr:cNvPicPr>
          <a:picLocks noChangeAspect="1"/>
        </xdr:cNvPicPr>
      </xdr:nvPicPr>
      <xdr:blipFill>
        <a:blip xmlns:r="http://schemas.openxmlformats.org/officeDocument/2006/relationships" r:embed="rId2"/>
        <a:stretch>
          <a:fillRect/>
        </a:stretch>
      </xdr:blipFill>
      <xdr:spPr>
        <a:xfrm>
          <a:off x="34146379" y="381000"/>
          <a:ext cx="6905009" cy="4411958"/>
        </a:xfrm>
        <a:prstGeom prst="rect">
          <a:avLst/>
        </a:prstGeom>
      </xdr:spPr>
    </xdr:pic>
    <xdr:clientData/>
  </xdr:twoCellAnchor>
  <xdr:oneCellAnchor>
    <xdr:from>
      <xdr:col>21</xdr:col>
      <xdr:colOff>437029</xdr:colOff>
      <xdr:row>1</xdr:row>
      <xdr:rowOff>78442</xdr:rowOff>
    </xdr:from>
    <xdr:ext cx="6111983" cy="4124299"/>
    <xdr:pic>
      <xdr:nvPicPr>
        <xdr:cNvPr id="5" name="Picture 4">
          <a:extLst>
            <a:ext uri="{FF2B5EF4-FFF2-40B4-BE49-F238E27FC236}">
              <a16:creationId xmlns:a16="http://schemas.microsoft.com/office/drawing/2014/main" id="{95E1321A-6A9C-4FE8-B415-55A1414DB2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35529" y="268942"/>
          <a:ext cx="6111983" cy="4124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100012</xdr:colOff>
      <xdr:row>27</xdr:row>
      <xdr:rowOff>66674</xdr:rowOff>
    </xdr:from>
    <xdr:ext cx="6115050" cy="3952861"/>
    <xdr:pic>
      <xdr:nvPicPr>
        <xdr:cNvPr id="6" name="Picture 5">
          <a:extLst>
            <a:ext uri="{FF2B5EF4-FFF2-40B4-BE49-F238E27FC236}">
              <a16:creationId xmlns:a16="http://schemas.microsoft.com/office/drawing/2014/main" id="{3488247F-5A47-4EDC-9938-BACC0F7688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557575" y="5805487"/>
          <a:ext cx="6115050" cy="3952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27506</xdr:colOff>
      <xdr:row>20</xdr:row>
      <xdr:rowOff>89471</xdr:rowOff>
    </xdr:from>
    <xdr:ext cx="4579130" cy="1307406"/>
    <xdr:pic>
      <xdr:nvPicPr>
        <xdr:cNvPr id="7" name="Picture 6">
          <a:extLst>
            <a:ext uri="{FF2B5EF4-FFF2-40B4-BE49-F238E27FC236}">
              <a16:creationId xmlns:a16="http://schemas.microsoft.com/office/drawing/2014/main" id="{E178AE2F-C37A-4AD3-B843-8D379C54DB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863779" y="4124607"/>
          <a:ext cx="4579130" cy="1307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1</xdr:colOff>
      <xdr:row>28</xdr:row>
      <xdr:rowOff>103908</xdr:rowOff>
    </xdr:from>
    <xdr:ext cx="4565601" cy="3337619"/>
    <xdr:pic>
      <xdr:nvPicPr>
        <xdr:cNvPr id="8" name="Picture 7">
          <a:extLst>
            <a:ext uri="{FF2B5EF4-FFF2-40B4-BE49-F238E27FC236}">
              <a16:creationId xmlns:a16="http://schemas.microsoft.com/office/drawing/2014/main" id="{C6AF5523-5993-416E-8378-2E0B2ACA29C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836274" y="5645726"/>
          <a:ext cx="4565601" cy="3337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38</xdr:col>
      <xdr:colOff>458598</xdr:colOff>
      <xdr:row>0</xdr:row>
      <xdr:rowOff>0</xdr:rowOff>
    </xdr:from>
    <xdr:to>
      <xdr:col>64</xdr:col>
      <xdr:colOff>81873</xdr:colOff>
      <xdr:row>53</xdr:row>
      <xdr:rowOff>170763</xdr:rowOff>
    </xdr:to>
    <xdr:pic>
      <xdr:nvPicPr>
        <xdr:cNvPr id="2" name="Picture 1">
          <a:extLst>
            <a:ext uri="{FF2B5EF4-FFF2-40B4-BE49-F238E27FC236}">
              <a16:creationId xmlns:a16="http://schemas.microsoft.com/office/drawing/2014/main" id="{16574956-4A6E-475D-AAD6-96240E80BA39}"/>
            </a:ext>
          </a:extLst>
        </xdr:cNvPr>
        <xdr:cNvPicPr>
          <a:picLocks noChangeAspect="1"/>
        </xdr:cNvPicPr>
      </xdr:nvPicPr>
      <xdr:blipFill>
        <a:blip xmlns:r="http://schemas.openxmlformats.org/officeDocument/2006/relationships" r:embed="rId1"/>
        <a:stretch>
          <a:fillRect/>
        </a:stretch>
      </xdr:blipFill>
      <xdr:spPr>
        <a:xfrm>
          <a:off x="37740569" y="0"/>
          <a:ext cx="15356334" cy="109732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1019736</xdr:colOff>
      <xdr:row>11</xdr:row>
      <xdr:rowOff>67236</xdr:rowOff>
    </xdr:from>
    <xdr:to>
      <xdr:col>19</xdr:col>
      <xdr:colOff>1022526</xdr:colOff>
      <xdr:row>27</xdr:row>
      <xdr:rowOff>62541</xdr:rowOff>
    </xdr:to>
    <xdr:pic>
      <xdr:nvPicPr>
        <xdr:cNvPr id="9" name="Picture 8">
          <a:extLst>
            <a:ext uri="{FF2B5EF4-FFF2-40B4-BE49-F238E27FC236}">
              <a16:creationId xmlns:a16="http://schemas.microsoft.com/office/drawing/2014/main" id="{09068EB8-7D42-48C6-B29A-D9D5391D7D74}"/>
            </a:ext>
          </a:extLst>
        </xdr:cNvPr>
        <xdr:cNvPicPr>
          <a:picLocks noChangeAspect="1"/>
        </xdr:cNvPicPr>
      </xdr:nvPicPr>
      <xdr:blipFill>
        <a:blip xmlns:r="http://schemas.openxmlformats.org/officeDocument/2006/relationships" r:embed="rId1"/>
        <a:stretch>
          <a:fillRect/>
        </a:stretch>
      </xdr:blipFill>
      <xdr:spPr>
        <a:xfrm>
          <a:off x="12841942" y="2252383"/>
          <a:ext cx="8227908" cy="3222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58</xdr:row>
      <xdr:rowOff>139843</xdr:rowOff>
    </xdr:from>
    <xdr:to>
      <xdr:col>3</xdr:col>
      <xdr:colOff>227894</xdr:colOff>
      <xdr:row>74</xdr:row>
      <xdr:rowOff>63272</xdr:rowOff>
    </xdr:to>
    <xdr:pic>
      <xdr:nvPicPr>
        <xdr:cNvPr id="2" name="Picture 1">
          <a:extLst>
            <a:ext uri="{FF2B5EF4-FFF2-40B4-BE49-F238E27FC236}">
              <a16:creationId xmlns:a16="http://schemas.microsoft.com/office/drawing/2014/main" id="{1D6CBFAD-7345-463F-B327-FBC2442093AB}"/>
            </a:ext>
          </a:extLst>
        </xdr:cNvPr>
        <xdr:cNvPicPr>
          <a:picLocks noChangeAspect="1"/>
        </xdr:cNvPicPr>
      </xdr:nvPicPr>
      <xdr:blipFill>
        <a:blip xmlns:r="http://schemas.openxmlformats.org/officeDocument/2006/relationships" r:embed="rId1"/>
        <a:stretch>
          <a:fillRect/>
        </a:stretch>
      </xdr:blipFill>
      <xdr:spPr>
        <a:xfrm>
          <a:off x="47625" y="12198493"/>
          <a:ext cx="6606922" cy="29714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1214437</xdr:colOff>
      <xdr:row>0</xdr:row>
      <xdr:rowOff>0</xdr:rowOff>
    </xdr:from>
    <xdr:to>
      <xdr:col>16</xdr:col>
      <xdr:colOff>235960</xdr:colOff>
      <xdr:row>35</xdr:row>
      <xdr:rowOff>161659</xdr:rowOff>
    </xdr:to>
    <xdr:pic>
      <xdr:nvPicPr>
        <xdr:cNvPr id="2" name="Picture 1">
          <a:extLst>
            <a:ext uri="{FF2B5EF4-FFF2-40B4-BE49-F238E27FC236}">
              <a16:creationId xmlns:a16="http://schemas.microsoft.com/office/drawing/2014/main" id="{ABEB8C64-DCEF-4F34-BC67-81A201B20DEE}"/>
            </a:ext>
          </a:extLst>
        </xdr:cNvPr>
        <xdr:cNvPicPr>
          <a:picLocks noChangeAspect="1"/>
        </xdr:cNvPicPr>
      </xdr:nvPicPr>
      <xdr:blipFill>
        <a:blip xmlns:r="http://schemas.openxmlformats.org/officeDocument/2006/relationships" r:embed="rId1"/>
        <a:stretch>
          <a:fillRect/>
        </a:stretch>
      </xdr:blipFill>
      <xdr:spPr>
        <a:xfrm>
          <a:off x="1214437" y="0"/>
          <a:ext cx="17478375" cy="7138722"/>
        </a:xfrm>
        <a:prstGeom prst="rect">
          <a:avLst/>
        </a:prstGeom>
      </xdr:spPr>
    </xdr:pic>
    <xdr:clientData/>
  </xdr:twoCellAnchor>
  <xdr:twoCellAnchor>
    <xdr:from>
      <xdr:col>2</xdr:col>
      <xdr:colOff>1374321</xdr:colOff>
      <xdr:row>28</xdr:row>
      <xdr:rowOff>95250</xdr:rowOff>
    </xdr:from>
    <xdr:to>
      <xdr:col>4</xdr:col>
      <xdr:colOff>979714</xdr:colOff>
      <xdr:row>28</xdr:row>
      <xdr:rowOff>149679</xdr:rowOff>
    </xdr:to>
    <xdr:cxnSp macro="">
      <xdr:nvCxnSpPr>
        <xdr:cNvPr id="4" name="Straight Arrow Connector 3">
          <a:extLst>
            <a:ext uri="{FF2B5EF4-FFF2-40B4-BE49-F238E27FC236}">
              <a16:creationId xmlns:a16="http://schemas.microsoft.com/office/drawing/2014/main" id="{0E371124-B7BF-4C1B-8096-6AD2CC1AC7D5}"/>
            </a:ext>
          </a:extLst>
        </xdr:cNvPr>
        <xdr:cNvCxnSpPr/>
      </xdr:nvCxnSpPr>
      <xdr:spPr>
        <a:xfrm flipH="1">
          <a:off x="3823607" y="5755821"/>
          <a:ext cx="2081893" cy="54429"/>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176893</xdr:colOff>
      <xdr:row>26</xdr:row>
      <xdr:rowOff>13608</xdr:rowOff>
    </xdr:from>
    <xdr:ext cx="1442357" cy="517072"/>
    <xdr:sp macro="" textlink="">
      <xdr:nvSpPr>
        <xdr:cNvPr id="7" name="TextBox 6">
          <a:extLst>
            <a:ext uri="{FF2B5EF4-FFF2-40B4-BE49-F238E27FC236}">
              <a16:creationId xmlns:a16="http://schemas.microsoft.com/office/drawing/2014/main" id="{79554616-13AE-4501-8182-C7A61C8F2D24}"/>
            </a:ext>
          </a:extLst>
        </xdr:cNvPr>
        <xdr:cNvSpPr txBox="1"/>
      </xdr:nvSpPr>
      <xdr:spPr>
        <a:xfrm>
          <a:off x="4490357" y="5293179"/>
          <a:ext cx="1442357" cy="5170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a:solidFill>
                <a:sysClr val="windowText" lastClr="000000"/>
              </a:solidFill>
            </a:rPr>
            <a:t>Bridge location actually at</a:t>
          </a:r>
          <a:r>
            <a:rPr lang="en-US" sz="1200" b="1" baseline="0">
              <a:solidFill>
                <a:sysClr val="windowText" lastClr="000000"/>
              </a:solidFill>
            </a:rPr>
            <a:t> 443rd Ave</a:t>
          </a:r>
          <a:endParaRPr lang="en-US" sz="1200" b="1">
            <a:solidFill>
              <a:sysClr val="windowText" lastClr="000000"/>
            </a:solidFill>
          </a:endParaRPr>
        </a:p>
      </xdr:txBody>
    </xdr:sp>
    <xdr:clientData/>
  </xdr:oneCellAnchor>
  <xdr:twoCellAnchor>
    <xdr:from>
      <xdr:col>4</xdr:col>
      <xdr:colOff>966107</xdr:colOff>
      <xdr:row>27</xdr:row>
      <xdr:rowOff>136072</xdr:rowOff>
    </xdr:from>
    <xdr:to>
      <xdr:col>5</xdr:col>
      <xdr:colOff>408214</xdr:colOff>
      <xdr:row>29</xdr:row>
      <xdr:rowOff>40822</xdr:rowOff>
    </xdr:to>
    <xdr:sp macro="" textlink="">
      <xdr:nvSpPr>
        <xdr:cNvPr id="8" name="Rectangle 7">
          <a:extLst>
            <a:ext uri="{FF2B5EF4-FFF2-40B4-BE49-F238E27FC236}">
              <a16:creationId xmlns:a16="http://schemas.microsoft.com/office/drawing/2014/main" id="{F16D36D1-5E73-49C2-A721-416AF4483D3D}"/>
            </a:ext>
          </a:extLst>
        </xdr:cNvPr>
        <xdr:cNvSpPr/>
      </xdr:nvSpPr>
      <xdr:spPr>
        <a:xfrm>
          <a:off x="5891893" y="5606143"/>
          <a:ext cx="503464" cy="2857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122971</xdr:colOff>
      <xdr:row>47</xdr:row>
      <xdr:rowOff>160784</xdr:rowOff>
    </xdr:to>
    <xdr:pic>
      <xdr:nvPicPr>
        <xdr:cNvPr id="2" name="Picture 1">
          <a:extLst>
            <a:ext uri="{FF2B5EF4-FFF2-40B4-BE49-F238E27FC236}">
              <a16:creationId xmlns:a16="http://schemas.microsoft.com/office/drawing/2014/main" id="{8D89D826-6B79-4C94-B186-5B31815A2D86}"/>
            </a:ext>
          </a:extLst>
        </xdr:cNvPr>
        <xdr:cNvPicPr>
          <a:picLocks noChangeAspect="1"/>
        </xdr:cNvPicPr>
      </xdr:nvPicPr>
      <xdr:blipFill>
        <a:blip xmlns:r="http://schemas.openxmlformats.org/officeDocument/2006/relationships" r:embed="rId1"/>
        <a:stretch>
          <a:fillRect/>
        </a:stretch>
      </xdr:blipFill>
      <xdr:spPr>
        <a:xfrm>
          <a:off x="0" y="0"/>
          <a:ext cx="6828571" cy="9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Matt Flanagan" id="{609FF2E5-EC11-40C5-AC67-0BAED7C1644C}" userId="S::mflanagan@srfconsulting.com::8cb9160e-dfc8-404b-bb36-e560b7424e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48" dT="2021-03-03T16:03:00.45" personId="{609FF2E5-EC11-40C5-AC67-0BAED7C1644C}" id="{12CE1173-4BEA-4BC4-A5B9-33CF1ED72B87}">
    <text>Does not match online mapping tool</text>
  </threadedComment>
</ThreadedComments>
</file>

<file path=xl/threadedComments/threadedComment2.xml><?xml version="1.0" encoding="utf-8"?>
<ThreadedComments xmlns="http://schemas.microsoft.com/office/spreadsheetml/2018/threadedcomments" xmlns:x="http://schemas.openxmlformats.org/spreadsheetml/2006/main">
  <threadedComment ref="D48" dT="2021-03-03T16:03:00.45" personId="{609FF2E5-EC11-40C5-AC67-0BAED7C1644C}" id="{E81BD847-6964-4EA3-95C2-530F60B53A6C}">
    <text>Does not match online mapping tool</text>
  </threadedComment>
</ThreadedComments>
</file>

<file path=xl/threadedComments/threadedComment3.xml><?xml version="1.0" encoding="utf-8"?>
<ThreadedComments xmlns="http://schemas.microsoft.com/office/spreadsheetml/2018/threadedcomments" xmlns:x="http://schemas.openxmlformats.org/spreadsheetml/2006/main">
  <threadedComment ref="M14" dT="2021-03-10T14:24:25.45" personId="{609FF2E5-EC11-40C5-AC67-0BAED7C1644C}" id="{DF2D017B-62A4-4DA1-B1A8-3499C9144C22}">
    <text>"K:\Trans\Grant Applications\2021 Grants\INFRA\SDDOT - 14436\RECEIVED\Cost Estimates\RE I-90 INFRA Grant Cost Estimating Sheets.msg"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apps.sd.gov/hr53needsbook/" TargetMode="External"/><Relationship Id="rId1" Type="http://schemas.openxmlformats.org/officeDocument/2006/relationships/hyperlink" Target="https://apps.sd.gov/hr53needsbook/" TargetMode="External"/><Relationship Id="rId4"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nap.edu/download/22808" TargetMode="External"/><Relationship Id="rId1" Type="http://schemas.openxmlformats.org/officeDocument/2006/relationships/hyperlink" Target="https://www.nap.edu/download/22808"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B2:S54"/>
  <sheetViews>
    <sheetView view="pageBreakPreview" topLeftCell="A13" zoomScale="85" zoomScaleNormal="85" zoomScaleSheetLayoutView="85" workbookViewId="0">
      <selection activeCell="C30" sqref="C30:J33"/>
    </sheetView>
  </sheetViews>
  <sheetFormatPr defaultColWidth="10.7109375" defaultRowHeight="15" customHeight="1" x14ac:dyDescent="0.2"/>
  <cols>
    <col min="1" max="1" width="10.7109375" style="116"/>
    <col min="2" max="2" width="5.7109375" style="116" customWidth="1"/>
    <col min="3" max="3" width="39.140625" style="116" bestFit="1" customWidth="1"/>
    <col min="4" max="5" width="15.7109375" style="116" customWidth="1"/>
    <col min="6" max="6" width="10.7109375" style="116"/>
    <col min="7" max="10" width="20.7109375" style="116" customWidth="1"/>
    <col min="11" max="11" width="14.28515625" style="116" customWidth="1"/>
    <col min="12" max="12" width="11.7109375" style="121" bestFit="1" customWidth="1"/>
    <col min="13" max="18" width="10.7109375" style="121"/>
    <col min="19" max="16384" width="10.7109375" style="116"/>
  </cols>
  <sheetData>
    <row r="2" spans="2:19" ht="15" customHeight="1" x14ac:dyDescent="0.2">
      <c r="B2" s="115"/>
      <c r="L2" s="116"/>
      <c r="M2" s="116"/>
      <c r="N2" s="116"/>
      <c r="O2" s="116"/>
      <c r="P2" s="116"/>
      <c r="Q2" s="116"/>
      <c r="R2" s="116"/>
    </row>
    <row r="3" spans="2:19" ht="15" customHeight="1" x14ac:dyDescent="0.35">
      <c r="C3" s="111" t="s">
        <v>49</v>
      </c>
      <c r="F3" s="117"/>
      <c r="L3" s="116"/>
      <c r="M3" s="116"/>
      <c r="N3" s="116"/>
      <c r="O3" s="116"/>
      <c r="P3" s="116"/>
      <c r="Q3" s="116"/>
      <c r="R3" s="116"/>
    </row>
    <row r="4" spans="2:19" ht="15" customHeight="1" x14ac:dyDescent="0.35">
      <c r="C4" s="118" t="s">
        <v>50</v>
      </c>
      <c r="D4" s="119">
        <v>2019</v>
      </c>
      <c r="F4" s="117"/>
      <c r="L4" s="116"/>
      <c r="M4" s="116"/>
      <c r="N4" s="116"/>
      <c r="O4" s="116"/>
      <c r="P4" s="116"/>
      <c r="Q4" s="116"/>
      <c r="R4" s="116"/>
    </row>
    <row r="5" spans="2:19" ht="15" customHeight="1" x14ac:dyDescent="0.2">
      <c r="B5" s="120"/>
      <c r="C5" s="118" t="s">
        <v>51</v>
      </c>
      <c r="D5" s="119">
        <v>2022</v>
      </c>
      <c r="E5" s="120"/>
      <c r="G5" s="115"/>
      <c r="H5" s="120"/>
      <c r="I5" s="120"/>
      <c r="J5" s="120"/>
      <c r="K5" s="120"/>
      <c r="L5" s="120"/>
      <c r="M5" s="120"/>
      <c r="N5" s="120"/>
      <c r="P5" s="120"/>
    </row>
    <row r="6" spans="2:19" ht="15" customHeight="1" x14ac:dyDescent="0.2">
      <c r="B6" s="120"/>
      <c r="C6" s="118" t="s">
        <v>52</v>
      </c>
      <c r="D6" s="119">
        <v>3</v>
      </c>
      <c r="E6" s="120"/>
      <c r="G6" s="115"/>
      <c r="H6" s="115"/>
      <c r="I6" s="115"/>
      <c r="J6" s="115"/>
      <c r="K6" s="115"/>
      <c r="L6" s="115"/>
      <c r="M6" s="115"/>
      <c r="N6" s="120"/>
      <c r="P6" s="120"/>
    </row>
    <row r="7" spans="2:19" ht="15" customHeight="1" x14ac:dyDescent="0.2">
      <c r="B7" s="120"/>
      <c r="C7" s="118" t="s">
        <v>53</v>
      </c>
      <c r="D7" s="119">
        <f>D5+D6</f>
        <v>2025</v>
      </c>
      <c r="E7" s="120"/>
      <c r="H7" s="120"/>
      <c r="I7" s="120"/>
      <c r="J7" s="120"/>
      <c r="K7" s="115"/>
      <c r="L7" s="120"/>
      <c r="M7" s="120"/>
      <c r="N7" s="120"/>
      <c r="O7" s="120"/>
      <c r="P7" s="120"/>
      <c r="Q7" s="120"/>
    </row>
    <row r="8" spans="2:19" ht="15" customHeight="1" x14ac:dyDescent="0.2">
      <c r="B8" s="120"/>
      <c r="C8" s="118" t="s">
        <v>66</v>
      </c>
      <c r="D8" s="119">
        <v>40</v>
      </c>
      <c r="E8" s="120"/>
      <c r="H8" s="120"/>
      <c r="I8" s="120"/>
      <c r="J8" s="120"/>
      <c r="L8" s="116"/>
      <c r="M8" s="120"/>
      <c r="N8" s="120"/>
      <c r="O8" s="120"/>
      <c r="P8" s="120"/>
      <c r="Q8" s="120"/>
      <c r="R8" s="116"/>
    </row>
    <row r="9" spans="2:19" ht="15" customHeight="1" x14ac:dyDescent="0.2">
      <c r="C9" s="118" t="s">
        <v>54</v>
      </c>
      <c r="D9" s="119">
        <f>D7+20-1</f>
        <v>2044</v>
      </c>
      <c r="E9" s="120"/>
      <c r="G9" s="120"/>
      <c r="H9" s="120"/>
      <c r="L9" s="116"/>
      <c r="M9" s="116"/>
      <c r="N9" s="116"/>
      <c r="O9" s="116"/>
      <c r="P9" s="116"/>
      <c r="Q9" s="116"/>
      <c r="R9" s="116"/>
    </row>
    <row r="10" spans="2:19" ht="15" customHeight="1" x14ac:dyDescent="0.2">
      <c r="C10" s="118" t="s">
        <v>55</v>
      </c>
      <c r="D10" s="119">
        <v>2040</v>
      </c>
      <c r="E10" s="120"/>
      <c r="L10" s="116"/>
      <c r="M10" s="116"/>
      <c r="N10" s="116"/>
      <c r="O10" s="116"/>
      <c r="P10" s="116"/>
      <c r="Q10" s="116"/>
      <c r="R10" s="116"/>
    </row>
    <row r="11" spans="2:19" ht="15" customHeight="1" x14ac:dyDescent="0.2">
      <c r="D11" s="122"/>
      <c r="F11" s="120"/>
      <c r="L11" s="116"/>
      <c r="M11" s="116"/>
      <c r="N11" s="116"/>
      <c r="O11" s="116"/>
      <c r="P11" s="116"/>
      <c r="Q11" s="116"/>
      <c r="R11" s="116"/>
    </row>
    <row r="12" spans="2:19" ht="15" customHeight="1" x14ac:dyDescent="0.2">
      <c r="C12" s="111" t="s">
        <v>56</v>
      </c>
      <c r="E12" s="120"/>
      <c r="F12" s="120"/>
      <c r="L12" s="116"/>
      <c r="M12" s="116"/>
      <c r="N12" s="116"/>
      <c r="O12" s="116"/>
      <c r="P12" s="116"/>
      <c r="Q12" s="116"/>
      <c r="R12" s="116"/>
    </row>
    <row r="13" spans="2:19" ht="15" customHeight="1" x14ac:dyDescent="0.2">
      <c r="C13" s="118"/>
      <c r="D13" s="123" t="s">
        <v>18</v>
      </c>
      <c r="E13" s="123" t="s">
        <v>19</v>
      </c>
      <c r="F13" s="120"/>
      <c r="L13" s="116"/>
      <c r="M13" s="116"/>
      <c r="N13" s="116"/>
      <c r="O13" s="116"/>
      <c r="P13" s="116"/>
      <c r="Q13" s="116"/>
      <c r="R13" s="116"/>
    </row>
    <row r="14" spans="2:19" ht="15" customHeight="1" x14ac:dyDescent="0.2">
      <c r="C14" s="118" t="s">
        <v>77</v>
      </c>
      <c r="D14" s="156">
        <f>1-D15</f>
        <v>0.80259999999999998</v>
      </c>
      <c r="E14" s="156">
        <f>1-E15</f>
        <v>0.80259999999999998</v>
      </c>
      <c r="F14" s="120"/>
      <c r="K14" s="124"/>
      <c r="L14" s="116"/>
      <c r="M14" s="116"/>
      <c r="N14" s="116"/>
      <c r="O14" s="116"/>
      <c r="P14" s="116"/>
      <c r="Q14" s="116"/>
      <c r="R14" s="116"/>
    </row>
    <row r="15" spans="2:19" ht="15" customHeight="1" x14ac:dyDescent="0.2">
      <c r="C15" s="118" t="s">
        <v>78</v>
      </c>
      <c r="D15" s="156">
        <v>0.19739999999999999</v>
      </c>
      <c r="E15" s="156">
        <f>D15</f>
        <v>0.19739999999999999</v>
      </c>
      <c r="J15" s="124"/>
      <c r="L15" s="116"/>
      <c r="M15" s="116"/>
      <c r="N15" s="116"/>
      <c r="O15" s="116"/>
      <c r="P15" s="116"/>
      <c r="Q15" s="116"/>
      <c r="R15" s="116"/>
    </row>
    <row r="16" spans="2:19" ht="15" customHeight="1" x14ac:dyDescent="0.2">
      <c r="C16" s="118" t="s">
        <v>79</v>
      </c>
      <c r="D16" s="119">
        <v>1.67</v>
      </c>
      <c r="E16" s="119">
        <v>1.67</v>
      </c>
      <c r="L16" s="116"/>
      <c r="M16" s="116"/>
      <c r="N16" s="116"/>
      <c r="O16" s="116"/>
      <c r="P16" s="116"/>
      <c r="Q16" s="116"/>
      <c r="R16" s="116"/>
      <c r="S16" s="120"/>
    </row>
    <row r="17" spans="2:18" ht="15" customHeight="1" x14ac:dyDescent="0.2">
      <c r="C17" s="118" t="s">
        <v>80</v>
      </c>
      <c r="D17" s="533">
        <v>1</v>
      </c>
      <c r="E17" s="533">
        <v>1</v>
      </c>
      <c r="L17" s="116"/>
      <c r="M17" s="116"/>
      <c r="N17" s="116"/>
      <c r="O17" s="116"/>
      <c r="P17" s="116"/>
      <c r="Q17" s="116"/>
      <c r="R17" s="116"/>
    </row>
    <row r="18" spans="2:18" ht="15" customHeight="1" x14ac:dyDescent="0.2">
      <c r="C18" s="120"/>
      <c r="D18" s="138"/>
      <c r="E18" s="138"/>
      <c r="L18" s="116"/>
      <c r="M18" s="116"/>
      <c r="N18" s="116"/>
      <c r="O18" s="116"/>
      <c r="P18" s="116"/>
      <c r="Q18" s="116"/>
      <c r="R18" s="116"/>
    </row>
    <row r="19" spans="2:18" ht="15" customHeight="1" x14ac:dyDescent="0.2">
      <c r="C19" s="111" t="s">
        <v>57</v>
      </c>
      <c r="D19" s="122"/>
      <c r="F19" s="120"/>
      <c r="L19" s="116"/>
      <c r="M19" s="116"/>
      <c r="N19" s="116"/>
      <c r="O19" s="116"/>
      <c r="P19" s="116"/>
      <c r="Q19" s="116"/>
      <c r="R19" s="116"/>
    </row>
    <row r="20" spans="2:18" ht="15" customHeight="1" x14ac:dyDescent="0.2">
      <c r="C20" s="118" t="s">
        <v>82</v>
      </c>
      <c r="D20" s="118">
        <v>365</v>
      </c>
      <c r="F20" s="120"/>
      <c r="L20" s="116"/>
      <c r="M20" s="116"/>
      <c r="N20" s="116"/>
      <c r="O20" s="116"/>
      <c r="P20" s="116"/>
      <c r="Q20" s="116"/>
      <c r="R20" s="116"/>
    </row>
    <row r="21" spans="2:18" ht="15" customHeight="1" x14ac:dyDescent="0.2">
      <c r="C21" s="118" t="s">
        <v>89</v>
      </c>
      <c r="D21" s="125">
        <v>17.899999999999999</v>
      </c>
      <c r="F21" s="126"/>
      <c r="L21" s="116"/>
      <c r="M21" s="116"/>
      <c r="N21" s="116"/>
      <c r="O21" s="116"/>
      <c r="P21" s="116"/>
      <c r="Q21" s="116"/>
      <c r="R21" s="116"/>
    </row>
    <row r="22" spans="2:18" ht="15" customHeight="1" x14ac:dyDescent="0.2">
      <c r="C22" s="118" t="s">
        <v>90</v>
      </c>
      <c r="D22" s="125">
        <v>30.8</v>
      </c>
      <c r="F22" s="120"/>
      <c r="L22" s="116"/>
      <c r="M22" s="116"/>
      <c r="N22" s="116"/>
      <c r="O22" s="116"/>
      <c r="P22" s="116"/>
      <c r="Q22" s="116"/>
      <c r="R22" s="116"/>
    </row>
    <row r="23" spans="2:18" ht="15" customHeight="1" x14ac:dyDescent="0.2">
      <c r="C23" s="118" t="s">
        <v>58</v>
      </c>
      <c r="D23" s="125">
        <v>0.43</v>
      </c>
      <c r="F23" s="120"/>
      <c r="L23" s="116"/>
      <c r="M23" s="116"/>
      <c r="N23" s="116"/>
      <c r="O23" s="116"/>
      <c r="P23" s="116"/>
      <c r="Q23" s="116"/>
      <c r="R23" s="116"/>
    </row>
    <row r="24" spans="2:18" ht="15" customHeight="1" x14ac:dyDescent="0.2">
      <c r="C24" s="118" t="s">
        <v>59</v>
      </c>
      <c r="D24" s="125">
        <v>0.93</v>
      </c>
      <c r="F24" s="120"/>
      <c r="L24" s="116"/>
      <c r="M24" s="116"/>
      <c r="N24" s="116"/>
      <c r="O24" s="116"/>
      <c r="P24" s="116"/>
      <c r="Q24" s="116"/>
      <c r="R24" s="116"/>
    </row>
    <row r="25" spans="2:18" ht="15" customHeight="1" x14ac:dyDescent="0.2">
      <c r="C25" s="118" t="s">
        <v>60</v>
      </c>
      <c r="D25" s="125">
        <f>(D21*D14*D16+D22*D15*D17)</f>
        <v>30.072041799999994</v>
      </c>
      <c r="F25" s="120"/>
      <c r="L25" s="116"/>
      <c r="M25" s="116"/>
      <c r="N25" s="116"/>
      <c r="O25" s="116"/>
      <c r="P25" s="116"/>
      <c r="Q25" s="116"/>
      <c r="R25" s="116"/>
    </row>
    <row r="26" spans="2:18" ht="15" customHeight="1" x14ac:dyDescent="0.2">
      <c r="C26" s="118" t="s">
        <v>61</v>
      </c>
      <c r="D26" s="125">
        <f>D23*D14+D24*D15</f>
        <v>0.52869999999999995</v>
      </c>
      <c r="F26" s="120"/>
      <c r="L26" s="116"/>
      <c r="M26" s="116"/>
      <c r="N26" s="116"/>
      <c r="O26" s="116"/>
      <c r="P26" s="116"/>
      <c r="Q26" s="116"/>
      <c r="R26" s="116"/>
    </row>
    <row r="27" spans="2:18" ht="15" customHeight="1" x14ac:dyDescent="0.2">
      <c r="C27" s="118" t="s">
        <v>62</v>
      </c>
      <c r="D27" s="127">
        <v>7.0000000000000007E-2</v>
      </c>
      <c r="F27" s="120"/>
      <c r="L27" s="116"/>
      <c r="M27" s="116"/>
      <c r="N27" s="116"/>
      <c r="O27" s="116"/>
      <c r="P27" s="116"/>
      <c r="Q27" s="116"/>
      <c r="R27" s="116"/>
    </row>
    <row r="28" spans="2:18" ht="15" customHeight="1" x14ac:dyDescent="0.2">
      <c r="L28" s="116"/>
      <c r="M28" s="116"/>
      <c r="N28" s="116"/>
      <c r="O28" s="116"/>
      <c r="P28" s="116"/>
      <c r="Q28" s="116"/>
      <c r="R28" s="116"/>
    </row>
    <row r="29" spans="2:18" ht="15" customHeight="1" x14ac:dyDescent="0.2">
      <c r="B29" s="128" t="s">
        <v>3</v>
      </c>
      <c r="C29" s="128"/>
      <c r="D29" s="128"/>
      <c r="L29" s="116"/>
      <c r="M29" s="116"/>
      <c r="N29" s="116"/>
      <c r="O29" s="116"/>
      <c r="P29" s="116"/>
      <c r="Q29" s="116"/>
      <c r="R29" s="116"/>
    </row>
    <row r="30" spans="2:18" ht="15" customHeight="1" x14ac:dyDescent="0.25">
      <c r="B30" s="129" t="s">
        <v>13</v>
      </c>
      <c r="C30" s="671" t="s">
        <v>1678</v>
      </c>
      <c r="D30" s="671"/>
      <c r="E30" s="671"/>
      <c r="F30" s="671"/>
      <c r="G30" s="671"/>
      <c r="H30" s="671"/>
      <c r="I30" s="671"/>
      <c r="J30" s="671"/>
      <c r="L30" s="116"/>
      <c r="M30" s="116"/>
      <c r="N30" s="116"/>
      <c r="O30" s="116"/>
      <c r="P30" s="116"/>
      <c r="Q30" s="116"/>
      <c r="R30" s="116"/>
    </row>
    <row r="31" spans="2:18" ht="15" customHeight="1" x14ac:dyDescent="0.25">
      <c r="B31" s="129"/>
      <c r="C31" s="671"/>
      <c r="D31" s="671"/>
      <c r="E31" s="671"/>
      <c r="F31" s="671"/>
      <c r="G31" s="671"/>
      <c r="H31" s="671"/>
      <c r="I31" s="671"/>
      <c r="J31" s="671"/>
      <c r="L31" s="116"/>
      <c r="M31" s="116"/>
      <c r="N31" s="116"/>
      <c r="O31" s="116"/>
      <c r="P31" s="116"/>
      <c r="Q31" s="116"/>
      <c r="R31" s="116"/>
    </row>
    <row r="32" spans="2:18" ht="15" customHeight="1" x14ac:dyDescent="0.25">
      <c r="B32" s="130"/>
      <c r="C32" s="671"/>
      <c r="D32" s="671"/>
      <c r="E32" s="671"/>
      <c r="F32" s="671"/>
      <c r="G32" s="671"/>
      <c r="H32" s="671"/>
      <c r="I32" s="671"/>
      <c r="J32" s="671"/>
      <c r="L32" s="116"/>
      <c r="M32" s="116"/>
      <c r="N32" s="116"/>
      <c r="O32" s="116"/>
      <c r="P32" s="116"/>
      <c r="Q32" s="116"/>
      <c r="R32" s="116"/>
    </row>
    <row r="33" spans="2:18" ht="15" customHeight="1" x14ac:dyDescent="0.25">
      <c r="B33" s="130"/>
      <c r="C33" s="671"/>
      <c r="D33" s="671"/>
      <c r="E33" s="671"/>
      <c r="F33" s="671"/>
      <c r="G33" s="671"/>
      <c r="H33" s="671"/>
      <c r="I33" s="671"/>
      <c r="J33" s="671"/>
      <c r="L33" s="116"/>
      <c r="M33" s="116"/>
      <c r="N33" s="116"/>
      <c r="O33" s="116"/>
      <c r="P33" s="116"/>
      <c r="Q33" s="116"/>
      <c r="R33" s="116"/>
    </row>
    <row r="34" spans="2:18" ht="15" customHeight="1" x14ac:dyDescent="0.25">
      <c r="B34" s="130"/>
      <c r="C34" s="131"/>
      <c r="D34" s="131"/>
      <c r="E34" s="131"/>
      <c r="F34" s="131"/>
      <c r="G34" s="131"/>
      <c r="L34" s="116"/>
      <c r="M34" s="116"/>
      <c r="N34" s="116"/>
      <c r="O34" s="116"/>
      <c r="P34" s="116"/>
      <c r="Q34" s="116"/>
      <c r="R34" s="116"/>
    </row>
    <row r="35" spans="2:18" ht="15" customHeight="1" x14ac:dyDescent="0.25">
      <c r="B35" s="129" t="s">
        <v>12</v>
      </c>
      <c r="C35" s="671" t="s">
        <v>1640</v>
      </c>
      <c r="D35" s="671"/>
      <c r="E35" s="671"/>
      <c r="F35" s="671"/>
      <c r="G35" s="671"/>
      <c r="H35" s="671"/>
      <c r="I35" s="671"/>
      <c r="J35" s="671"/>
    </row>
    <row r="36" spans="2:18" ht="15" customHeight="1" x14ac:dyDescent="0.25">
      <c r="B36" s="129"/>
      <c r="C36" s="671"/>
      <c r="D36" s="671"/>
      <c r="E36" s="671"/>
      <c r="F36" s="671"/>
      <c r="G36" s="671"/>
      <c r="H36" s="671"/>
      <c r="I36" s="671"/>
      <c r="J36" s="671"/>
      <c r="L36" s="116"/>
      <c r="M36" s="116"/>
      <c r="N36" s="116"/>
      <c r="O36" s="116"/>
      <c r="P36" s="116"/>
      <c r="Q36" s="116"/>
      <c r="R36" s="116"/>
    </row>
    <row r="37" spans="2:18" ht="15" customHeight="1" x14ac:dyDescent="0.25">
      <c r="B37" s="130"/>
      <c r="C37" s="671"/>
      <c r="D37" s="671"/>
      <c r="E37" s="671"/>
      <c r="F37" s="671"/>
      <c r="G37" s="671"/>
      <c r="H37" s="671"/>
      <c r="I37" s="671"/>
      <c r="J37" s="671"/>
      <c r="L37" s="116"/>
      <c r="M37" s="116"/>
      <c r="N37" s="116"/>
      <c r="O37" s="116"/>
      <c r="P37" s="116"/>
      <c r="Q37" s="116"/>
      <c r="R37" s="116"/>
    </row>
    <row r="38" spans="2:18" ht="15" customHeight="1" x14ac:dyDescent="0.2">
      <c r="C38" s="671"/>
      <c r="D38" s="671"/>
      <c r="E38" s="671"/>
      <c r="F38" s="671"/>
      <c r="G38" s="671"/>
      <c r="H38" s="671"/>
      <c r="I38" s="671"/>
      <c r="J38" s="671"/>
      <c r="L38" s="116"/>
      <c r="M38" s="116"/>
      <c r="N38" s="116"/>
      <c r="O38" s="116"/>
      <c r="P38" s="116"/>
      <c r="Q38" s="116"/>
      <c r="R38" s="116"/>
    </row>
    <row r="39" spans="2:18" ht="15" customHeight="1" x14ac:dyDescent="0.2">
      <c r="C39" s="671"/>
      <c r="D39" s="671"/>
      <c r="E39" s="671"/>
      <c r="F39" s="671"/>
      <c r="G39" s="671"/>
      <c r="H39" s="671"/>
      <c r="I39" s="671"/>
      <c r="J39" s="671"/>
      <c r="L39" s="116"/>
      <c r="M39" s="116"/>
      <c r="N39" s="116"/>
      <c r="O39" s="116"/>
      <c r="P39" s="116"/>
      <c r="Q39" s="116"/>
      <c r="R39" s="116"/>
    </row>
    <row r="40" spans="2:18" ht="15" customHeight="1" x14ac:dyDescent="0.25">
      <c r="B40" s="132"/>
      <c r="C40" s="671"/>
      <c r="D40" s="671"/>
      <c r="E40" s="671"/>
      <c r="F40" s="671"/>
      <c r="G40" s="671"/>
      <c r="H40" s="671"/>
      <c r="I40" s="671"/>
      <c r="J40" s="671"/>
      <c r="L40" s="116"/>
      <c r="M40" s="116"/>
      <c r="N40" s="116"/>
      <c r="O40" s="116"/>
      <c r="P40" s="116"/>
      <c r="Q40" s="116"/>
      <c r="R40" s="116"/>
    </row>
    <row r="41" spans="2:18" ht="15" customHeight="1" x14ac:dyDescent="0.25">
      <c r="B41" s="132"/>
      <c r="C41" s="425"/>
      <c r="D41" s="425"/>
      <c r="E41" s="425"/>
      <c r="F41" s="425"/>
      <c r="G41" s="425"/>
      <c r="H41" s="425"/>
      <c r="I41" s="425"/>
      <c r="J41" s="425"/>
      <c r="L41" s="116"/>
      <c r="M41" s="116"/>
      <c r="N41" s="116"/>
      <c r="O41" s="116"/>
      <c r="P41" s="116"/>
      <c r="Q41" s="116"/>
      <c r="R41" s="116"/>
    </row>
    <row r="42" spans="2:18" ht="15" customHeight="1" x14ac:dyDescent="0.25">
      <c r="B42" s="129" t="s">
        <v>14</v>
      </c>
      <c r="C42" s="671" t="s">
        <v>1556</v>
      </c>
      <c r="D42" s="671"/>
      <c r="E42" s="671"/>
      <c r="F42" s="671"/>
      <c r="G42" s="671"/>
      <c r="H42" s="671"/>
      <c r="I42" s="671"/>
      <c r="J42" s="671"/>
      <c r="L42" s="116"/>
      <c r="M42" s="116"/>
      <c r="N42" s="116"/>
      <c r="O42" s="116"/>
      <c r="P42" s="116"/>
      <c r="Q42" s="116"/>
      <c r="R42" s="116"/>
    </row>
    <row r="43" spans="2:18" ht="15" customHeight="1" x14ac:dyDescent="0.25">
      <c r="B43" s="129"/>
      <c r="C43" s="671"/>
      <c r="D43" s="671"/>
      <c r="E43" s="671"/>
      <c r="F43" s="671"/>
      <c r="G43" s="671"/>
      <c r="H43" s="671"/>
      <c r="I43" s="671"/>
      <c r="J43" s="671"/>
      <c r="L43" s="116"/>
      <c r="M43" s="116"/>
      <c r="N43" s="116"/>
      <c r="O43" s="116"/>
      <c r="P43" s="116"/>
      <c r="Q43" s="116"/>
      <c r="R43" s="116"/>
    </row>
    <row r="44" spans="2:18" ht="15" customHeight="1" x14ac:dyDescent="0.25">
      <c r="B44" s="129"/>
      <c r="C44" s="671"/>
      <c r="D44" s="671"/>
      <c r="E44" s="671"/>
      <c r="F44" s="671"/>
      <c r="G44" s="671"/>
      <c r="H44" s="671"/>
      <c r="I44" s="671"/>
      <c r="J44" s="671"/>
      <c r="L44" s="116"/>
      <c r="M44" s="116"/>
      <c r="N44" s="116"/>
      <c r="O44" s="116"/>
      <c r="P44" s="116"/>
      <c r="Q44" s="116"/>
      <c r="R44" s="116"/>
    </row>
    <row r="45" spans="2:18" ht="15" customHeight="1" x14ac:dyDescent="0.25">
      <c r="B45" s="129"/>
      <c r="C45" s="465"/>
      <c r="D45" s="465"/>
      <c r="E45" s="465"/>
      <c r="F45" s="465"/>
      <c r="G45" s="465"/>
      <c r="H45" s="465"/>
      <c r="I45" s="465"/>
      <c r="J45" s="465"/>
      <c r="L45" s="116"/>
      <c r="M45" s="116"/>
      <c r="N45" s="116"/>
      <c r="O45" s="116"/>
      <c r="P45" s="116"/>
      <c r="Q45" s="116"/>
      <c r="R45" s="116"/>
    </row>
    <row r="46" spans="2:18" ht="15" customHeight="1" x14ac:dyDescent="0.25">
      <c r="B46" s="132" t="s">
        <v>15</v>
      </c>
      <c r="C46" s="672" t="s">
        <v>1639</v>
      </c>
      <c r="D46" s="672"/>
      <c r="E46" s="672"/>
      <c r="F46" s="672"/>
      <c r="G46" s="672"/>
      <c r="H46" s="672"/>
      <c r="I46" s="672"/>
      <c r="J46" s="672"/>
      <c r="L46" s="116"/>
      <c r="M46" s="116"/>
      <c r="N46" s="116"/>
      <c r="O46" s="116"/>
      <c r="P46" s="116"/>
      <c r="Q46" s="116"/>
      <c r="R46" s="116"/>
    </row>
    <row r="47" spans="2:18" ht="15" customHeight="1" x14ac:dyDescent="0.25">
      <c r="B47" s="132"/>
      <c r="C47" s="672"/>
      <c r="D47" s="672"/>
      <c r="E47" s="672"/>
      <c r="F47" s="672"/>
      <c r="G47" s="672"/>
      <c r="H47" s="672"/>
      <c r="I47" s="672"/>
      <c r="J47" s="672"/>
    </row>
    <row r="48" spans="2:18" ht="15" customHeight="1" x14ac:dyDescent="0.25">
      <c r="B48" s="132"/>
      <c r="C48" s="672"/>
      <c r="D48" s="672"/>
      <c r="E48" s="672"/>
      <c r="F48" s="672"/>
      <c r="G48" s="672"/>
      <c r="H48" s="672"/>
      <c r="I48" s="672"/>
      <c r="J48" s="672"/>
    </row>
    <row r="49" spans="2:10" ht="15" customHeight="1" x14ac:dyDescent="0.25">
      <c r="B49" s="132" t="s">
        <v>81</v>
      </c>
      <c r="C49" s="425" t="s">
        <v>63</v>
      </c>
      <c r="D49" s="425"/>
      <c r="E49" s="425"/>
      <c r="F49" s="425"/>
      <c r="G49" s="425"/>
    </row>
    <row r="51" spans="2:10" ht="15" customHeight="1" x14ac:dyDescent="0.25">
      <c r="B51" s="132" t="s">
        <v>83</v>
      </c>
      <c r="C51" s="672" t="s">
        <v>1638</v>
      </c>
      <c r="D51" s="672"/>
      <c r="E51" s="672"/>
      <c r="F51" s="672"/>
      <c r="G51" s="672"/>
      <c r="H51" s="672"/>
      <c r="I51" s="672"/>
      <c r="J51" s="672"/>
    </row>
    <row r="52" spans="2:10" ht="15" customHeight="1" x14ac:dyDescent="0.2">
      <c r="C52" s="672"/>
      <c r="D52" s="672"/>
      <c r="E52" s="672"/>
      <c r="F52" s="672"/>
      <c r="G52" s="672"/>
      <c r="H52" s="672"/>
      <c r="I52" s="672"/>
      <c r="J52" s="672"/>
    </row>
    <row r="53" spans="2:10" ht="15" customHeight="1" x14ac:dyDescent="0.25">
      <c r="B53" s="132"/>
      <c r="C53" s="160"/>
      <c r="D53" s="161"/>
      <c r="E53" s="161"/>
      <c r="F53" s="161"/>
      <c r="G53" s="161"/>
    </row>
    <row r="54" spans="2:10" ht="15" customHeight="1" x14ac:dyDescent="0.2">
      <c r="B54" s="133"/>
      <c r="C54" s="425"/>
      <c r="D54" s="425"/>
      <c r="E54" s="425"/>
      <c r="F54" s="425"/>
      <c r="G54" s="425"/>
    </row>
  </sheetData>
  <mergeCells count="5">
    <mergeCell ref="C35:J40"/>
    <mergeCell ref="C42:J44"/>
    <mergeCell ref="C51:J52"/>
    <mergeCell ref="C30:J33"/>
    <mergeCell ref="C46:J48"/>
  </mergeCells>
  <printOptions horizontalCentered="1"/>
  <pageMargins left="0.25" right="0.25" top="0.75" bottom="0.75" header="0.3" footer="0.3"/>
  <pageSetup paperSize="3" scale="6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2:AL63"/>
  <sheetViews>
    <sheetView view="pageBreakPreview" zoomScale="85" zoomScaleNormal="55" zoomScaleSheetLayoutView="85" workbookViewId="0">
      <selection activeCell="K21" sqref="K21"/>
    </sheetView>
  </sheetViews>
  <sheetFormatPr defaultRowHeight="15" x14ac:dyDescent="0.25"/>
  <cols>
    <col min="1" max="1" width="3.7109375" style="73" customWidth="1"/>
    <col min="2" max="2" width="15.7109375" style="73" customWidth="1"/>
    <col min="3" max="6" width="15.5703125" style="73" customWidth="1"/>
    <col min="7" max="7" width="9.140625" style="73"/>
    <col min="8" max="8" width="21.5703125" style="73" bestFit="1" customWidth="1"/>
    <col min="9" max="9" width="19.140625" style="152" hidden="1" customWidth="1"/>
    <col min="10" max="10" width="20.7109375" style="152" hidden="1" customWidth="1"/>
    <col min="11" max="11" width="13.85546875" style="73" customWidth="1"/>
    <col min="12" max="13" width="14.85546875" style="73" customWidth="1"/>
    <col min="14" max="14" width="17.5703125" style="73" customWidth="1"/>
    <col min="15" max="17" width="18.85546875" style="73" bestFit="1" customWidth="1"/>
    <col min="18" max="18" width="18.28515625" style="73" bestFit="1" customWidth="1"/>
    <col min="19" max="19" width="18.85546875" style="73" bestFit="1" customWidth="1"/>
    <col min="20" max="20" width="18.85546875" style="73" customWidth="1"/>
    <col min="21" max="21" width="18.28515625" style="73" bestFit="1" customWidth="1"/>
    <col min="22" max="22" width="18.5703125" style="73" bestFit="1" customWidth="1"/>
    <col min="23" max="23" width="19.5703125" style="73" bestFit="1" customWidth="1"/>
    <col min="24" max="24" width="19.42578125" style="73" bestFit="1" customWidth="1"/>
    <col min="25" max="26" width="19.140625" style="73" bestFit="1" customWidth="1"/>
    <col min="27" max="27" width="19.5703125" style="73" bestFit="1" customWidth="1"/>
    <col min="28" max="28" width="18.85546875" style="73" bestFit="1" customWidth="1"/>
    <col min="29" max="30" width="19.42578125" style="73" bestFit="1" customWidth="1"/>
    <col min="31" max="31" width="19.5703125" style="73" bestFit="1" customWidth="1"/>
    <col min="32" max="32" width="19.140625" style="73" bestFit="1" customWidth="1"/>
    <col min="33" max="33" width="18.85546875" style="73" bestFit="1" customWidth="1"/>
    <col min="34" max="37" width="19" style="73" customWidth="1"/>
    <col min="38" max="38" width="13.5703125" style="73" customWidth="1"/>
    <col min="39" max="16384" width="9.140625" style="73"/>
  </cols>
  <sheetData>
    <row r="2" spans="1:38" x14ac:dyDescent="0.25">
      <c r="B2" s="6" t="s">
        <v>45</v>
      </c>
      <c r="S2" s="143">
        <f>S10*3.2/8</f>
        <v>9547.92</v>
      </c>
      <c r="T2" s="143">
        <f t="shared" ref="T2:AK2" si="0">T10*3.2/8</f>
        <v>10175.480000000001</v>
      </c>
      <c r="U2" s="143">
        <f t="shared" si="0"/>
        <v>10803.080000000002</v>
      </c>
      <c r="V2" s="143">
        <f t="shared" si="0"/>
        <v>11430.64</v>
      </c>
      <c r="W2" s="143">
        <f t="shared" si="0"/>
        <v>12058.24</v>
      </c>
      <c r="X2" s="143">
        <f t="shared" si="0"/>
        <v>12685.800000000001</v>
      </c>
      <c r="Y2" s="143">
        <f t="shared" si="0"/>
        <v>13313.400000000001</v>
      </c>
      <c r="Z2" s="143">
        <f t="shared" si="0"/>
        <v>13940.960000000001</v>
      </c>
      <c r="AA2" s="143">
        <f t="shared" si="0"/>
        <v>14568.560000000001</v>
      </c>
      <c r="AB2" s="143">
        <f t="shared" si="0"/>
        <v>15196.120000000003</v>
      </c>
      <c r="AC2" s="143">
        <f t="shared" si="0"/>
        <v>15823.720000000001</v>
      </c>
      <c r="AD2" s="143">
        <f t="shared" si="0"/>
        <v>16451.28</v>
      </c>
      <c r="AE2" s="143">
        <f t="shared" si="0"/>
        <v>17078.88</v>
      </c>
      <c r="AF2" s="143">
        <f t="shared" si="0"/>
        <v>17706.439999999999</v>
      </c>
      <c r="AG2" s="143">
        <f t="shared" si="0"/>
        <v>18334.04</v>
      </c>
      <c r="AH2" s="143">
        <f t="shared" si="0"/>
        <v>18961.600000000002</v>
      </c>
      <c r="AI2" s="143">
        <f t="shared" si="0"/>
        <v>18961.600000000002</v>
      </c>
      <c r="AJ2" s="143">
        <f t="shared" si="0"/>
        <v>18961.600000000002</v>
      </c>
      <c r="AK2" s="143">
        <f t="shared" si="0"/>
        <v>18961.600000000002</v>
      </c>
    </row>
    <row r="3" spans="1:38" ht="15.75" thickBot="1" x14ac:dyDescent="0.3">
      <c r="S3" s="143">
        <f>S11*2.9/13</f>
        <v>8784.7023076923069</v>
      </c>
      <c r="T3" s="143">
        <f t="shared" ref="T3:AK3" si="1">T11*2.9/13</f>
        <v>9362.0923076923082</v>
      </c>
      <c r="U3" s="143">
        <f t="shared" si="1"/>
        <v>9939.4823076923076</v>
      </c>
      <c r="V3" s="143">
        <f t="shared" si="1"/>
        <v>10516.894615384614</v>
      </c>
      <c r="W3" s="143">
        <f t="shared" si="1"/>
        <v>11094.284615384615</v>
      </c>
      <c r="X3" s="143">
        <f t="shared" si="1"/>
        <v>11671.674615384614</v>
      </c>
      <c r="Y3" s="143">
        <f t="shared" si="1"/>
        <v>12249.08692307692</v>
      </c>
      <c r="Z3" s="143">
        <f t="shared" si="1"/>
        <v>12826.476923076922</v>
      </c>
      <c r="AA3" s="143">
        <f t="shared" si="1"/>
        <v>13403.866923076923</v>
      </c>
      <c r="AB3" s="143">
        <f t="shared" si="1"/>
        <v>13981.279230769229</v>
      </c>
      <c r="AC3" s="143">
        <f t="shared" si="1"/>
        <v>14558.66923076923</v>
      </c>
      <c r="AD3" s="143">
        <f t="shared" si="1"/>
        <v>15136.05923076923</v>
      </c>
      <c r="AE3" s="143">
        <f t="shared" si="1"/>
        <v>15713.471538461537</v>
      </c>
      <c r="AF3" s="143">
        <f t="shared" si="1"/>
        <v>16290.861538461537</v>
      </c>
      <c r="AG3" s="143">
        <f t="shared" si="1"/>
        <v>16868.251538461536</v>
      </c>
      <c r="AH3" s="143">
        <f t="shared" si="1"/>
        <v>17445.663846153846</v>
      </c>
      <c r="AI3" s="143">
        <f t="shared" si="1"/>
        <v>17445.663846153846</v>
      </c>
      <c r="AJ3" s="143">
        <f t="shared" si="1"/>
        <v>17445.663846153846</v>
      </c>
      <c r="AK3" s="143">
        <f t="shared" si="1"/>
        <v>17445.663846153846</v>
      </c>
    </row>
    <row r="4" spans="1:38" ht="35.1" customHeight="1" thickBot="1" x14ac:dyDescent="0.3">
      <c r="C4" s="776" t="s">
        <v>75</v>
      </c>
      <c r="D4" s="777"/>
      <c r="S4" s="143">
        <f>S17*2.9/13</f>
        <v>9346.6330769230754</v>
      </c>
      <c r="T4" s="143">
        <f t="shared" ref="T4:AK4" si="2">T17*2.9/13</f>
        <v>9923.8223076923059</v>
      </c>
      <c r="U4" s="143">
        <f t="shared" si="2"/>
        <v>10500.98923076923</v>
      </c>
      <c r="V4" s="143">
        <f t="shared" si="2"/>
        <v>11078.178461538462</v>
      </c>
      <c r="W4" s="143">
        <f t="shared" si="2"/>
        <v>11655.345384615384</v>
      </c>
      <c r="X4" s="143">
        <f t="shared" si="2"/>
        <v>12232.512307692308</v>
      </c>
      <c r="Y4" s="143">
        <f t="shared" si="2"/>
        <v>12809.701538461539</v>
      </c>
      <c r="Z4" s="143">
        <f t="shared" si="2"/>
        <v>13386.868461538459</v>
      </c>
      <c r="AA4" s="143">
        <f t="shared" si="2"/>
        <v>13964.057692307691</v>
      </c>
      <c r="AB4" s="143">
        <f t="shared" si="2"/>
        <v>14541.224615384617</v>
      </c>
      <c r="AC4" s="143">
        <f t="shared" si="2"/>
        <v>15118.413846153844</v>
      </c>
      <c r="AD4" s="143">
        <f t="shared" si="2"/>
        <v>15695.580769230768</v>
      </c>
      <c r="AE4" s="143">
        <f t="shared" si="2"/>
        <v>16272.769999999999</v>
      </c>
      <c r="AF4" s="143">
        <f t="shared" si="2"/>
        <v>16849.936923076923</v>
      </c>
      <c r="AG4" s="143">
        <f t="shared" si="2"/>
        <v>17427.103846153848</v>
      </c>
      <c r="AH4" s="143">
        <f t="shared" si="2"/>
        <v>18004.293076923073</v>
      </c>
      <c r="AI4" s="143">
        <f t="shared" si="2"/>
        <v>18004.293076923073</v>
      </c>
      <c r="AJ4" s="143">
        <f t="shared" si="2"/>
        <v>18004.293076923073</v>
      </c>
      <c r="AK4" s="143">
        <f t="shared" si="2"/>
        <v>18004.293076923073</v>
      </c>
    </row>
    <row r="5" spans="1:38" ht="44.25" customHeight="1" thickBot="1" x14ac:dyDescent="0.3">
      <c r="B5" s="715" t="s">
        <v>0</v>
      </c>
      <c r="C5" s="715" t="s">
        <v>18</v>
      </c>
      <c r="D5" s="715" t="s">
        <v>19</v>
      </c>
      <c r="E5" s="715" t="s">
        <v>74</v>
      </c>
      <c r="F5" s="774" t="s">
        <v>1</v>
      </c>
      <c r="H5" s="373" t="s">
        <v>385</v>
      </c>
      <c r="N5" s="259"/>
      <c r="O5" s="259"/>
      <c r="P5" s="259"/>
      <c r="Q5" s="259"/>
      <c r="R5" s="259"/>
      <c r="S5" s="259"/>
      <c r="T5" s="259"/>
      <c r="U5" s="259"/>
      <c r="V5" s="259"/>
      <c r="W5" s="259"/>
      <c r="X5" s="259">
        <f>X7*2/4</f>
        <v>6930.35</v>
      </c>
      <c r="Y5" s="259"/>
      <c r="Z5" s="259"/>
      <c r="AA5" s="259"/>
      <c r="AB5" s="259"/>
      <c r="AC5" s="259"/>
      <c r="AD5" s="259"/>
      <c r="AE5" s="259"/>
      <c r="AF5" s="259"/>
      <c r="AG5" s="259"/>
      <c r="AH5" s="259"/>
      <c r="AI5" s="773" t="s">
        <v>1644</v>
      </c>
      <c r="AJ5" s="773"/>
      <c r="AK5" s="773"/>
    </row>
    <row r="6" spans="1:38" ht="15.75" thickBot="1" x14ac:dyDescent="0.3">
      <c r="B6" s="716"/>
      <c r="C6" s="716"/>
      <c r="D6" s="716"/>
      <c r="E6" s="716"/>
      <c r="F6" s="775"/>
      <c r="H6" s="260" t="s">
        <v>485</v>
      </c>
      <c r="I6" s="261" t="s">
        <v>486</v>
      </c>
      <c r="J6" s="261" t="s">
        <v>487</v>
      </c>
      <c r="K6" s="262" t="s">
        <v>93</v>
      </c>
      <c r="L6" s="261" t="s">
        <v>94</v>
      </c>
      <c r="M6" s="261" t="s">
        <v>95</v>
      </c>
      <c r="N6" s="263" t="s">
        <v>65</v>
      </c>
      <c r="O6" s="264">
        <v>2021</v>
      </c>
      <c r="P6" s="264">
        <v>2022</v>
      </c>
      <c r="Q6" s="264">
        <v>2023</v>
      </c>
      <c r="R6" s="264">
        <v>2024</v>
      </c>
      <c r="S6" s="264">
        <v>2025</v>
      </c>
      <c r="T6" s="264">
        <v>2026</v>
      </c>
      <c r="U6" s="264">
        <v>2027</v>
      </c>
      <c r="V6" s="264">
        <v>2028</v>
      </c>
      <c r="W6" s="264">
        <v>2029</v>
      </c>
      <c r="X6" s="264">
        <v>2030</v>
      </c>
      <c r="Y6" s="264">
        <v>2031</v>
      </c>
      <c r="Z6" s="264">
        <v>2032</v>
      </c>
      <c r="AA6" s="264">
        <v>2033</v>
      </c>
      <c r="AB6" s="264">
        <v>2034</v>
      </c>
      <c r="AC6" s="264">
        <v>2035</v>
      </c>
      <c r="AD6" s="264">
        <v>2036</v>
      </c>
      <c r="AE6" s="264">
        <v>2037</v>
      </c>
      <c r="AF6" s="264">
        <v>2038</v>
      </c>
      <c r="AG6" s="264">
        <v>2039</v>
      </c>
      <c r="AH6" s="265">
        <v>2040</v>
      </c>
      <c r="AI6" s="265">
        <f>AH6+1</f>
        <v>2041</v>
      </c>
      <c r="AJ6" s="265">
        <f t="shared" ref="AJ6:AL6" si="3">AI6+1</f>
        <v>2042</v>
      </c>
      <c r="AK6" s="265">
        <f t="shared" si="3"/>
        <v>2043</v>
      </c>
      <c r="AL6" s="265">
        <f t="shared" si="3"/>
        <v>2044</v>
      </c>
    </row>
    <row r="7" spans="1:38" x14ac:dyDescent="0.25">
      <c r="A7" s="657"/>
      <c r="B7" s="659">
        <v>2021</v>
      </c>
      <c r="C7" s="665"/>
      <c r="D7" s="665"/>
      <c r="E7" s="665"/>
      <c r="F7" s="666"/>
      <c r="H7" s="266" t="s">
        <v>205</v>
      </c>
      <c r="I7" s="267" t="e">
        <f>VLOOKUP(H7,'Capital Costs and RCV Calc'!$R$10:$U$13,3,FALSE)</f>
        <v>#N/A</v>
      </c>
      <c r="J7" s="267"/>
      <c r="K7" s="268" t="s">
        <v>199</v>
      </c>
      <c r="L7" s="269" t="s">
        <v>200</v>
      </c>
      <c r="M7" s="269" t="s">
        <v>98</v>
      </c>
      <c r="N7" s="270">
        <v>3.9689999999999999</v>
      </c>
      <c r="O7" s="271" t="s">
        <v>386</v>
      </c>
      <c r="P7" s="271" t="s">
        <v>387</v>
      </c>
      <c r="Q7" s="271" t="s">
        <v>388</v>
      </c>
      <c r="R7" s="271" t="s">
        <v>389</v>
      </c>
      <c r="S7" s="271" t="s">
        <v>390</v>
      </c>
      <c r="T7" s="271" t="s">
        <v>391</v>
      </c>
      <c r="U7" s="271" t="s">
        <v>392</v>
      </c>
      <c r="V7" s="271" t="s">
        <v>393</v>
      </c>
      <c r="W7" s="271" t="s">
        <v>394</v>
      </c>
      <c r="X7" s="271" t="s">
        <v>395</v>
      </c>
      <c r="Y7" s="271" t="s">
        <v>396</v>
      </c>
      <c r="Z7" s="271" t="s">
        <v>397</v>
      </c>
      <c r="AA7" s="271" t="s">
        <v>398</v>
      </c>
      <c r="AB7" s="271" t="s">
        <v>399</v>
      </c>
      <c r="AC7" s="271" t="s">
        <v>400</v>
      </c>
      <c r="AD7" s="271" t="s">
        <v>401</v>
      </c>
      <c r="AE7" s="271" t="s">
        <v>402</v>
      </c>
      <c r="AF7" s="271" t="s">
        <v>403</v>
      </c>
      <c r="AG7" s="271" t="s">
        <v>404</v>
      </c>
      <c r="AH7" s="272" t="s">
        <v>405</v>
      </c>
      <c r="AI7" s="272" t="s">
        <v>405</v>
      </c>
      <c r="AJ7" s="272" t="s">
        <v>405</v>
      </c>
      <c r="AK7" s="272" t="s">
        <v>405</v>
      </c>
      <c r="AL7" s="272" t="s">
        <v>1729</v>
      </c>
    </row>
    <row r="8" spans="1:38" x14ac:dyDescent="0.25">
      <c r="A8" s="657"/>
      <c r="B8" s="147">
        <f t="shared" ref="B8:B9" si="4">B7+1</f>
        <v>2022</v>
      </c>
      <c r="C8" s="103">
        <f t="shared" ref="C8:C10" si="5">IFERROR(HLOOKUP(B8,$N$6:$AL$18,13,FALSE),0)</f>
        <v>99468.558000000005</v>
      </c>
      <c r="D8" s="103">
        <f t="shared" ref="D8:D10" si="6">IFERROR(HLOOKUP(B8,$N$20:$AL$32,13,FALSE),0)</f>
        <v>36505.106499999994</v>
      </c>
      <c r="E8" s="103">
        <f>IF($B8&gt;Assumptions!$D$9,0,SUM(C8:C8)-SUM(D8:D8))</f>
        <v>62963.45150000001</v>
      </c>
      <c r="F8" s="663">
        <f>$E8*(1+0.07)^-(B8-Assumptions!$D$4)</f>
        <v>51396.931781170133</v>
      </c>
      <c r="H8" s="266" t="s">
        <v>205</v>
      </c>
      <c r="I8" s="267" t="e">
        <f>VLOOKUP(H8,'Capital Costs and RCV Calc'!$R$10:$U$13,3,FALSE)</f>
        <v>#N/A</v>
      </c>
      <c r="J8" s="267"/>
      <c r="K8" s="268" t="s">
        <v>199</v>
      </c>
      <c r="L8" s="269" t="s">
        <v>98</v>
      </c>
      <c r="M8" s="269" t="s">
        <v>119</v>
      </c>
      <c r="N8" s="270">
        <v>0.28899999999999998</v>
      </c>
      <c r="O8" s="271" t="s">
        <v>406</v>
      </c>
      <c r="P8" s="271" t="s">
        <v>407</v>
      </c>
      <c r="Q8" s="271" t="s">
        <v>408</v>
      </c>
      <c r="R8" s="271" t="s">
        <v>409</v>
      </c>
      <c r="S8" s="271" t="s">
        <v>410</v>
      </c>
      <c r="T8" s="271" t="s">
        <v>411</v>
      </c>
      <c r="U8" s="271" t="s">
        <v>412</v>
      </c>
      <c r="V8" s="271" t="s">
        <v>413</v>
      </c>
      <c r="W8" s="271" t="s">
        <v>414</v>
      </c>
      <c r="X8" s="271" t="s">
        <v>415</v>
      </c>
      <c r="Y8" s="271" t="s">
        <v>416</v>
      </c>
      <c r="Z8" s="271" t="s">
        <v>417</v>
      </c>
      <c r="AA8" s="271" t="s">
        <v>418</v>
      </c>
      <c r="AB8" s="271" t="s">
        <v>419</v>
      </c>
      <c r="AC8" s="271" t="s">
        <v>420</v>
      </c>
      <c r="AD8" s="271" t="s">
        <v>421</v>
      </c>
      <c r="AE8" s="271" t="s">
        <v>422</v>
      </c>
      <c r="AF8" s="271" t="s">
        <v>423</v>
      </c>
      <c r="AG8" s="271" t="s">
        <v>424</v>
      </c>
      <c r="AH8" s="272" t="s">
        <v>425</v>
      </c>
      <c r="AI8" s="272" t="s">
        <v>425</v>
      </c>
      <c r="AJ8" s="272" t="s">
        <v>425</v>
      </c>
      <c r="AK8" s="272" t="s">
        <v>425</v>
      </c>
      <c r="AL8" s="272" t="s">
        <v>1730</v>
      </c>
    </row>
    <row r="9" spans="1:38" x14ac:dyDescent="0.25">
      <c r="B9" s="147">
        <f t="shared" si="4"/>
        <v>2023</v>
      </c>
      <c r="C9" s="103">
        <f t="shared" si="5"/>
        <v>107587.291</v>
      </c>
      <c r="D9" s="103">
        <f t="shared" si="6"/>
        <v>43534.633000000002</v>
      </c>
      <c r="E9" s="103">
        <f>IF($B9&gt;Assumptions!$D$9,0,SUM(C9:C9)-SUM(D9:D9))</f>
        <v>64052.657999999996</v>
      </c>
      <c r="F9" s="663">
        <f>$E9*(1+0.07)^-(B9-Assumptions!$D$4)</f>
        <v>48865.466107117609</v>
      </c>
      <c r="H9" s="266" t="s">
        <v>205</v>
      </c>
      <c r="I9" s="267" t="e">
        <f>VLOOKUP(H9,'Capital Costs and RCV Calc'!$R$10:$U$13,3,FALSE)</f>
        <v>#N/A</v>
      </c>
      <c r="J9" s="267"/>
      <c r="K9" s="268" t="s">
        <v>199</v>
      </c>
      <c r="L9" s="269" t="s">
        <v>119</v>
      </c>
      <c r="M9" s="269" t="s">
        <v>139</v>
      </c>
      <c r="N9" s="270">
        <v>2.7429999999999999</v>
      </c>
      <c r="O9" s="271" t="s">
        <v>426</v>
      </c>
      <c r="P9" s="271" t="s">
        <v>427</v>
      </c>
      <c r="Q9" s="271" t="s">
        <v>428</v>
      </c>
      <c r="R9" s="271" t="s">
        <v>429</v>
      </c>
      <c r="S9" s="271" t="s">
        <v>430</v>
      </c>
      <c r="T9" s="271" t="s">
        <v>431</v>
      </c>
      <c r="U9" s="271" t="s">
        <v>432</v>
      </c>
      <c r="V9" s="271" t="s">
        <v>433</v>
      </c>
      <c r="W9" s="271" t="s">
        <v>434</v>
      </c>
      <c r="X9" s="271" t="s">
        <v>435</v>
      </c>
      <c r="Y9" s="271" t="s">
        <v>436</v>
      </c>
      <c r="Z9" s="271" t="s">
        <v>437</v>
      </c>
      <c r="AA9" s="271" t="s">
        <v>438</v>
      </c>
      <c r="AB9" s="271" t="s">
        <v>439</v>
      </c>
      <c r="AC9" s="271" t="s">
        <v>440</v>
      </c>
      <c r="AD9" s="271" t="s">
        <v>441</v>
      </c>
      <c r="AE9" s="271" t="s">
        <v>442</v>
      </c>
      <c r="AF9" s="271" t="s">
        <v>443</v>
      </c>
      <c r="AG9" s="271" t="s">
        <v>444</v>
      </c>
      <c r="AH9" s="272" t="s">
        <v>445</v>
      </c>
      <c r="AI9" s="272" t="s">
        <v>445</v>
      </c>
      <c r="AJ9" s="272" t="s">
        <v>445</v>
      </c>
      <c r="AK9" s="272" t="s">
        <v>445</v>
      </c>
      <c r="AL9" s="272" t="s">
        <v>1731</v>
      </c>
    </row>
    <row r="10" spans="1:38" ht="15.75" thickBot="1" x14ac:dyDescent="0.3">
      <c r="B10" s="664">
        <f>B9+1</f>
        <v>2024</v>
      </c>
      <c r="C10" s="150">
        <f t="shared" si="5"/>
        <v>115706.01500000001</v>
      </c>
      <c r="D10" s="150">
        <f t="shared" si="6"/>
        <v>11252.839</v>
      </c>
      <c r="E10" s="150">
        <f>IF($B10&gt;Assumptions!$D$9,0,SUM(C10:C10)-SUM(D10:D10))</f>
        <v>104453.17600000001</v>
      </c>
      <c r="F10" s="158">
        <f>$E10*(1+0.07)^-(B10-Assumptions!$D$4)</f>
        <v>74473.670891175207</v>
      </c>
      <c r="H10" s="266" t="s">
        <v>205</v>
      </c>
      <c r="I10" s="267" t="e">
        <f>VLOOKUP(H10,'Capital Costs and RCV Calc'!$R$10:$U$13,3,FALSE)</f>
        <v>#N/A</v>
      </c>
      <c r="J10" s="267"/>
      <c r="K10" s="268" t="s">
        <v>199</v>
      </c>
      <c r="L10" s="269" t="s">
        <v>139</v>
      </c>
      <c r="M10" s="269" t="s">
        <v>159</v>
      </c>
      <c r="N10" s="270">
        <v>7.9279999999999999</v>
      </c>
      <c r="O10" s="271" t="s">
        <v>446</v>
      </c>
      <c r="P10" s="271" t="s">
        <v>447</v>
      </c>
      <c r="Q10" s="271" t="s">
        <v>448</v>
      </c>
      <c r="R10" s="271" t="s">
        <v>449</v>
      </c>
      <c r="S10" s="271" t="s">
        <v>450</v>
      </c>
      <c r="T10" s="271" t="s">
        <v>451</v>
      </c>
      <c r="U10" s="271" t="s">
        <v>452</v>
      </c>
      <c r="V10" s="271" t="s">
        <v>453</v>
      </c>
      <c r="W10" s="271" t="s">
        <v>454</v>
      </c>
      <c r="X10" s="271" t="s">
        <v>455</v>
      </c>
      <c r="Y10" s="271" t="s">
        <v>456</v>
      </c>
      <c r="Z10" s="271" t="s">
        <v>457</v>
      </c>
      <c r="AA10" s="271" t="s">
        <v>458</v>
      </c>
      <c r="AB10" s="271" t="s">
        <v>459</v>
      </c>
      <c r="AC10" s="271" t="s">
        <v>460</v>
      </c>
      <c r="AD10" s="271" t="s">
        <v>461</v>
      </c>
      <c r="AE10" s="271" t="s">
        <v>462</v>
      </c>
      <c r="AF10" s="271" t="s">
        <v>463</v>
      </c>
      <c r="AG10" s="271" t="s">
        <v>464</v>
      </c>
      <c r="AH10" s="272" t="s">
        <v>465</v>
      </c>
      <c r="AI10" s="272" t="s">
        <v>465</v>
      </c>
      <c r="AJ10" s="272" t="s">
        <v>465</v>
      </c>
      <c r="AK10" s="272" t="s">
        <v>465</v>
      </c>
      <c r="AL10" s="272" t="s">
        <v>1732</v>
      </c>
    </row>
    <row r="11" spans="1:38" x14ac:dyDescent="0.25">
      <c r="B11" s="662">
        <f>Assumptions!$D$7</f>
        <v>2025</v>
      </c>
      <c r="C11" s="103">
        <f>IFERROR(HLOOKUP(B11,$N$6:$AL$18,13,FALSE),0)</f>
        <v>96145.593615384627</v>
      </c>
      <c r="D11" s="103">
        <f>IFERROR(HLOOKUP(B11,$N$20:$AL$32,13,FALSE),0)</f>
        <v>17768.067999999999</v>
      </c>
      <c r="E11" s="103">
        <f>IF($B11&gt;Assumptions!$D$9,0,SUM(C11:C11)-SUM(D11:D11))</f>
        <v>78377.525615384628</v>
      </c>
      <c r="F11" s="663">
        <f>$E11*(1+0.07)^-(B11-Assumptions!$D$4)</f>
        <v>52226.254715791067</v>
      </c>
      <c r="H11" s="273" t="s">
        <v>203</v>
      </c>
      <c r="I11" s="274" t="e">
        <f>VLOOKUP(H11,'Capital Costs and RCV Calc'!$R$10:$U$13,3,FALSE)</f>
        <v>#N/A</v>
      </c>
      <c r="J11" s="274"/>
      <c r="K11" s="275" t="s">
        <v>199</v>
      </c>
      <c r="L11" s="276" t="s">
        <v>159</v>
      </c>
      <c r="M11" s="276" t="s">
        <v>179</v>
      </c>
      <c r="N11" s="277">
        <v>13.079000000000001</v>
      </c>
      <c r="O11" s="278" t="s">
        <v>201</v>
      </c>
      <c r="P11" s="278" t="s">
        <v>466</v>
      </c>
      <c r="Q11" s="278" t="s">
        <v>467</v>
      </c>
      <c r="R11" s="278" t="s">
        <v>468</v>
      </c>
      <c r="S11" s="278" t="s">
        <v>469</v>
      </c>
      <c r="T11" s="278" t="s">
        <v>470</v>
      </c>
      <c r="U11" s="278" t="s">
        <v>471</v>
      </c>
      <c r="V11" s="278" t="s">
        <v>472</v>
      </c>
      <c r="W11" s="278" t="s">
        <v>473</v>
      </c>
      <c r="X11" s="278" t="s">
        <v>474</v>
      </c>
      <c r="Y11" s="278" t="s">
        <v>475</v>
      </c>
      <c r="Z11" s="278" t="s">
        <v>476</v>
      </c>
      <c r="AA11" s="278" t="s">
        <v>477</v>
      </c>
      <c r="AB11" s="278" t="s">
        <v>478</v>
      </c>
      <c r="AC11" s="278" t="s">
        <v>479</v>
      </c>
      <c r="AD11" s="278" t="s">
        <v>480</v>
      </c>
      <c r="AE11" s="278" t="s">
        <v>481</v>
      </c>
      <c r="AF11" s="278" t="s">
        <v>482</v>
      </c>
      <c r="AG11" s="278" t="s">
        <v>483</v>
      </c>
      <c r="AH11" s="279" t="s">
        <v>484</v>
      </c>
      <c r="AI11" s="279" t="s">
        <v>484</v>
      </c>
      <c r="AJ11" s="279" t="s">
        <v>484</v>
      </c>
      <c r="AK11" s="279" t="s">
        <v>484</v>
      </c>
      <c r="AL11" s="279" t="s">
        <v>1733</v>
      </c>
    </row>
    <row r="12" spans="1:38" x14ac:dyDescent="0.25">
      <c r="B12" s="2">
        <f>+B11+1</f>
        <v>2026</v>
      </c>
      <c r="C12" s="149">
        <f t="shared" ref="C12:C47" si="7">IFERROR(HLOOKUP(B12,$N$6:$AL$18,13,FALSE),0)</f>
        <v>102482.18838461539</v>
      </c>
      <c r="D12" s="149">
        <f t="shared" ref="D12:D47" si="8">IFERROR(HLOOKUP(B12,$N$20:$AL$32,13,FALSE),0)</f>
        <v>24283.317999999999</v>
      </c>
      <c r="E12" s="103">
        <f>IF($B12&gt;Assumptions!$D$9,0,SUM(C12:C12)-SUM(D12:D12))</f>
        <v>78198.870384615395</v>
      </c>
      <c r="F12" s="157">
        <f>$E12*(1+0.07)^-(B12-Assumptions!$D$4)</f>
        <v>48698.326347685834</v>
      </c>
      <c r="H12" s="280" t="s">
        <v>485</v>
      </c>
      <c r="I12" s="281"/>
      <c r="J12" s="281"/>
      <c r="K12" s="282" t="s">
        <v>93</v>
      </c>
      <c r="L12" s="25" t="s">
        <v>94</v>
      </c>
      <c r="M12" s="25" t="s">
        <v>95</v>
      </c>
      <c r="N12" s="283" t="s">
        <v>65</v>
      </c>
      <c r="O12" s="284">
        <v>2021</v>
      </c>
      <c r="P12" s="284">
        <v>2022</v>
      </c>
      <c r="Q12" s="284">
        <v>2023</v>
      </c>
      <c r="R12" s="284">
        <v>2024</v>
      </c>
      <c r="S12" s="284">
        <v>2025</v>
      </c>
      <c r="T12" s="284">
        <v>2026</v>
      </c>
      <c r="U12" s="284">
        <v>2027</v>
      </c>
      <c r="V12" s="284">
        <v>2028</v>
      </c>
      <c r="W12" s="284">
        <v>2029</v>
      </c>
      <c r="X12" s="284">
        <v>2030</v>
      </c>
      <c r="Y12" s="284">
        <v>2031</v>
      </c>
      <c r="Z12" s="284">
        <v>2032</v>
      </c>
      <c r="AA12" s="284">
        <v>2033</v>
      </c>
      <c r="AB12" s="284">
        <v>2034</v>
      </c>
      <c r="AC12" s="284">
        <v>2035</v>
      </c>
      <c r="AD12" s="284">
        <v>2036</v>
      </c>
      <c r="AE12" s="284">
        <v>2037</v>
      </c>
      <c r="AF12" s="284">
        <v>2038</v>
      </c>
      <c r="AG12" s="284">
        <v>2039</v>
      </c>
      <c r="AH12" s="285">
        <v>2040</v>
      </c>
      <c r="AI12" s="285">
        <f>AH12+1</f>
        <v>2041</v>
      </c>
      <c r="AJ12" s="285">
        <f t="shared" ref="AJ12:AL12" si="9">AI12+1</f>
        <v>2042</v>
      </c>
      <c r="AK12" s="285">
        <f t="shared" si="9"/>
        <v>2043</v>
      </c>
      <c r="AL12" s="285">
        <f t="shared" si="9"/>
        <v>2044</v>
      </c>
    </row>
    <row r="13" spans="1:38" x14ac:dyDescent="0.25">
      <c r="B13" s="2">
        <f t="shared" ref="B13:B47" si="10">+B12+1</f>
        <v>2027</v>
      </c>
      <c r="C13" s="149">
        <f t="shared" si="7"/>
        <v>108818.79546153848</v>
      </c>
      <c r="D13" s="149">
        <f t="shared" si="8"/>
        <v>30798.496999999999</v>
      </c>
      <c r="E13" s="103">
        <f>IF($B13&gt;Assumptions!$D$9,0,SUM(C13:C13)-SUM(D13:D13))</f>
        <v>78020.298461538478</v>
      </c>
      <c r="F13" s="157">
        <f>$E13*(1+0.07)^-(B13-Assumptions!$D$4)</f>
        <v>45408.524045497055</v>
      </c>
      <c r="H13" s="286" t="s">
        <v>206</v>
      </c>
      <c r="I13" s="287" t="e">
        <f>VLOOKUP(H13,'Capital Costs and RCV Calc'!$R$10:$U$13,3,FALSE)</f>
        <v>#N/A</v>
      </c>
      <c r="J13" s="287"/>
      <c r="K13" s="288" t="s">
        <v>96</v>
      </c>
      <c r="L13" s="289" t="s">
        <v>97</v>
      </c>
      <c r="M13" s="289" t="s">
        <v>98</v>
      </c>
      <c r="N13" s="290">
        <v>3.972</v>
      </c>
      <c r="O13" s="291"/>
      <c r="P13" s="291"/>
      <c r="Q13" s="291"/>
      <c r="R13" s="291"/>
      <c r="S13" s="291"/>
      <c r="T13" s="291"/>
      <c r="U13" s="291"/>
      <c r="V13" s="291"/>
      <c r="W13" s="291"/>
      <c r="X13" s="291"/>
      <c r="Y13" s="291"/>
      <c r="Z13" s="291"/>
      <c r="AA13" s="291"/>
      <c r="AB13" s="291"/>
      <c r="AC13" s="291"/>
      <c r="AD13" s="291"/>
      <c r="AE13" s="291"/>
      <c r="AF13" s="291"/>
      <c r="AG13" s="291"/>
      <c r="AH13" s="292"/>
      <c r="AI13" s="292"/>
      <c r="AJ13" s="292"/>
      <c r="AK13" s="292"/>
      <c r="AL13" s="292"/>
    </row>
    <row r="14" spans="1:38" x14ac:dyDescent="0.25">
      <c r="B14" s="2">
        <f t="shared" si="10"/>
        <v>2028</v>
      </c>
      <c r="C14" s="149">
        <f t="shared" si="7"/>
        <v>115155.3979230769</v>
      </c>
      <c r="D14" s="149">
        <f t="shared" si="8"/>
        <v>37313.726999999999</v>
      </c>
      <c r="E14" s="103">
        <f>IF($B14&gt;Assumptions!$D$9,0,SUM(C14:C14)-SUM(D14:D14))</f>
        <v>77841.670923076905</v>
      </c>
      <c r="F14" s="157">
        <f>$E14*(1+0.07)^-(B14-Assumptions!$D$4)</f>
        <v>42340.711394192876</v>
      </c>
      <c r="H14" s="286" t="s">
        <v>206</v>
      </c>
      <c r="I14" s="287" t="e">
        <f>VLOOKUP(H14,'Capital Costs and RCV Calc'!$R$10:$U$13,3,FALSE)</f>
        <v>#N/A</v>
      </c>
      <c r="J14" s="287"/>
      <c r="K14" s="288" t="s">
        <v>96</v>
      </c>
      <c r="L14" s="289" t="s">
        <v>98</v>
      </c>
      <c r="M14" s="289" t="s">
        <v>119</v>
      </c>
      <c r="N14" s="290">
        <v>0.29199999999999998</v>
      </c>
      <c r="O14" s="291"/>
      <c r="P14" s="291"/>
      <c r="Q14" s="291"/>
      <c r="R14" s="291"/>
      <c r="S14" s="291"/>
      <c r="T14" s="291"/>
      <c r="U14" s="291"/>
      <c r="V14" s="291"/>
      <c r="W14" s="291"/>
      <c r="X14" s="291"/>
      <c r="Y14" s="291"/>
      <c r="Z14" s="291"/>
      <c r="AA14" s="291"/>
      <c r="AB14" s="291"/>
      <c r="AC14" s="291"/>
      <c r="AD14" s="291"/>
      <c r="AE14" s="291"/>
      <c r="AF14" s="291"/>
      <c r="AG14" s="291"/>
      <c r="AH14" s="292"/>
      <c r="AI14" s="292"/>
      <c r="AJ14" s="292"/>
      <c r="AK14" s="292"/>
      <c r="AL14" s="292"/>
    </row>
    <row r="15" spans="1:38" x14ac:dyDescent="0.25">
      <c r="B15" s="2">
        <f t="shared" si="10"/>
        <v>2029</v>
      </c>
      <c r="C15" s="149">
        <f t="shared" si="7"/>
        <v>121492.04500000001</v>
      </c>
      <c r="D15" s="149">
        <f t="shared" si="8"/>
        <v>43828.975999999995</v>
      </c>
      <c r="E15" s="103">
        <f>IF($B15&gt;Assumptions!$D$9,0,SUM(C15:C15)-SUM(D15:D15))</f>
        <v>77663.069000000018</v>
      </c>
      <c r="F15" s="157">
        <f>$E15*(1+0.07)^-(B15-Assumptions!$D$4)</f>
        <v>39479.966151159751</v>
      </c>
      <c r="H15" s="286" t="s">
        <v>206</v>
      </c>
      <c r="I15" s="287" t="e">
        <f>VLOOKUP(H15,'Capital Costs and RCV Calc'!$R$10:$U$13,3,FALSE)</f>
        <v>#N/A</v>
      </c>
      <c r="J15" s="287"/>
      <c r="K15" s="288" t="s">
        <v>96</v>
      </c>
      <c r="L15" s="289" t="s">
        <v>119</v>
      </c>
      <c r="M15" s="289" t="s">
        <v>139</v>
      </c>
      <c r="N15" s="290">
        <v>2.7450000000000001</v>
      </c>
      <c r="O15" s="291"/>
      <c r="P15" s="291"/>
      <c r="Q15" s="291"/>
      <c r="R15" s="291"/>
      <c r="S15" s="291"/>
      <c r="T15" s="291"/>
      <c r="U15" s="291"/>
      <c r="V15" s="291"/>
      <c r="W15" s="291"/>
      <c r="X15" s="291"/>
      <c r="Y15" s="291"/>
      <c r="Z15" s="291"/>
      <c r="AA15" s="291"/>
      <c r="AB15" s="291"/>
      <c r="AC15" s="291"/>
      <c r="AD15" s="291"/>
      <c r="AE15" s="291"/>
      <c r="AF15" s="291"/>
      <c r="AG15" s="291"/>
      <c r="AH15" s="292"/>
      <c r="AI15" s="292"/>
      <c r="AJ15" s="292"/>
      <c r="AK15" s="292"/>
      <c r="AL15" s="292"/>
    </row>
    <row r="16" spans="1:38" x14ac:dyDescent="0.25">
      <c r="B16" s="2">
        <f t="shared" si="10"/>
        <v>2030</v>
      </c>
      <c r="C16" s="149">
        <f t="shared" si="7"/>
        <v>6930.35</v>
      </c>
      <c r="D16" s="149">
        <f t="shared" si="8"/>
        <v>50344.216</v>
      </c>
      <c r="E16" s="149">
        <f>IF($B16&gt;Assumptions!$D$9,0,SUM(C16:C16)-SUM(D16:D16))</f>
        <v>-43413.866000000002</v>
      </c>
      <c r="F16" s="157">
        <f>$E16*(1+0.07)^-(B16-Assumptions!$D$4)</f>
        <v>-20625.614999935973</v>
      </c>
      <c r="H16" s="286" t="s">
        <v>206</v>
      </c>
      <c r="I16" s="287" t="e">
        <f>VLOOKUP(H16,'Capital Costs and RCV Calc'!$R$10:$U$13,3,FALSE)</f>
        <v>#N/A</v>
      </c>
      <c r="J16" s="287"/>
      <c r="K16" s="288" t="s">
        <v>96</v>
      </c>
      <c r="L16" s="289" t="s">
        <v>139</v>
      </c>
      <c r="M16" s="289" t="s">
        <v>159</v>
      </c>
      <c r="N16" s="290">
        <v>7.9279999999999999</v>
      </c>
      <c r="O16" s="291"/>
      <c r="P16" s="291"/>
      <c r="Q16" s="291"/>
      <c r="R16" s="291"/>
      <c r="S16" s="291"/>
      <c r="T16" s="291"/>
      <c r="U16" s="291"/>
      <c r="V16" s="291"/>
      <c r="W16" s="291"/>
      <c r="X16" s="291"/>
      <c r="Y16" s="291"/>
      <c r="Z16" s="291"/>
      <c r="AA16" s="291"/>
      <c r="AB16" s="291"/>
      <c r="AC16" s="291"/>
      <c r="AD16" s="291"/>
      <c r="AE16" s="291"/>
      <c r="AF16" s="291"/>
      <c r="AG16" s="291"/>
      <c r="AH16" s="292"/>
      <c r="AI16" s="292"/>
      <c r="AJ16" s="292"/>
      <c r="AK16" s="292"/>
      <c r="AL16" s="292"/>
    </row>
    <row r="17" spans="2:38" x14ac:dyDescent="0.25">
      <c r="B17" s="2">
        <f t="shared" si="10"/>
        <v>2031</v>
      </c>
      <c r="C17" s="149">
        <f t="shared" si="7"/>
        <v>7323.05</v>
      </c>
      <c r="D17" s="149">
        <f t="shared" si="8"/>
        <v>56859.464999999997</v>
      </c>
      <c r="E17" s="149">
        <f>IF($B17&gt;Assumptions!$D$9,0,SUM(C17:C17)-SUM(D17:D17))</f>
        <v>-49536.414999999994</v>
      </c>
      <c r="F17" s="157">
        <f>$E17*(1+0.07)^-(B17-Assumptions!$D$4)</f>
        <v>-21994.760677912145</v>
      </c>
      <c r="H17" s="293" t="s">
        <v>204</v>
      </c>
      <c r="I17" s="294" t="e">
        <f>VLOOKUP(H17,'Capital Costs and RCV Calc'!$R$10:$U$13,3,FALSE)</f>
        <v>#N/A</v>
      </c>
      <c r="J17" s="294"/>
      <c r="K17" s="295" t="s">
        <v>96</v>
      </c>
      <c r="L17" s="296" t="s">
        <v>159</v>
      </c>
      <c r="M17" s="296" t="s">
        <v>179</v>
      </c>
      <c r="N17" s="297">
        <v>13.074</v>
      </c>
      <c r="O17" s="298" t="s">
        <v>180</v>
      </c>
      <c r="P17" s="298" t="s">
        <v>181</v>
      </c>
      <c r="Q17" s="298" t="s">
        <v>182</v>
      </c>
      <c r="R17" s="298" t="s">
        <v>368</v>
      </c>
      <c r="S17" s="298" t="s">
        <v>369</v>
      </c>
      <c r="T17" s="298" t="s">
        <v>370</v>
      </c>
      <c r="U17" s="298" t="s">
        <v>371</v>
      </c>
      <c r="V17" s="298" t="s">
        <v>372</v>
      </c>
      <c r="W17" s="298" t="s">
        <v>373</v>
      </c>
      <c r="X17" s="298" t="s">
        <v>374</v>
      </c>
      <c r="Y17" s="298" t="s">
        <v>375</v>
      </c>
      <c r="Z17" s="298" t="s">
        <v>376</v>
      </c>
      <c r="AA17" s="298" t="s">
        <v>377</v>
      </c>
      <c r="AB17" s="298" t="s">
        <v>378</v>
      </c>
      <c r="AC17" s="298" t="s">
        <v>379</v>
      </c>
      <c r="AD17" s="298" t="s">
        <v>380</v>
      </c>
      <c r="AE17" s="298" t="s">
        <v>381</v>
      </c>
      <c r="AF17" s="298" t="s">
        <v>382</v>
      </c>
      <c r="AG17" s="298" t="s">
        <v>383</v>
      </c>
      <c r="AH17" s="299" t="s">
        <v>384</v>
      </c>
      <c r="AI17" s="299" t="s">
        <v>384</v>
      </c>
      <c r="AJ17" s="299" t="s">
        <v>384</v>
      </c>
      <c r="AK17" s="299" t="s">
        <v>384</v>
      </c>
      <c r="AL17" s="299" t="s">
        <v>1734</v>
      </c>
    </row>
    <row r="18" spans="2:38" ht="15.75" thickBot="1" x14ac:dyDescent="0.3">
      <c r="B18" s="2">
        <f t="shared" si="10"/>
        <v>2032</v>
      </c>
      <c r="C18" s="149">
        <f t="shared" si="7"/>
        <v>7715.8</v>
      </c>
      <c r="D18" s="149">
        <f t="shared" si="8"/>
        <v>63374.714999999997</v>
      </c>
      <c r="E18" s="149">
        <f>IF($B18&gt;Assumptions!$D$9,0,SUM(C18:C18)-SUM(D18:D18))</f>
        <v>-55658.914999999994</v>
      </c>
      <c r="F18" s="157">
        <f>$E18*(1+0.07)^-(B18-Assumptions!$D$4)</f>
        <v>-23096.470933050041</v>
      </c>
      <c r="H18" s="306"/>
      <c r="I18" s="307"/>
      <c r="J18" s="307"/>
      <c r="K18" s="302"/>
      <c r="L18" s="301"/>
      <c r="M18" s="301"/>
      <c r="N18" s="303" t="s">
        <v>4</v>
      </c>
      <c r="O18" s="304">
        <f>O7+O8+O9+O10+O11+O13+O14+O15+O16+O17</f>
        <v>91349.733999999997</v>
      </c>
      <c r="P18" s="304">
        <f>P7+P8+P9+P10+P11+P13+P14+P15+P16+P17</f>
        <v>99468.558000000005</v>
      </c>
      <c r="Q18" s="304">
        <f>Q7+Q8+Q9+Q10+Q11+Q13+Q14+Q15+Q16+Q17</f>
        <v>107587.291</v>
      </c>
      <c r="R18" s="304">
        <f>R7+R8+R9+R10+R11+R13+R14+R15+R16+R17</f>
        <v>115706.01500000001</v>
      </c>
      <c r="S18" s="304">
        <f>S7+S8+S9+S10+S11+S13+S14+S15+S16+S17-SUM(S2:S4)</f>
        <v>96145.593615384627</v>
      </c>
      <c r="T18" s="304">
        <f t="shared" ref="T18:W18" si="11">T7+T8+T9+T10+T11+T13+T14+T15+T16+T17-SUM(T2:T4)</f>
        <v>102482.18838461539</v>
      </c>
      <c r="U18" s="304">
        <f t="shared" si="11"/>
        <v>108818.79546153848</v>
      </c>
      <c r="V18" s="304">
        <f t="shared" si="11"/>
        <v>115155.3979230769</v>
      </c>
      <c r="W18" s="304">
        <f t="shared" si="11"/>
        <v>121492.04500000001</v>
      </c>
      <c r="X18" s="304">
        <f>X7/2</f>
        <v>6930.35</v>
      </c>
      <c r="Y18" s="304">
        <f t="shared" ref="Y18:AK18" si="12">Y7/2</f>
        <v>7323.05</v>
      </c>
      <c r="Z18" s="304">
        <f t="shared" si="12"/>
        <v>7715.8</v>
      </c>
      <c r="AA18" s="304">
        <f t="shared" si="12"/>
        <v>8108.5</v>
      </c>
      <c r="AB18" s="304">
        <f t="shared" si="12"/>
        <v>8501.25</v>
      </c>
      <c r="AC18" s="304">
        <f t="shared" si="12"/>
        <v>8894</v>
      </c>
      <c r="AD18" s="304">
        <f t="shared" si="12"/>
        <v>9286.7000000000007</v>
      </c>
      <c r="AE18" s="304">
        <f t="shared" si="12"/>
        <v>9679.4500000000007</v>
      </c>
      <c r="AF18" s="304">
        <f t="shared" si="12"/>
        <v>10072.200000000001</v>
      </c>
      <c r="AG18" s="304">
        <f t="shared" si="12"/>
        <v>10464.9</v>
      </c>
      <c r="AH18" s="305">
        <f t="shared" si="12"/>
        <v>10857.65</v>
      </c>
      <c r="AI18" s="305">
        <f t="shared" si="12"/>
        <v>10857.65</v>
      </c>
      <c r="AJ18" s="305">
        <f t="shared" si="12"/>
        <v>10857.65</v>
      </c>
      <c r="AK18" s="305">
        <f t="shared" si="12"/>
        <v>10857.65</v>
      </c>
      <c r="AL18" s="305">
        <f t="shared" ref="AL18" si="13">AL7/2</f>
        <v>10857.7</v>
      </c>
    </row>
    <row r="19" spans="2:38" ht="16.5" thickBot="1" x14ac:dyDescent="0.3">
      <c r="B19" s="2">
        <f t="shared" si="10"/>
        <v>2033</v>
      </c>
      <c r="C19" s="149">
        <f t="shared" si="7"/>
        <v>8108.5</v>
      </c>
      <c r="D19" s="149">
        <f t="shared" si="8"/>
        <v>69889.964000000007</v>
      </c>
      <c r="E19" s="149">
        <f>IF($B19&gt;Assumptions!$D$9,0,SUM(C19:C19)-SUM(D19:D19))</f>
        <v>-61781.464000000007</v>
      </c>
      <c r="F19" s="157">
        <f>$E19*(1+0.07)^-(B19-Assumptions!$D$4)</f>
        <v>-23959.916914491183</v>
      </c>
      <c r="H19" s="373" t="s">
        <v>202</v>
      </c>
      <c r="I19" s="258"/>
      <c r="J19" s="258"/>
      <c r="L19" s="152"/>
      <c r="M19" s="152"/>
      <c r="N19" s="25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25">
      <c r="B20" s="2">
        <f t="shared" si="10"/>
        <v>2034</v>
      </c>
      <c r="C20" s="149">
        <f t="shared" si="7"/>
        <v>8501.25</v>
      </c>
      <c r="D20" s="149">
        <f t="shared" si="8"/>
        <v>76405.103999999992</v>
      </c>
      <c r="E20" s="149">
        <f>IF($B20&gt;Assumptions!$D$9,0,SUM(C20:C20)-SUM(D20:D20))</f>
        <v>-67903.853999999992</v>
      </c>
      <c r="F20" s="157">
        <f>$E20*(1+0.07)^-(B20-Assumptions!$D$4)</f>
        <v>-24611.481600675921</v>
      </c>
      <c r="H20" s="260" t="s">
        <v>485</v>
      </c>
      <c r="I20" s="261" t="s">
        <v>486</v>
      </c>
      <c r="J20" s="261"/>
      <c r="K20" s="262" t="s">
        <v>93</v>
      </c>
      <c r="L20" s="261" t="s">
        <v>94</v>
      </c>
      <c r="M20" s="261" t="s">
        <v>95</v>
      </c>
      <c r="N20" s="263" t="s">
        <v>65</v>
      </c>
      <c r="O20" s="264">
        <v>2021</v>
      </c>
      <c r="P20" s="264">
        <v>2022</v>
      </c>
      <c r="Q20" s="264">
        <v>2023</v>
      </c>
      <c r="R20" s="264">
        <v>2024</v>
      </c>
      <c r="S20" s="264">
        <v>2025</v>
      </c>
      <c r="T20" s="264">
        <v>2026</v>
      </c>
      <c r="U20" s="264">
        <v>2027</v>
      </c>
      <c r="V20" s="264">
        <v>2028</v>
      </c>
      <c r="W20" s="264">
        <v>2029</v>
      </c>
      <c r="X20" s="264">
        <v>2030</v>
      </c>
      <c r="Y20" s="264">
        <v>2031</v>
      </c>
      <c r="Z20" s="264">
        <v>2032</v>
      </c>
      <c r="AA20" s="264">
        <v>2033</v>
      </c>
      <c r="AB20" s="264">
        <v>2034</v>
      </c>
      <c r="AC20" s="264">
        <v>2035</v>
      </c>
      <c r="AD20" s="264">
        <v>2036</v>
      </c>
      <c r="AE20" s="264">
        <v>2037</v>
      </c>
      <c r="AF20" s="264">
        <v>2038</v>
      </c>
      <c r="AG20" s="264">
        <v>2039</v>
      </c>
      <c r="AH20" s="265">
        <v>2040</v>
      </c>
      <c r="AI20" s="265">
        <f>AH20+1</f>
        <v>2041</v>
      </c>
      <c r="AJ20" s="265">
        <f t="shared" ref="AJ20:AL20" si="14">AI20+1</f>
        <v>2042</v>
      </c>
      <c r="AK20" s="265">
        <f t="shared" si="14"/>
        <v>2043</v>
      </c>
      <c r="AL20" s="265">
        <f t="shared" si="14"/>
        <v>2044</v>
      </c>
    </row>
    <row r="21" spans="2:38" x14ac:dyDescent="0.25">
      <c r="B21" s="2">
        <f t="shared" si="10"/>
        <v>2035</v>
      </c>
      <c r="C21" s="149">
        <f t="shared" si="7"/>
        <v>8894</v>
      </c>
      <c r="D21" s="149">
        <f t="shared" si="8"/>
        <v>82920.353000000003</v>
      </c>
      <c r="E21" s="149">
        <f>IF($B21&gt;Assumptions!$D$9,0,SUM(C21:C21)-SUM(D21:D21))</f>
        <v>-74026.353000000003</v>
      </c>
      <c r="F21" s="157">
        <f>$E21*(1+0.07)^-(B21-Assumptions!$D$4)</f>
        <v>-25075.286909803977</v>
      </c>
      <c r="H21" s="266" t="s">
        <v>205</v>
      </c>
      <c r="I21" s="267" t="e">
        <f>VLOOKUP(H21,'Capital Costs and RCV Calc'!$R$10:$U$13,3,FALSE)</f>
        <v>#N/A</v>
      </c>
      <c r="J21" s="267"/>
      <c r="K21" s="268" t="s">
        <v>96</v>
      </c>
      <c r="L21" s="269" t="s">
        <v>97</v>
      </c>
      <c r="M21" s="269" t="s">
        <v>98</v>
      </c>
      <c r="N21" s="270">
        <v>3.972</v>
      </c>
      <c r="O21" s="271" t="s">
        <v>99</v>
      </c>
      <c r="P21" s="271" t="s">
        <v>100</v>
      </c>
      <c r="Q21" s="271" t="s">
        <v>101</v>
      </c>
      <c r="R21" s="271" t="s">
        <v>102</v>
      </c>
      <c r="S21" s="271" t="s">
        <v>103</v>
      </c>
      <c r="T21" s="271" t="s">
        <v>104</v>
      </c>
      <c r="U21" s="271" t="s">
        <v>105</v>
      </c>
      <c r="V21" s="271" t="s">
        <v>106</v>
      </c>
      <c r="W21" s="271" t="s">
        <v>107</v>
      </c>
      <c r="X21" s="271" t="s">
        <v>108</v>
      </c>
      <c r="Y21" s="271" t="s">
        <v>109</v>
      </c>
      <c r="Z21" s="271" t="s">
        <v>110</v>
      </c>
      <c r="AA21" s="271" t="s">
        <v>111</v>
      </c>
      <c r="AB21" s="271" t="s">
        <v>112</v>
      </c>
      <c r="AC21" s="271" t="s">
        <v>113</v>
      </c>
      <c r="AD21" s="271" t="s">
        <v>114</v>
      </c>
      <c r="AE21" s="271" t="s">
        <v>115</v>
      </c>
      <c r="AF21" s="271" t="s">
        <v>116</v>
      </c>
      <c r="AG21" s="271" t="s">
        <v>117</v>
      </c>
      <c r="AH21" s="272" t="s">
        <v>118</v>
      </c>
      <c r="AI21" s="272" t="s">
        <v>118</v>
      </c>
      <c r="AJ21" s="272" t="s">
        <v>118</v>
      </c>
      <c r="AK21" s="272" t="s">
        <v>118</v>
      </c>
      <c r="AL21" s="272" t="s">
        <v>1735</v>
      </c>
    </row>
    <row r="22" spans="2:38" x14ac:dyDescent="0.25">
      <c r="B22" s="2">
        <f t="shared" si="10"/>
        <v>2036</v>
      </c>
      <c r="C22" s="149">
        <f t="shared" si="7"/>
        <v>9286.7000000000007</v>
      </c>
      <c r="D22" s="149">
        <f t="shared" si="8"/>
        <v>88013.179000000004</v>
      </c>
      <c r="E22" s="149">
        <f>IF($B22&gt;Assumptions!$D$9,0,SUM(C22:C22)-SUM(D22:D22))</f>
        <v>-78726.479000000007</v>
      </c>
      <c r="F22" s="157">
        <f>$E22*(1+0.07)^-(B22-Assumptions!$D$4)</f>
        <v>-24922.787102810573</v>
      </c>
      <c r="H22" s="266" t="s">
        <v>205</v>
      </c>
      <c r="I22" s="267" t="e">
        <f>VLOOKUP(H22,'Capital Costs and RCV Calc'!$R$10:$U$13,3,FALSE)</f>
        <v>#N/A</v>
      </c>
      <c r="J22" s="267"/>
      <c r="K22" s="268" t="s">
        <v>96</v>
      </c>
      <c r="L22" s="269" t="s">
        <v>98</v>
      </c>
      <c r="M22" s="269" t="s">
        <v>119</v>
      </c>
      <c r="N22" s="270">
        <v>0.29199999999999998</v>
      </c>
      <c r="O22" s="271" t="s">
        <v>99</v>
      </c>
      <c r="P22" s="271" t="s">
        <v>120</v>
      </c>
      <c r="Q22" s="271" t="s">
        <v>121</v>
      </c>
      <c r="R22" s="271" t="s">
        <v>122</v>
      </c>
      <c r="S22" s="271" t="s">
        <v>123</v>
      </c>
      <c r="T22" s="271" t="s">
        <v>124</v>
      </c>
      <c r="U22" s="271" t="s">
        <v>125</v>
      </c>
      <c r="V22" s="271" t="s">
        <v>126</v>
      </c>
      <c r="W22" s="271" t="s">
        <v>127</v>
      </c>
      <c r="X22" s="271" t="s">
        <v>128</v>
      </c>
      <c r="Y22" s="271" t="s">
        <v>129</v>
      </c>
      <c r="Z22" s="271" t="s">
        <v>130</v>
      </c>
      <c r="AA22" s="271" t="s">
        <v>131</v>
      </c>
      <c r="AB22" s="271" t="s">
        <v>132</v>
      </c>
      <c r="AC22" s="271" t="s">
        <v>133</v>
      </c>
      <c r="AD22" s="271" t="s">
        <v>134</v>
      </c>
      <c r="AE22" s="271" t="s">
        <v>135</v>
      </c>
      <c r="AF22" s="271" t="s">
        <v>136</v>
      </c>
      <c r="AG22" s="271" t="s">
        <v>137</v>
      </c>
      <c r="AH22" s="272" t="s">
        <v>138</v>
      </c>
      <c r="AI22" s="272" t="s">
        <v>138</v>
      </c>
      <c r="AJ22" s="272" t="s">
        <v>138</v>
      </c>
      <c r="AK22" s="272" t="s">
        <v>138</v>
      </c>
      <c r="AL22" s="272" t="s">
        <v>1736</v>
      </c>
    </row>
    <row r="23" spans="2:38" x14ac:dyDescent="0.25">
      <c r="B23" s="2">
        <f t="shared" si="10"/>
        <v>2037</v>
      </c>
      <c r="C23" s="149">
        <f t="shared" si="7"/>
        <v>9679.4500000000007</v>
      </c>
      <c r="D23" s="149">
        <f t="shared" si="8"/>
        <v>94528.328999999998</v>
      </c>
      <c r="E23" s="149">
        <f>IF($B23&gt;Assumptions!$D$9,0,SUM(C23:C23)-SUM(D23:D23))</f>
        <v>-84848.879000000001</v>
      </c>
      <c r="F23" s="157">
        <f>$E23*(1+0.07)^-(B23-Assumptions!$D$4)</f>
        <v>-25103.721636437414</v>
      </c>
      <c r="H23" s="266" t="s">
        <v>205</v>
      </c>
      <c r="I23" s="267" t="e">
        <f>VLOOKUP(H23,'Capital Costs and RCV Calc'!$R$10:$U$13,3,FALSE)</f>
        <v>#N/A</v>
      </c>
      <c r="J23" s="267"/>
      <c r="K23" s="268" t="s">
        <v>96</v>
      </c>
      <c r="L23" s="269" t="s">
        <v>119</v>
      </c>
      <c r="M23" s="269" t="s">
        <v>139</v>
      </c>
      <c r="N23" s="270">
        <v>2.7450000000000001</v>
      </c>
      <c r="O23" s="271" t="s">
        <v>99</v>
      </c>
      <c r="P23" s="271" t="s">
        <v>140</v>
      </c>
      <c r="Q23" s="271" t="s">
        <v>141</v>
      </c>
      <c r="R23" s="271" t="s">
        <v>142</v>
      </c>
      <c r="S23" s="271" t="s">
        <v>143</v>
      </c>
      <c r="T23" s="271" t="s">
        <v>144</v>
      </c>
      <c r="U23" s="271" t="s">
        <v>145</v>
      </c>
      <c r="V23" s="271" t="s">
        <v>146</v>
      </c>
      <c r="W23" s="271" t="s">
        <v>147</v>
      </c>
      <c r="X23" s="271" t="s">
        <v>148</v>
      </c>
      <c r="Y23" s="271" t="s">
        <v>149</v>
      </c>
      <c r="Z23" s="271" t="s">
        <v>150</v>
      </c>
      <c r="AA23" s="271" t="s">
        <v>151</v>
      </c>
      <c r="AB23" s="271" t="s">
        <v>152</v>
      </c>
      <c r="AC23" s="271" t="s">
        <v>153</v>
      </c>
      <c r="AD23" s="271" t="s">
        <v>154</v>
      </c>
      <c r="AE23" s="271" t="s">
        <v>155</v>
      </c>
      <c r="AF23" s="271" t="s">
        <v>156</v>
      </c>
      <c r="AG23" s="271" t="s">
        <v>157</v>
      </c>
      <c r="AH23" s="272" t="s">
        <v>158</v>
      </c>
      <c r="AI23" s="272" t="s">
        <v>158</v>
      </c>
      <c r="AJ23" s="272" t="s">
        <v>158</v>
      </c>
      <c r="AK23" s="272" t="s">
        <v>158</v>
      </c>
      <c r="AL23" s="272" t="s">
        <v>1737</v>
      </c>
    </row>
    <row r="24" spans="2:38" x14ac:dyDescent="0.25">
      <c r="B24" s="2">
        <f t="shared" si="10"/>
        <v>2038</v>
      </c>
      <c r="C24" s="149">
        <f t="shared" si="7"/>
        <v>10072.200000000001</v>
      </c>
      <c r="D24" s="149">
        <f t="shared" si="8"/>
        <v>101043.57800000001</v>
      </c>
      <c r="E24" s="149">
        <f>IF($B24&gt;Assumptions!$D$9,0,SUM(C24:C24)-SUM(D24:D24))</f>
        <v>-90971.378000000012</v>
      </c>
      <c r="F24" s="157">
        <f>$E24*(1+0.07)^-(B24-Assumptions!$D$4)</f>
        <v>-25154.344082478961</v>
      </c>
      <c r="H24" s="266" t="s">
        <v>205</v>
      </c>
      <c r="I24" s="267" t="e">
        <f>VLOOKUP(H24,'Capital Costs and RCV Calc'!$R$10:$U$13,3,FALSE)</f>
        <v>#N/A</v>
      </c>
      <c r="J24" s="267"/>
      <c r="K24" s="268" t="s">
        <v>96</v>
      </c>
      <c r="L24" s="269" t="s">
        <v>139</v>
      </c>
      <c r="M24" s="269" t="s">
        <v>159</v>
      </c>
      <c r="N24" s="270">
        <v>7.9279999999999999</v>
      </c>
      <c r="O24" s="271" t="s">
        <v>99</v>
      </c>
      <c r="P24" s="271" t="s">
        <v>160</v>
      </c>
      <c r="Q24" s="271" t="s">
        <v>161</v>
      </c>
      <c r="R24" s="271" t="s">
        <v>162</v>
      </c>
      <c r="S24" s="271" t="s">
        <v>163</v>
      </c>
      <c r="T24" s="271" t="s">
        <v>164</v>
      </c>
      <c r="U24" s="271" t="s">
        <v>165</v>
      </c>
      <c r="V24" s="271" t="s">
        <v>166</v>
      </c>
      <c r="W24" s="271" t="s">
        <v>167</v>
      </c>
      <c r="X24" s="271" t="s">
        <v>168</v>
      </c>
      <c r="Y24" s="271" t="s">
        <v>169</v>
      </c>
      <c r="Z24" s="271" t="s">
        <v>170</v>
      </c>
      <c r="AA24" s="271" t="s">
        <v>171</v>
      </c>
      <c r="AB24" s="271" t="s">
        <v>172</v>
      </c>
      <c r="AC24" s="271" t="s">
        <v>173</v>
      </c>
      <c r="AD24" s="271" t="s">
        <v>174</v>
      </c>
      <c r="AE24" s="271" t="s">
        <v>175</v>
      </c>
      <c r="AF24" s="271" t="s">
        <v>176</v>
      </c>
      <c r="AG24" s="271" t="s">
        <v>177</v>
      </c>
      <c r="AH24" s="272" t="s">
        <v>178</v>
      </c>
      <c r="AI24" s="272" t="s">
        <v>178</v>
      </c>
      <c r="AJ24" s="272" t="s">
        <v>178</v>
      </c>
      <c r="AK24" s="272" t="s">
        <v>178</v>
      </c>
      <c r="AL24" s="272" t="s">
        <v>1738</v>
      </c>
    </row>
    <row r="25" spans="2:38" x14ac:dyDescent="0.25">
      <c r="B25" s="2">
        <f t="shared" si="10"/>
        <v>2039</v>
      </c>
      <c r="C25" s="149">
        <f t="shared" si="7"/>
        <v>10464.9</v>
      </c>
      <c r="D25" s="149">
        <f t="shared" si="8"/>
        <v>107558.758</v>
      </c>
      <c r="E25" s="149">
        <f>IF($B25&gt;Assumptions!$D$9,0,SUM(C25:C25)-SUM(D25:D25))</f>
        <v>-97093.858000000007</v>
      </c>
      <c r="F25" s="157">
        <f>$E25*(1+0.07)^-(B25-Assumptions!$D$4)</f>
        <v>-25090.89796371137</v>
      </c>
      <c r="H25" s="273" t="s">
        <v>203</v>
      </c>
      <c r="I25" s="274" t="e">
        <f>VLOOKUP(H25,'Capital Costs and RCV Calc'!$R$10:$U$13,3,FALSE)</f>
        <v>#N/A</v>
      </c>
      <c r="J25" s="274"/>
      <c r="K25" s="275" t="s">
        <v>96</v>
      </c>
      <c r="L25" s="276" t="s">
        <v>159</v>
      </c>
      <c r="M25" s="276" t="s">
        <v>179</v>
      </c>
      <c r="N25" s="277">
        <v>13.074</v>
      </c>
      <c r="O25" s="278" t="s">
        <v>180</v>
      </c>
      <c r="P25" s="278" t="s">
        <v>181</v>
      </c>
      <c r="Q25" s="278" t="s">
        <v>182</v>
      </c>
      <c r="R25" s="278" t="s">
        <v>99</v>
      </c>
      <c r="S25" s="278" t="s">
        <v>183</v>
      </c>
      <c r="T25" s="278" t="s">
        <v>184</v>
      </c>
      <c r="U25" s="278" t="s">
        <v>185</v>
      </c>
      <c r="V25" s="278" t="s">
        <v>186</v>
      </c>
      <c r="W25" s="278" t="s">
        <v>187</v>
      </c>
      <c r="X25" s="278" t="s">
        <v>188</v>
      </c>
      <c r="Y25" s="278" t="s">
        <v>189</v>
      </c>
      <c r="Z25" s="278" t="s">
        <v>190</v>
      </c>
      <c r="AA25" s="278" t="s">
        <v>191</v>
      </c>
      <c r="AB25" s="278" t="s">
        <v>192</v>
      </c>
      <c r="AC25" s="278" t="s">
        <v>193</v>
      </c>
      <c r="AD25" s="278" t="s">
        <v>194</v>
      </c>
      <c r="AE25" s="278" t="s">
        <v>195</v>
      </c>
      <c r="AF25" s="278" t="s">
        <v>196</v>
      </c>
      <c r="AG25" s="278" t="s">
        <v>197</v>
      </c>
      <c r="AH25" s="279" t="s">
        <v>198</v>
      </c>
      <c r="AI25" s="279" t="s">
        <v>198</v>
      </c>
      <c r="AJ25" s="279" t="s">
        <v>198</v>
      </c>
      <c r="AK25" s="279" t="s">
        <v>198</v>
      </c>
      <c r="AL25" s="279" t="s">
        <v>1739</v>
      </c>
    </row>
    <row r="26" spans="2:38" x14ac:dyDescent="0.25">
      <c r="B26" s="2">
        <f t="shared" si="10"/>
        <v>2040</v>
      </c>
      <c r="C26" s="149">
        <f t="shared" si="7"/>
        <v>10857.65</v>
      </c>
      <c r="D26" s="149">
        <f t="shared" si="8"/>
        <v>114074.008</v>
      </c>
      <c r="E26" s="149">
        <f>IF($B26&gt;Assumptions!$D$9,0,SUM(C26:C26)-SUM(D26:D26))</f>
        <v>-103216.35800000001</v>
      </c>
      <c r="F26" s="157">
        <f>$E26*(1+0.07)^-(B26-Assumptions!$D$4)</f>
        <v>-24928.101222840451</v>
      </c>
      <c r="H26" s="280" t="s">
        <v>485</v>
      </c>
      <c r="I26" s="281"/>
      <c r="J26" s="281"/>
      <c r="K26" s="282" t="s">
        <v>93</v>
      </c>
      <c r="L26" s="25" t="s">
        <v>94</v>
      </c>
      <c r="M26" s="25" t="s">
        <v>95</v>
      </c>
      <c r="N26" s="283" t="s">
        <v>65</v>
      </c>
      <c r="O26" s="284">
        <v>2021</v>
      </c>
      <c r="P26" s="284">
        <v>2022</v>
      </c>
      <c r="Q26" s="284">
        <v>2023</v>
      </c>
      <c r="R26" s="284">
        <v>2024</v>
      </c>
      <c r="S26" s="284">
        <v>2025</v>
      </c>
      <c r="T26" s="284">
        <v>2026</v>
      </c>
      <c r="U26" s="284">
        <v>2027</v>
      </c>
      <c r="V26" s="284">
        <v>2028</v>
      </c>
      <c r="W26" s="284">
        <v>2029</v>
      </c>
      <c r="X26" s="284">
        <v>2030</v>
      </c>
      <c r="Y26" s="284">
        <v>2031</v>
      </c>
      <c r="Z26" s="284">
        <v>2032</v>
      </c>
      <c r="AA26" s="284">
        <v>2033</v>
      </c>
      <c r="AB26" s="284">
        <v>2034</v>
      </c>
      <c r="AC26" s="284">
        <v>2035</v>
      </c>
      <c r="AD26" s="284">
        <v>2036</v>
      </c>
      <c r="AE26" s="284">
        <v>2037</v>
      </c>
      <c r="AF26" s="284">
        <v>2038</v>
      </c>
      <c r="AG26" s="284">
        <v>2039</v>
      </c>
      <c r="AH26" s="285">
        <v>2040</v>
      </c>
      <c r="AI26" s="285">
        <f>AH26+1</f>
        <v>2041</v>
      </c>
      <c r="AJ26" s="285">
        <f t="shared" ref="AJ26:AL26" si="15">AI26+1</f>
        <v>2042</v>
      </c>
      <c r="AK26" s="285">
        <f t="shared" si="15"/>
        <v>2043</v>
      </c>
      <c r="AL26" s="285">
        <f t="shared" si="15"/>
        <v>2044</v>
      </c>
    </row>
    <row r="27" spans="2:38" x14ac:dyDescent="0.25">
      <c r="B27" s="2">
        <f t="shared" si="10"/>
        <v>2041</v>
      </c>
      <c r="C27" s="149">
        <f t="shared" si="7"/>
        <v>10857.65</v>
      </c>
      <c r="D27" s="149">
        <f t="shared" si="8"/>
        <v>114074.008</v>
      </c>
      <c r="E27" s="149">
        <f>IF($B27&gt;Assumptions!$D$9,0,SUM(C27:C27)-SUM(D27:D27))</f>
        <v>-103216.35800000001</v>
      </c>
      <c r="F27" s="157">
        <f>$E27*(1+0.07)^-(B27-Assumptions!$D$4)</f>
        <v>-23297.290862467711</v>
      </c>
      <c r="H27" s="286" t="s">
        <v>206</v>
      </c>
      <c r="I27" s="287" t="e">
        <f>VLOOKUP(H27,'Capital Costs and RCV Calc'!$R$10:$U$13,3,FALSE)</f>
        <v>#N/A</v>
      </c>
      <c r="J27" s="287"/>
      <c r="K27" s="288" t="s">
        <v>199</v>
      </c>
      <c r="L27" s="289" t="s">
        <v>200</v>
      </c>
      <c r="M27" s="289" t="s">
        <v>98</v>
      </c>
      <c r="N27" s="290">
        <v>3.9689999999999999</v>
      </c>
      <c r="O27" s="291"/>
      <c r="P27" s="291"/>
      <c r="Q27" s="291"/>
      <c r="R27" s="291"/>
      <c r="S27" s="291"/>
      <c r="T27" s="291"/>
      <c r="U27" s="291"/>
      <c r="V27" s="291"/>
      <c r="W27" s="291"/>
      <c r="X27" s="291"/>
      <c r="Y27" s="291"/>
      <c r="Z27" s="291"/>
      <c r="AA27" s="291"/>
      <c r="AB27" s="291"/>
      <c r="AC27" s="291"/>
      <c r="AD27" s="291"/>
      <c r="AE27" s="291"/>
      <c r="AF27" s="291"/>
      <c r="AG27" s="291"/>
      <c r="AH27" s="292"/>
      <c r="AI27" s="292"/>
      <c r="AJ27" s="292"/>
      <c r="AK27" s="292"/>
      <c r="AL27" s="292"/>
    </row>
    <row r="28" spans="2:38" x14ac:dyDescent="0.25">
      <c r="B28" s="2">
        <f t="shared" si="10"/>
        <v>2042</v>
      </c>
      <c r="C28" s="149">
        <f t="shared" si="7"/>
        <v>10857.65</v>
      </c>
      <c r="D28" s="149">
        <f t="shared" si="8"/>
        <v>114074.008</v>
      </c>
      <c r="E28" s="149">
        <f>IF($B28&gt;Assumptions!$D$9,0,SUM(C28:C28)-SUM(D28:D28))</f>
        <v>-103216.35800000001</v>
      </c>
      <c r="F28" s="157">
        <f>$E28*(1+0.07)^-(B28-Assumptions!$D$4)</f>
        <v>-21773.169030343652</v>
      </c>
      <c r="H28" s="286" t="s">
        <v>206</v>
      </c>
      <c r="I28" s="287" t="e">
        <f>VLOOKUP(H28,'Capital Costs and RCV Calc'!$R$10:$U$13,3,FALSE)</f>
        <v>#N/A</v>
      </c>
      <c r="J28" s="287"/>
      <c r="K28" s="288" t="s">
        <v>199</v>
      </c>
      <c r="L28" s="289" t="s">
        <v>98</v>
      </c>
      <c r="M28" s="289" t="s">
        <v>119</v>
      </c>
      <c r="N28" s="290">
        <v>0.28899999999999998</v>
      </c>
      <c r="O28" s="291"/>
      <c r="P28" s="291"/>
      <c r="Q28" s="291"/>
      <c r="R28" s="291"/>
      <c r="S28" s="291"/>
      <c r="T28" s="291"/>
      <c r="U28" s="291"/>
      <c r="V28" s="291"/>
      <c r="W28" s="291"/>
      <c r="X28" s="291"/>
      <c r="Y28" s="291"/>
      <c r="Z28" s="291"/>
      <c r="AA28" s="291"/>
      <c r="AB28" s="291"/>
      <c r="AC28" s="291"/>
      <c r="AD28" s="291"/>
      <c r="AE28" s="291"/>
      <c r="AF28" s="291"/>
      <c r="AG28" s="291"/>
      <c r="AH28" s="292"/>
      <c r="AI28" s="292"/>
      <c r="AJ28" s="292"/>
      <c r="AK28" s="292"/>
      <c r="AL28" s="292"/>
    </row>
    <row r="29" spans="2:38" x14ac:dyDescent="0.25">
      <c r="B29" s="2">
        <f t="shared" si="10"/>
        <v>2043</v>
      </c>
      <c r="C29" s="149">
        <f t="shared" si="7"/>
        <v>10857.65</v>
      </c>
      <c r="D29" s="149">
        <f t="shared" si="8"/>
        <v>114074.008</v>
      </c>
      <c r="E29" s="149">
        <f>IF($B29&gt;Assumptions!$D$9,0,SUM(C29:C29)-SUM(D29:D29))</f>
        <v>-103216.35800000001</v>
      </c>
      <c r="F29" s="157">
        <f>$E29*(1+0.07)^-(B29-Assumptions!$D$4)</f>
        <v>-20348.75610312491</v>
      </c>
      <c r="H29" s="286" t="s">
        <v>206</v>
      </c>
      <c r="I29" s="287" t="e">
        <f>VLOOKUP(H29,'Capital Costs and RCV Calc'!$R$10:$U$13,3,FALSE)</f>
        <v>#N/A</v>
      </c>
      <c r="J29" s="287"/>
      <c r="K29" s="288" t="s">
        <v>199</v>
      </c>
      <c r="L29" s="289" t="s">
        <v>119</v>
      </c>
      <c r="M29" s="289" t="s">
        <v>139</v>
      </c>
      <c r="N29" s="290">
        <v>2.7429999999999999</v>
      </c>
      <c r="O29" s="291"/>
      <c r="P29" s="291"/>
      <c r="Q29" s="291"/>
      <c r="R29" s="291"/>
      <c r="S29" s="291"/>
      <c r="T29" s="291"/>
      <c r="U29" s="291"/>
      <c r="V29" s="291"/>
      <c r="W29" s="291"/>
      <c r="X29" s="291"/>
      <c r="Y29" s="291"/>
      <c r="Z29" s="291"/>
      <c r="AA29" s="291"/>
      <c r="AB29" s="291"/>
      <c r="AC29" s="291"/>
      <c r="AD29" s="291"/>
      <c r="AE29" s="291"/>
      <c r="AF29" s="291"/>
      <c r="AG29" s="291"/>
      <c r="AH29" s="292"/>
      <c r="AI29" s="292"/>
      <c r="AJ29" s="292"/>
      <c r="AK29" s="292"/>
      <c r="AL29" s="292"/>
    </row>
    <row r="30" spans="2:38" x14ac:dyDescent="0.25">
      <c r="B30" s="2">
        <f t="shared" si="10"/>
        <v>2044</v>
      </c>
      <c r="C30" s="149">
        <f t="shared" si="7"/>
        <v>10857.7</v>
      </c>
      <c r="D30" s="149">
        <f t="shared" si="8"/>
        <v>114074.41899999999</v>
      </c>
      <c r="E30" s="149">
        <f>IF($B30&gt;Assumptions!$D$9,0,SUM(C30:C30)-SUM(D30:D30))</f>
        <v>-103216.719</v>
      </c>
      <c r="F30" s="157">
        <f>$E30*(1+0.07)^-(B30-Assumptions!$D$4)</f>
        <v>-19017.595582294118</v>
      </c>
      <c r="H30" s="286" t="s">
        <v>206</v>
      </c>
      <c r="I30" s="287" t="e">
        <f>VLOOKUP(H30,'Capital Costs and RCV Calc'!$R$10:$U$13,3,FALSE)</f>
        <v>#N/A</v>
      </c>
      <c r="J30" s="287"/>
      <c r="K30" s="288" t="s">
        <v>199</v>
      </c>
      <c r="L30" s="289" t="s">
        <v>139</v>
      </c>
      <c r="M30" s="289" t="s">
        <v>159</v>
      </c>
      <c r="N30" s="290">
        <v>7.9279999999999999</v>
      </c>
      <c r="O30" s="291"/>
      <c r="P30" s="291"/>
      <c r="Q30" s="291"/>
      <c r="R30" s="291"/>
      <c r="S30" s="291"/>
      <c r="T30" s="291"/>
      <c r="U30" s="291"/>
      <c r="V30" s="291"/>
      <c r="W30" s="291"/>
      <c r="X30" s="291"/>
      <c r="Y30" s="291"/>
      <c r="Z30" s="291"/>
      <c r="AA30" s="291"/>
      <c r="AB30" s="291"/>
      <c r="AC30" s="291"/>
      <c r="AD30" s="291"/>
      <c r="AE30" s="291"/>
      <c r="AF30" s="291"/>
      <c r="AG30" s="291"/>
      <c r="AH30" s="292"/>
      <c r="AI30" s="292"/>
      <c r="AJ30" s="292"/>
      <c r="AK30" s="292"/>
      <c r="AL30" s="292"/>
    </row>
    <row r="31" spans="2:38" x14ac:dyDescent="0.25">
      <c r="B31" s="2">
        <f t="shared" si="10"/>
        <v>2045</v>
      </c>
      <c r="C31" s="149">
        <f t="shared" si="7"/>
        <v>0</v>
      </c>
      <c r="D31" s="149">
        <f t="shared" si="8"/>
        <v>0</v>
      </c>
      <c r="E31" s="149">
        <f>IF($B31&gt;Assumptions!$D$9,0,SUM(C31:C31)-SUM(D31:D31))</f>
        <v>0</v>
      </c>
      <c r="F31" s="157">
        <f>$E31*(1+0.07)^-(B31-Assumptions!$D$4)</f>
        <v>0</v>
      </c>
      <c r="H31" s="293" t="s">
        <v>204</v>
      </c>
      <c r="I31" s="294" t="e">
        <f>VLOOKUP(H31,'Capital Costs and RCV Calc'!$R$10:$U$13,3,FALSE)</f>
        <v>#N/A</v>
      </c>
      <c r="J31" s="294"/>
      <c r="K31" s="295" t="s">
        <v>199</v>
      </c>
      <c r="L31" s="296" t="s">
        <v>159</v>
      </c>
      <c r="M31" s="296" t="s">
        <v>179</v>
      </c>
      <c r="N31" s="297">
        <v>13.079000000000001</v>
      </c>
      <c r="O31" s="298" t="s">
        <v>201</v>
      </c>
      <c r="P31" s="298" t="s">
        <v>99</v>
      </c>
      <c r="Q31" s="298" t="s">
        <v>1711</v>
      </c>
      <c r="R31" s="298" t="s">
        <v>1712</v>
      </c>
      <c r="S31" s="298" t="s">
        <v>1713</v>
      </c>
      <c r="T31" s="298" t="s">
        <v>1714</v>
      </c>
      <c r="U31" s="298" t="s">
        <v>1715</v>
      </c>
      <c r="V31" s="298" t="s">
        <v>1716</v>
      </c>
      <c r="W31" s="298" t="s">
        <v>1717</v>
      </c>
      <c r="X31" s="298" t="s">
        <v>1718</v>
      </c>
      <c r="Y31" s="298" t="s">
        <v>1719</v>
      </c>
      <c r="Z31" s="298" t="s">
        <v>1720</v>
      </c>
      <c r="AA31" s="298" t="s">
        <v>1721</v>
      </c>
      <c r="AB31" s="298" t="s">
        <v>1722</v>
      </c>
      <c r="AC31" s="298" t="s">
        <v>1723</v>
      </c>
      <c r="AD31" s="298" t="s">
        <v>1724</v>
      </c>
      <c r="AE31" s="298" t="s">
        <v>1725</v>
      </c>
      <c r="AF31" s="298" t="s">
        <v>1726</v>
      </c>
      <c r="AG31" s="298" t="s">
        <v>1727</v>
      </c>
      <c r="AH31" s="299" t="s">
        <v>1728</v>
      </c>
      <c r="AI31" s="299" t="s">
        <v>1728</v>
      </c>
      <c r="AJ31" s="299" t="s">
        <v>1728</v>
      </c>
      <c r="AK31" s="299" t="s">
        <v>1728</v>
      </c>
      <c r="AL31" s="299" t="s">
        <v>1740</v>
      </c>
    </row>
    <row r="32" spans="2:38" ht="15.75" thickBot="1" x14ac:dyDescent="0.3">
      <c r="B32" s="2">
        <f t="shared" si="10"/>
        <v>2046</v>
      </c>
      <c r="C32" s="149">
        <f t="shared" si="7"/>
        <v>0</v>
      </c>
      <c r="D32" s="149">
        <f t="shared" si="8"/>
        <v>0</v>
      </c>
      <c r="E32" s="149">
        <f>IF($B32&gt;Assumptions!$D$9,0,SUM(C32:C32)-SUM(D32:D32))</f>
        <v>0</v>
      </c>
      <c r="F32" s="157">
        <f>$E32*(1+0.07)^-(B32-Assumptions!$D$4)</f>
        <v>0</v>
      </c>
      <c r="H32" s="300"/>
      <c r="I32" s="301"/>
      <c r="J32" s="301"/>
      <c r="K32" s="302"/>
      <c r="L32" s="301"/>
      <c r="M32" s="301"/>
      <c r="N32" s="303" t="s">
        <v>4</v>
      </c>
      <c r="O32" s="304">
        <f>O21+O22+O23+O24+O25+O27+O28+O29+O30+O31</f>
        <v>60575.6</v>
      </c>
      <c r="P32" s="304">
        <f>P21+P22+P23+P24+P25+P27+P28+P29+P30+P31</f>
        <v>36505.106499999994</v>
      </c>
      <c r="Q32" s="304">
        <f>Q21+Q22+Q23+Q24+Q25+Q27+Q28+Q29+Q30+Q31</f>
        <v>43534.633000000002</v>
      </c>
      <c r="R32" s="304">
        <f>R21+R22+R23+R24+R25+R27+R28+R29+R30+R31</f>
        <v>11252.839</v>
      </c>
      <c r="S32" s="304">
        <f>S21+S22+S23+S24+S25+S27+S28+S29+S30+S31</f>
        <v>17768.067999999999</v>
      </c>
      <c r="T32" s="304">
        <f t="shared" ref="T32:AH32" si="16">T21+T22+T23+T24+T25+T27+T28+T29+T30+T31</f>
        <v>24283.317999999999</v>
      </c>
      <c r="U32" s="304">
        <f t="shared" si="16"/>
        <v>30798.496999999999</v>
      </c>
      <c r="V32" s="304">
        <f t="shared" si="16"/>
        <v>37313.726999999999</v>
      </c>
      <c r="W32" s="304">
        <f t="shared" si="16"/>
        <v>43828.975999999995</v>
      </c>
      <c r="X32" s="304">
        <f t="shared" si="16"/>
        <v>50344.216</v>
      </c>
      <c r="Y32" s="304">
        <f t="shared" si="16"/>
        <v>56859.464999999997</v>
      </c>
      <c r="Z32" s="304">
        <f t="shared" si="16"/>
        <v>63374.714999999997</v>
      </c>
      <c r="AA32" s="304">
        <f t="shared" si="16"/>
        <v>69889.964000000007</v>
      </c>
      <c r="AB32" s="304">
        <f t="shared" si="16"/>
        <v>76405.103999999992</v>
      </c>
      <c r="AC32" s="304">
        <f t="shared" si="16"/>
        <v>82920.353000000003</v>
      </c>
      <c r="AD32" s="304">
        <f t="shared" si="16"/>
        <v>88013.179000000004</v>
      </c>
      <c r="AE32" s="304">
        <f t="shared" si="16"/>
        <v>94528.328999999998</v>
      </c>
      <c r="AF32" s="304">
        <f t="shared" si="16"/>
        <v>101043.57800000001</v>
      </c>
      <c r="AG32" s="304">
        <f t="shared" si="16"/>
        <v>107558.758</v>
      </c>
      <c r="AH32" s="305">
        <f t="shared" si="16"/>
        <v>114074.008</v>
      </c>
      <c r="AI32" s="305">
        <f t="shared" ref="AI32:AK32" si="17">AI21+AI22+AI23+AI24+AI25+AI27+AI28+AI29+AI30+AI31</f>
        <v>114074.008</v>
      </c>
      <c r="AJ32" s="305">
        <f t="shared" si="17"/>
        <v>114074.008</v>
      </c>
      <c r="AK32" s="305">
        <f t="shared" si="17"/>
        <v>114074.008</v>
      </c>
      <c r="AL32" s="305">
        <f t="shared" ref="AL32" si="18">AL21+AL22+AL23+AL24+AL25+AL27+AL28+AL29+AL30+AL31</f>
        <v>114074.41899999999</v>
      </c>
    </row>
    <row r="33" spans="2:16" x14ac:dyDescent="0.25">
      <c r="B33" s="2">
        <f t="shared" si="10"/>
        <v>2047</v>
      </c>
      <c r="C33" s="149">
        <f t="shared" si="7"/>
        <v>0</v>
      </c>
      <c r="D33" s="149">
        <f t="shared" si="8"/>
        <v>0</v>
      </c>
      <c r="E33" s="149">
        <f>IF($B33&gt;Assumptions!$D$9,0,SUM(C33:C33)-SUM(D33:D33))</f>
        <v>0</v>
      </c>
      <c r="F33" s="157">
        <f>$E33*(1+0.07)^-(B33-Assumptions!$D$4)</f>
        <v>0</v>
      </c>
    </row>
    <row r="34" spans="2:16" x14ac:dyDescent="0.25">
      <c r="B34" s="2">
        <f t="shared" si="10"/>
        <v>2048</v>
      </c>
      <c r="C34" s="149">
        <f t="shared" si="7"/>
        <v>0</v>
      </c>
      <c r="D34" s="149">
        <f t="shared" si="8"/>
        <v>0</v>
      </c>
      <c r="E34" s="149">
        <f>IF($B34&gt;Assumptions!$D$9,0,SUM(C34:C34)-SUM(D34:D34))</f>
        <v>0</v>
      </c>
      <c r="F34" s="157">
        <f>$E34*(1+0.07)^-(B34-Assumptions!$D$4)</f>
        <v>0</v>
      </c>
    </row>
    <row r="35" spans="2:16" x14ac:dyDescent="0.25">
      <c r="B35" s="2">
        <f t="shared" si="10"/>
        <v>2049</v>
      </c>
      <c r="C35" s="149">
        <f t="shared" si="7"/>
        <v>0</v>
      </c>
      <c r="D35" s="149">
        <f t="shared" si="8"/>
        <v>0</v>
      </c>
      <c r="E35" s="149">
        <f>IF($B35&gt;Assumptions!$D$9,0,SUM(C35:C35)-SUM(D35:D35))</f>
        <v>0</v>
      </c>
      <c r="F35" s="157">
        <f>$E35*(1+0.07)^-(B35-Assumptions!$D$4)</f>
        <v>0</v>
      </c>
    </row>
    <row r="36" spans="2:16" x14ac:dyDescent="0.25">
      <c r="B36" s="2">
        <f t="shared" si="10"/>
        <v>2050</v>
      </c>
      <c r="C36" s="149">
        <f t="shared" si="7"/>
        <v>0</v>
      </c>
      <c r="D36" s="149">
        <f t="shared" si="8"/>
        <v>0</v>
      </c>
      <c r="E36" s="149">
        <f>IF($B36&gt;Assumptions!$D$9,0,SUM(C36:C36)-SUM(D36:D36))</f>
        <v>0</v>
      </c>
      <c r="F36" s="157">
        <f>$E36*(1+0.07)^-(B36-Assumptions!$D$4)</f>
        <v>0</v>
      </c>
    </row>
    <row r="37" spans="2:16" x14ac:dyDescent="0.25">
      <c r="B37" s="2">
        <f t="shared" si="10"/>
        <v>2051</v>
      </c>
      <c r="C37" s="149">
        <f t="shared" si="7"/>
        <v>0</v>
      </c>
      <c r="D37" s="149">
        <f t="shared" si="8"/>
        <v>0</v>
      </c>
      <c r="E37" s="149">
        <f>IF($B37&gt;Assumptions!$D$9,0,SUM(C37:C37)-SUM(D37:D37))</f>
        <v>0</v>
      </c>
      <c r="F37" s="157">
        <f>$E37*(1+0.07)^-(B37-Assumptions!$D$4)</f>
        <v>0</v>
      </c>
    </row>
    <row r="38" spans="2:16" x14ac:dyDescent="0.25">
      <c r="B38" s="2">
        <f t="shared" si="10"/>
        <v>2052</v>
      </c>
      <c r="C38" s="149">
        <f t="shared" si="7"/>
        <v>0</v>
      </c>
      <c r="D38" s="149">
        <f t="shared" si="8"/>
        <v>0</v>
      </c>
      <c r="E38" s="149">
        <f>IF($B38&gt;Assumptions!$D$9,0,SUM(C38:C38)-SUM(D38:D38))</f>
        <v>0</v>
      </c>
      <c r="F38" s="157">
        <f>$E38*(1+0.07)^-(B38-Assumptions!$D$4)</f>
        <v>0</v>
      </c>
    </row>
    <row r="39" spans="2:16" x14ac:dyDescent="0.25">
      <c r="B39" s="2">
        <f t="shared" si="10"/>
        <v>2053</v>
      </c>
      <c r="C39" s="149">
        <f t="shared" si="7"/>
        <v>0</v>
      </c>
      <c r="D39" s="149">
        <f t="shared" si="8"/>
        <v>0</v>
      </c>
      <c r="E39" s="149">
        <f>IF($B39&gt;Assumptions!$D$9,0,SUM(C39:C39)-SUM(D39:D39))</f>
        <v>0</v>
      </c>
      <c r="F39" s="157">
        <f>$E39*(1+0.07)^-(B39-Assumptions!$D$4)</f>
        <v>0</v>
      </c>
    </row>
    <row r="40" spans="2:16" x14ac:dyDescent="0.25">
      <c r="B40" s="2">
        <f t="shared" si="10"/>
        <v>2054</v>
      </c>
      <c r="C40" s="149">
        <f t="shared" si="7"/>
        <v>0</v>
      </c>
      <c r="D40" s="149">
        <f t="shared" si="8"/>
        <v>0</v>
      </c>
      <c r="E40" s="149">
        <f>IF($B40&gt;Assumptions!$D$9,0,SUM(C40:C40)-SUM(D40:D40))</f>
        <v>0</v>
      </c>
      <c r="F40" s="157">
        <f>$E40*(1+0.07)^-(B40-Assumptions!$D$4)</f>
        <v>0</v>
      </c>
    </row>
    <row r="41" spans="2:16" x14ac:dyDescent="0.25">
      <c r="B41" s="2">
        <f t="shared" si="10"/>
        <v>2055</v>
      </c>
      <c r="C41" s="149">
        <f t="shared" si="7"/>
        <v>0</v>
      </c>
      <c r="D41" s="149">
        <f t="shared" si="8"/>
        <v>0</v>
      </c>
      <c r="E41" s="149">
        <f>IF($B41&gt;Assumptions!$D$9,0,SUM(C41:C41)-SUM(D41:D41))</f>
        <v>0</v>
      </c>
      <c r="F41" s="157">
        <f>$E41*(1+0.07)^-(B41-Assumptions!$D$4)</f>
        <v>0</v>
      </c>
    </row>
    <row r="42" spans="2:16" x14ac:dyDescent="0.25">
      <c r="B42" s="2">
        <f t="shared" si="10"/>
        <v>2056</v>
      </c>
      <c r="C42" s="149">
        <f t="shared" si="7"/>
        <v>0</v>
      </c>
      <c r="D42" s="149">
        <f t="shared" si="8"/>
        <v>0</v>
      </c>
      <c r="E42" s="149">
        <f>IF($B42&gt;Assumptions!$D$9,0,SUM(C42:C42)-SUM(D42:D42))</f>
        <v>0</v>
      </c>
      <c r="F42" s="157">
        <f>$E42*(1+0.07)^-(B42-Assumptions!$D$4)</f>
        <v>0</v>
      </c>
    </row>
    <row r="43" spans="2:16" x14ac:dyDescent="0.25">
      <c r="B43" s="2">
        <f t="shared" si="10"/>
        <v>2057</v>
      </c>
      <c r="C43" s="149">
        <f t="shared" si="7"/>
        <v>0</v>
      </c>
      <c r="D43" s="149">
        <f t="shared" si="8"/>
        <v>0</v>
      </c>
      <c r="E43" s="149">
        <f>IF($B43&gt;Assumptions!$D$9,0,SUM(C43:C43)-SUM(D43:D43))</f>
        <v>0</v>
      </c>
      <c r="F43" s="157">
        <f>$E43*(1+0.07)^-(B43-Assumptions!$D$4)</f>
        <v>0</v>
      </c>
    </row>
    <row r="44" spans="2:16" x14ac:dyDescent="0.25">
      <c r="B44" s="2">
        <f t="shared" si="10"/>
        <v>2058</v>
      </c>
      <c r="C44" s="149">
        <f t="shared" si="7"/>
        <v>0</v>
      </c>
      <c r="D44" s="149">
        <f t="shared" si="8"/>
        <v>0</v>
      </c>
      <c r="E44" s="149">
        <f>IF($B44&gt;Assumptions!$D$9,0,SUM(C44:C44)-SUM(D44:D44))</f>
        <v>0</v>
      </c>
      <c r="F44" s="157">
        <f>$E44*(1+0.07)^-(B44-Assumptions!$D$4)</f>
        <v>0</v>
      </c>
    </row>
    <row r="45" spans="2:16" x14ac:dyDescent="0.25">
      <c r="B45" s="2">
        <f t="shared" si="10"/>
        <v>2059</v>
      </c>
      <c r="C45" s="149">
        <f t="shared" si="7"/>
        <v>0</v>
      </c>
      <c r="D45" s="149">
        <f t="shared" si="8"/>
        <v>0</v>
      </c>
      <c r="E45" s="149">
        <f>IF($B45&gt;Assumptions!$D$9,0,SUM(C45:C45)-SUM(D45:D45))</f>
        <v>0</v>
      </c>
      <c r="F45" s="157">
        <f>$E45*(1+0.07)^-(B45-Assumptions!$D$4)</f>
        <v>0</v>
      </c>
    </row>
    <row r="46" spans="2:16" x14ac:dyDescent="0.25">
      <c r="B46" s="2">
        <f t="shared" si="10"/>
        <v>2060</v>
      </c>
      <c r="C46" s="149">
        <f t="shared" si="7"/>
        <v>0</v>
      </c>
      <c r="D46" s="149">
        <f t="shared" si="8"/>
        <v>0</v>
      </c>
      <c r="E46" s="149">
        <f>IF($B46&gt;Assumptions!$D$9,0,SUM(C46:C46)-SUM(D46:D46))</f>
        <v>0</v>
      </c>
      <c r="F46" s="157">
        <f>$E46*(1+0.07)^-(B46-Assumptions!$D$4)</f>
        <v>0</v>
      </c>
    </row>
    <row r="47" spans="2:16" ht="15.75" thickBot="1" x14ac:dyDescent="0.3">
      <c r="B47" s="3">
        <f t="shared" si="10"/>
        <v>2061</v>
      </c>
      <c r="C47" s="150">
        <f t="shared" si="7"/>
        <v>0</v>
      </c>
      <c r="D47" s="150">
        <f t="shared" si="8"/>
        <v>0</v>
      </c>
      <c r="E47" s="150">
        <f>IF($B47&gt;Assumptions!$D$9,0,SUM(C47:C47)-SUM(D47:D47))</f>
        <v>0</v>
      </c>
      <c r="F47" s="158">
        <f>$E47*(1+0.07)^-(B47-Assumptions!$D$4)</f>
        <v>0</v>
      </c>
    </row>
    <row r="48" spans="2:16" ht="15" customHeight="1" x14ac:dyDescent="0.25">
      <c r="B48" s="4"/>
      <c r="C48" s="137"/>
      <c r="F48" s="143">
        <f>SUM(F7:F47)</f>
        <v>53889.655811411241</v>
      </c>
      <c r="M48" s="428"/>
      <c r="N48" s="428"/>
      <c r="O48" s="428"/>
      <c r="P48" s="428"/>
    </row>
    <row r="49" spans="1:16" x14ac:dyDescent="0.25">
      <c r="B49" s="4"/>
      <c r="C49" s="137"/>
      <c r="M49" s="428"/>
      <c r="N49" s="428"/>
      <c r="O49" s="428"/>
      <c r="P49" s="428"/>
    </row>
    <row r="50" spans="1:16" x14ac:dyDescent="0.25">
      <c r="A50" s="7" t="s">
        <v>13</v>
      </c>
      <c r="M50" s="428"/>
      <c r="N50" s="428"/>
      <c r="O50" s="428"/>
      <c r="P50" s="428"/>
    </row>
    <row r="51" spans="1:16" x14ac:dyDescent="0.25">
      <c r="B51" s="6" t="s">
        <v>3</v>
      </c>
      <c r="M51" s="428"/>
      <c r="N51" s="11"/>
      <c r="O51" s="11"/>
      <c r="P51" s="428"/>
    </row>
    <row r="52" spans="1:16" x14ac:dyDescent="0.25">
      <c r="B52" s="698" t="s">
        <v>1702</v>
      </c>
      <c r="C52" s="698"/>
      <c r="D52" s="698"/>
      <c r="E52" s="698"/>
      <c r="F52" s="698"/>
      <c r="M52" s="428"/>
      <c r="N52" s="428"/>
      <c r="O52" s="428"/>
      <c r="P52" s="428"/>
    </row>
    <row r="53" spans="1:16" x14ac:dyDescent="0.25">
      <c r="B53" s="698"/>
      <c r="C53" s="698"/>
      <c r="D53" s="698"/>
      <c r="E53" s="698"/>
      <c r="F53" s="698"/>
      <c r="M53" s="428"/>
      <c r="N53" s="428"/>
      <c r="O53" s="428"/>
      <c r="P53" s="428"/>
    </row>
    <row r="54" spans="1:16" x14ac:dyDescent="0.25">
      <c r="B54" s="698"/>
      <c r="C54" s="698"/>
      <c r="D54" s="698"/>
      <c r="E54" s="698"/>
      <c r="F54" s="698"/>
      <c r="M54" s="428"/>
      <c r="N54" s="428"/>
      <c r="O54" s="428"/>
      <c r="P54" s="428"/>
    </row>
    <row r="55" spans="1:16" x14ac:dyDescent="0.25">
      <c r="B55" s="698"/>
      <c r="C55" s="698"/>
      <c r="D55" s="698"/>
      <c r="E55" s="698"/>
      <c r="F55" s="698"/>
      <c r="M55" s="428"/>
      <c r="N55" s="428"/>
      <c r="O55" s="428"/>
      <c r="P55" s="428"/>
    </row>
    <row r="56" spans="1:16" x14ac:dyDescent="0.25">
      <c r="B56" s="698"/>
      <c r="C56" s="698"/>
      <c r="D56" s="698"/>
      <c r="E56" s="698"/>
      <c r="F56" s="698"/>
      <c r="M56" s="428"/>
      <c r="N56" s="428"/>
      <c r="O56" s="428"/>
      <c r="P56" s="428"/>
    </row>
    <row r="57" spans="1:16" x14ac:dyDescent="0.25">
      <c r="B57" s="698"/>
      <c r="C57" s="698"/>
      <c r="D57" s="698"/>
      <c r="E57" s="698"/>
      <c r="F57" s="698"/>
      <c r="M57" s="428"/>
      <c r="N57" s="428"/>
      <c r="O57" s="428"/>
      <c r="P57" s="428"/>
    </row>
    <row r="58" spans="1:16" x14ac:dyDescent="0.25">
      <c r="B58" s="698"/>
      <c r="C58" s="698"/>
      <c r="D58" s="698"/>
      <c r="E58" s="698"/>
      <c r="F58" s="698"/>
      <c r="M58" s="428"/>
      <c r="N58" s="428"/>
      <c r="O58" s="428"/>
      <c r="P58" s="428"/>
    </row>
    <row r="59" spans="1:16" x14ac:dyDescent="0.25">
      <c r="B59" s="698"/>
      <c r="C59" s="698"/>
      <c r="D59" s="698"/>
      <c r="E59" s="698"/>
      <c r="F59" s="698"/>
      <c r="M59" s="428"/>
      <c r="N59" s="428"/>
      <c r="O59" s="428"/>
      <c r="P59" s="428"/>
    </row>
    <row r="60" spans="1:16" x14ac:dyDescent="0.25">
      <c r="B60" s="698"/>
      <c r="C60" s="698"/>
      <c r="D60" s="698"/>
      <c r="E60" s="698"/>
      <c r="F60" s="698"/>
      <c r="M60" s="428"/>
      <c r="N60" s="428"/>
      <c r="O60" s="428"/>
      <c r="P60" s="428"/>
    </row>
    <row r="61" spans="1:16" x14ac:dyDescent="0.25">
      <c r="B61" s="698"/>
      <c r="C61" s="698"/>
      <c r="D61" s="698"/>
      <c r="E61" s="698"/>
      <c r="F61" s="698"/>
    </row>
    <row r="62" spans="1:16" x14ac:dyDescent="0.25">
      <c r="B62" s="698"/>
      <c r="C62" s="698"/>
      <c r="D62" s="698"/>
      <c r="E62" s="698"/>
      <c r="F62" s="698"/>
    </row>
    <row r="63" spans="1:16" x14ac:dyDescent="0.25">
      <c r="B63" s="26"/>
      <c r="C63" s="26"/>
      <c r="D63" s="26"/>
      <c r="E63" s="26"/>
      <c r="F63" s="26"/>
    </row>
  </sheetData>
  <mergeCells count="8">
    <mergeCell ref="AI5:AK5"/>
    <mergeCell ref="F5:F6"/>
    <mergeCell ref="B52:F62"/>
    <mergeCell ref="C4:D4"/>
    <mergeCell ref="B5:B6"/>
    <mergeCell ref="C5:C6"/>
    <mergeCell ref="D5:D6"/>
    <mergeCell ref="E5:E6"/>
  </mergeCells>
  <phoneticPr fontId="45" type="noConversion"/>
  <pageMargins left="0.25" right="0.25" top="0.75" bottom="0.75" header="0.3" footer="0.3"/>
  <pageSetup scale="5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AE52"/>
  <sheetViews>
    <sheetView view="pageBreakPreview" zoomScale="85" zoomScaleNormal="55" zoomScaleSheetLayoutView="85" workbookViewId="0">
      <selection activeCell="J10" sqref="J10"/>
    </sheetView>
  </sheetViews>
  <sheetFormatPr defaultRowHeight="15" x14ac:dyDescent="0.25"/>
  <cols>
    <col min="1" max="1" width="3.5703125" customWidth="1"/>
    <col min="2" max="4" width="15.7109375" customWidth="1"/>
    <col min="5" max="9" width="15.7109375" style="459" customWidth="1"/>
    <col min="10" max="10" width="15.7109375" customWidth="1"/>
    <col min="11" max="11" width="15.7109375" style="459" customWidth="1"/>
    <col min="12" max="13" width="15.7109375" customWidth="1"/>
    <col min="14" max="14" width="23.5703125" customWidth="1"/>
    <col min="15" max="16" width="16.85546875" customWidth="1"/>
    <col min="17" max="20" width="16.85546875" style="73" customWidth="1"/>
    <col min="21" max="21" width="13.85546875" style="152" bestFit="1" customWidth="1"/>
    <col min="22" max="22" width="16.42578125" customWidth="1"/>
    <col min="23" max="30" width="14.85546875" customWidth="1"/>
  </cols>
  <sheetData>
    <row r="1" spans="1:31" x14ac:dyDescent="0.25">
      <c r="A1" s="19"/>
      <c r="B1">
        <v>1</v>
      </c>
      <c r="C1">
        <f>B1+1</f>
        <v>2</v>
      </c>
      <c r="D1" s="459">
        <f t="shared" ref="D1:K1" si="0">C1+1</f>
        <v>3</v>
      </c>
      <c r="E1" s="459">
        <f t="shared" si="0"/>
        <v>4</v>
      </c>
      <c r="F1" s="459">
        <f t="shared" si="0"/>
        <v>5</v>
      </c>
      <c r="G1" s="459">
        <f t="shared" si="0"/>
        <v>6</v>
      </c>
      <c r="H1" s="459">
        <f t="shared" si="0"/>
        <v>7</v>
      </c>
      <c r="I1" s="459">
        <f t="shared" si="0"/>
        <v>8</v>
      </c>
      <c r="J1" s="459">
        <f t="shared" si="0"/>
        <v>9</v>
      </c>
      <c r="K1" s="459">
        <f t="shared" si="0"/>
        <v>10</v>
      </c>
    </row>
    <row r="2" spans="1:31" x14ac:dyDescent="0.25">
      <c r="B2" s="6" t="s">
        <v>17</v>
      </c>
      <c r="P2" s="73"/>
      <c r="V2" s="73"/>
    </row>
    <row r="3" spans="1:31" ht="15.75" thickBot="1" x14ac:dyDescent="0.3">
      <c r="B3" s="6"/>
      <c r="P3" s="73"/>
    </row>
    <row r="4" spans="1:31" ht="15.75" thickBot="1" x14ac:dyDescent="0.3">
      <c r="C4" s="778" t="s">
        <v>1655</v>
      </c>
      <c r="D4" s="779"/>
      <c r="E4" s="778" t="s">
        <v>1656</v>
      </c>
      <c r="F4" s="779"/>
      <c r="G4" s="782" t="s">
        <v>1657</v>
      </c>
      <c r="H4" s="783"/>
      <c r="I4" s="114" t="s">
        <v>1658</v>
      </c>
      <c r="J4" s="114" t="s">
        <v>1658</v>
      </c>
      <c r="K4" s="114" t="s">
        <v>1654</v>
      </c>
      <c r="M4" s="73"/>
      <c r="N4" s="73"/>
      <c r="P4" s="73"/>
      <c r="V4" s="11"/>
      <c r="W4" s="11"/>
      <c r="X4" s="11"/>
      <c r="Y4" s="11"/>
      <c r="Z4" s="11"/>
      <c r="AA4" s="11"/>
      <c r="AB4" s="11"/>
      <c r="AC4" s="11"/>
      <c r="AD4" s="11"/>
    </row>
    <row r="5" spans="1:31" x14ac:dyDescent="0.25">
      <c r="B5" s="715" t="s">
        <v>0</v>
      </c>
      <c r="C5" s="785" t="s">
        <v>16</v>
      </c>
      <c r="D5" s="780" t="s">
        <v>1654</v>
      </c>
      <c r="E5" s="752" t="s">
        <v>16</v>
      </c>
      <c r="F5" s="780" t="s">
        <v>1654</v>
      </c>
      <c r="G5" s="752" t="s">
        <v>16</v>
      </c>
      <c r="H5" s="780" t="s">
        <v>1654</v>
      </c>
      <c r="I5" s="718" t="s">
        <v>1663</v>
      </c>
      <c r="J5" s="718" t="s">
        <v>1</v>
      </c>
      <c r="K5" s="718" t="s">
        <v>1</v>
      </c>
      <c r="M5" s="73"/>
      <c r="N5" s="6" t="s">
        <v>1704</v>
      </c>
      <c r="P5" s="73"/>
      <c r="R5" s="166"/>
      <c r="S5" s="23"/>
      <c r="T5"/>
      <c r="V5" s="11"/>
      <c r="W5" s="11"/>
      <c r="X5" s="11"/>
      <c r="Y5" s="11"/>
      <c r="Z5" s="11"/>
      <c r="AA5" s="11"/>
      <c r="AB5" s="11"/>
      <c r="AC5" s="11"/>
      <c r="AD5" s="11"/>
    </row>
    <row r="6" spans="1:31" ht="15.75" customHeight="1" thickBot="1" x14ac:dyDescent="0.3">
      <c r="B6" s="717"/>
      <c r="C6" s="786"/>
      <c r="D6" s="781"/>
      <c r="E6" s="753"/>
      <c r="F6" s="781"/>
      <c r="G6" s="753"/>
      <c r="H6" s="781"/>
      <c r="I6" s="784"/>
      <c r="J6" s="784"/>
      <c r="K6" s="784"/>
      <c r="M6" s="73"/>
      <c r="N6" s="571" t="s">
        <v>71</v>
      </c>
      <c r="O6" s="571" t="s">
        <v>488</v>
      </c>
      <c r="P6" s="571" t="s">
        <v>84</v>
      </c>
      <c r="Q6" s="571" t="s">
        <v>1659</v>
      </c>
      <c r="R6" s="571" t="s">
        <v>1660</v>
      </c>
      <c r="S6" s="580" t="s">
        <v>1661</v>
      </c>
      <c r="T6" s="571" t="s">
        <v>1654</v>
      </c>
      <c r="U6"/>
      <c r="V6" s="152"/>
      <c r="W6" s="11"/>
      <c r="X6" s="11"/>
      <c r="Y6" s="11"/>
      <c r="Z6" s="11"/>
      <c r="AA6" s="11"/>
      <c r="AB6" s="11"/>
      <c r="AC6" s="11"/>
      <c r="AD6" s="11"/>
      <c r="AE6" s="11"/>
    </row>
    <row r="7" spans="1:31" ht="15.75" customHeight="1" x14ac:dyDescent="0.25">
      <c r="B7" s="52">
        <v>2021</v>
      </c>
      <c r="C7" s="591"/>
      <c r="D7" s="592">
        <f>IF($B7=$R$7,$T$7,0)</f>
        <v>0</v>
      </c>
      <c r="E7" s="591"/>
      <c r="F7" s="592">
        <f>IF($B7=$R$9,$T$9,0)</f>
        <v>0</v>
      </c>
      <c r="G7" s="591"/>
      <c r="H7" s="592">
        <f>IF($B7=$R$8,$T$8,0)</f>
        <v>0</v>
      </c>
      <c r="I7" s="542">
        <f>SUM(C7,E7,G7)</f>
        <v>0</v>
      </c>
      <c r="J7" s="581">
        <f>SUM(I7)*(1+0.07)^-($B7-Assumptions!$D$4)</f>
        <v>0</v>
      </c>
      <c r="K7" s="581">
        <f>SUM(D7,F7,H7)*(1+0.07)^-($B7-Assumptions!$D$4)</f>
        <v>0</v>
      </c>
      <c r="M7" s="73"/>
      <c r="N7" s="573" t="s">
        <v>205</v>
      </c>
      <c r="O7" s="574">
        <v>2022</v>
      </c>
      <c r="P7" s="575">
        <f>'05HQ - Costs'!F42</f>
        <v>39037646.685182735</v>
      </c>
      <c r="Q7" s="578">
        <v>40</v>
      </c>
      <c r="R7" s="578">
        <f>Assumptions!$D$9</f>
        <v>2044</v>
      </c>
      <c r="S7" s="579">
        <f>(O7+Q7-R7)/Q7</f>
        <v>0.45</v>
      </c>
      <c r="T7" s="576">
        <f>P7*S7</f>
        <v>17566941.00833223</v>
      </c>
      <c r="U7"/>
      <c r="V7" s="152"/>
      <c r="W7" s="11"/>
      <c r="X7" s="11"/>
      <c r="Y7" s="11"/>
      <c r="Z7" s="11"/>
      <c r="AA7" s="11"/>
      <c r="AB7" s="11"/>
      <c r="AC7" s="11"/>
      <c r="AD7" s="11"/>
      <c r="AE7" s="11"/>
    </row>
    <row r="8" spans="1:31" ht="15.75" customHeight="1" x14ac:dyDescent="0.25">
      <c r="B8" s="174">
        <f>B7+1</f>
        <v>2022</v>
      </c>
      <c r="C8" s="593">
        <f>P7</f>
        <v>39037646.685182735</v>
      </c>
      <c r="D8" s="594">
        <f t="shared" ref="D8:D34" si="1">IF($B8=$R$7,$T$7,0)</f>
        <v>0</v>
      </c>
      <c r="E8" s="593"/>
      <c r="F8" s="594">
        <f t="shared" ref="F8:F34" si="2">IF($B8=$R$9,$T$9,0)</f>
        <v>0</v>
      </c>
      <c r="G8" s="593"/>
      <c r="H8" s="594">
        <f t="shared" ref="H8:H34" si="3">IF($B8=$R$8,$T$8,0)</f>
        <v>0</v>
      </c>
      <c r="I8" s="547">
        <f t="shared" ref="I8:I34" si="4">SUM(C8,E8,G8)</f>
        <v>39037646.685182735</v>
      </c>
      <c r="J8" s="582">
        <f>SUM(I8)*(1+0.07)^-($B8-Assumptions!$D$4)</f>
        <v>31866348.107929867</v>
      </c>
      <c r="K8" s="582">
        <f>SUM(D8,F8,H8)*(1+0.07)^-($B8-Assumptions!$D$4)</f>
        <v>0</v>
      </c>
      <c r="M8" s="73"/>
      <c r="N8" s="577" t="s">
        <v>204</v>
      </c>
      <c r="O8" s="572">
        <v>2024</v>
      </c>
      <c r="P8" s="575">
        <f>'05T2 - Costs'!F42</f>
        <v>33178550.647801571</v>
      </c>
      <c r="Q8" s="578">
        <v>40</v>
      </c>
      <c r="R8" s="578">
        <f>Assumptions!$D$9</f>
        <v>2044</v>
      </c>
      <c r="S8" s="579">
        <f t="shared" ref="S8:S9" si="5">(O8+Q8-R8)/Q8</f>
        <v>0.5</v>
      </c>
      <c r="T8" s="576">
        <f t="shared" ref="T8:T9" si="6">P8*S8</f>
        <v>16589275.323900785</v>
      </c>
      <c r="U8" s="168"/>
      <c r="V8" s="152"/>
      <c r="W8" s="11"/>
      <c r="X8" s="11"/>
      <c r="Y8" s="11"/>
      <c r="Z8" s="11"/>
      <c r="AA8" s="11"/>
      <c r="AB8" s="11"/>
      <c r="AC8" s="11"/>
      <c r="AD8" s="11"/>
      <c r="AE8" s="11"/>
    </row>
    <row r="9" spans="1:31" ht="15.75" customHeight="1" x14ac:dyDescent="0.25">
      <c r="B9" s="174">
        <f t="shared" ref="B9:B34" si="7">B8+1</f>
        <v>2023</v>
      </c>
      <c r="C9" s="593"/>
      <c r="D9" s="594">
        <f t="shared" si="1"/>
        <v>0</v>
      </c>
      <c r="E9" s="593">
        <f>P9</f>
        <v>32820048.515517816</v>
      </c>
      <c r="F9" s="594">
        <f t="shared" si="2"/>
        <v>0</v>
      </c>
      <c r="G9" s="593"/>
      <c r="H9" s="594">
        <f t="shared" si="3"/>
        <v>0</v>
      </c>
      <c r="I9" s="547">
        <f t="shared" si="4"/>
        <v>32820048.515517816</v>
      </c>
      <c r="J9" s="582">
        <f>SUM(I9)*(1+0.07)^-($B9-Assumptions!$D$4)</f>
        <v>25038257.87165603</v>
      </c>
      <c r="K9" s="582">
        <f>SUM(D9,F9,H9)*(1+0.07)^-($B9-Assumptions!$D$4)</f>
        <v>0</v>
      </c>
      <c r="M9" s="73"/>
      <c r="N9" s="577" t="s">
        <v>203</v>
      </c>
      <c r="O9" s="572">
        <v>2023</v>
      </c>
      <c r="P9" s="575">
        <f>'05T3 - Costs'!F42</f>
        <v>32820048.515517816</v>
      </c>
      <c r="Q9" s="578">
        <v>40</v>
      </c>
      <c r="R9" s="578">
        <f>Assumptions!$D$9</f>
        <v>2044</v>
      </c>
      <c r="S9" s="579">
        <f t="shared" si="5"/>
        <v>0.47499999999999998</v>
      </c>
      <c r="T9" s="576">
        <f t="shared" si="6"/>
        <v>15589523.044870961</v>
      </c>
      <c r="U9" s="168"/>
      <c r="V9" s="308"/>
      <c r="W9" s="11"/>
      <c r="X9" s="11"/>
      <c r="Y9" s="11"/>
      <c r="Z9" s="11"/>
      <c r="AA9" s="11"/>
      <c r="AB9" s="11"/>
      <c r="AC9" s="11"/>
      <c r="AD9" s="11"/>
      <c r="AE9" s="11"/>
    </row>
    <row r="10" spans="1:31" ht="15.75" customHeight="1" thickBot="1" x14ac:dyDescent="0.3">
      <c r="B10" s="378">
        <f t="shared" si="7"/>
        <v>2024</v>
      </c>
      <c r="C10" s="557"/>
      <c r="D10" s="595">
        <f t="shared" si="1"/>
        <v>0</v>
      </c>
      <c r="E10" s="557"/>
      <c r="F10" s="595">
        <f t="shared" si="2"/>
        <v>0</v>
      </c>
      <c r="G10" s="557">
        <f>P8</f>
        <v>33178550.647801571</v>
      </c>
      <c r="H10" s="595">
        <f t="shared" si="3"/>
        <v>0</v>
      </c>
      <c r="I10" s="588">
        <f t="shared" si="4"/>
        <v>33178550.647801571</v>
      </c>
      <c r="J10" s="583">
        <f>SUM(I10)*(1+0.07)^-($B10-Assumptions!$D$4)</f>
        <v>23655848.067181431</v>
      </c>
      <c r="K10" s="583">
        <f>SUM(D10,F10,H10)*(1+0.07)^-($B10-Assumptions!$D$4)</f>
        <v>0</v>
      </c>
      <c r="M10" s="73"/>
      <c r="N10" s="73"/>
      <c r="O10" s="73"/>
      <c r="P10" s="73"/>
      <c r="T10" s="587">
        <f>SUM(T7:T9)</f>
        <v>49745739.377103969</v>
      </c>
      <c r="U10" s="309"/>
      <c r="V10" s="11"/>
      <c r="W10" s="11"/>
      <c r="X10" s="11"/>
      <c r="Y10" s="11"/>
      <c r="Z10" s="11"/>
      <c r="AA10" s="11"/>
      <c r="AB10" s="11"/>
      <c r="AC10" s="11"/>
      <c r="AD10" s="11"/>
    </row>
    <row r="11" spans="1:31" ht="15.75" customHeight="1" x14ac:dyDescent="0.25">
      <c r="B11" s="53">
        <f t="shared" si="7"/>
        <v>2025</v>
      </c>
      <c r="C11" s="596"/>
      <c r="D11" s="597">
        <f t="shared" si="1"/>
        <v>0</v>
      </c>
      <c r="E11" s="598"/>
      <c r="F11" s="597">
        <f t="shared" si="2"/>
        <v>0</v>
      </c>
      <c r="G11" s="598"/>
      <c r="H11" s="597">
        <f t="shared" si="3"/>
        <v>0</v>
      </c>
      <c r="I11" s="589">
        <f t="shared" si="4"/>
        <v>0</v>
      </c>
      <c r="J11" s="552">
        <f>SUM(I11)*(1+0.07)^-($B11-Assumptions!$D$4)</f>
        <v>0</v>
      </c>
      <c r="K11" s="552">
        <f>SUM(D11,F11,H11)*(1+0.07)^-($B11-Assumptions!$D$4)</f>
        <v>0</v>
      </c>
      <c r="M11" s="73"/>
      <c r="N11" s="6" t="s">
        <v>1705</v>
      </c>
      <c r="O11" s="73"/>
      <c r="P11" s="73"/>
      <c r="Q11" s="428"/>
      <c r="R11" s="428"/>
      <c r="S11" s="428"/>
      <c r="T11" s="428"/>
      <c r="U11" s="309"/>
      <c r="V11" s="11"/>
      <c r="W11" s="11"/>
      <c r="X11" s="11"/>
      <c r="Y11" s="11"/>
      <c r="Z11" s="11"/>
      <c r="AA11" s="11"/>
      <c r="AB11" s="11"/>
      <c r="AC11" s="11"/>
      <c r="AD11" s="11"/>
    </row>
    <row r="12" spans="1:31" ht="15.75" customHeight="1" x14ac:dyDescent="0.25">
      <c r="A12" s="73"/>
      <c r="B12" s="174">
        <f t="shared" si="7"/>
        <v>2026</v>
      </c>
      <c r="C12" s="599"/>
      <c r="D12" s="594">
        <f t="shared" si="1"/>
        <v>0</v>
      </c>
      <c r="E12" s="600"/>
      <c r="F12" s="594">
        <f t="shared" si="2"/>
        <v>0</v>
      </c>
      <c r="G12" s="600"/>
      <c r="H12" s="594">
        <f t="shared" si="3"/>
        <v>0</v>
      </c>
      <c r="I12" s="547">
        <f t="shared" si="4"/>
        <v>0</v>
      </c>
      <c r="J12" s="554">
        <f>SUM(I12)*(1+0.07)^-($B12-Assumptions!$D$4)</f>
        <v>0</v>
      </c>
      <c r="K12" s="554">
        <f>SUM(D12,F12,H12)*(1+0.07)^-($B12-Assumptions!$D$4)</f>
        <v>0</v>
      </c>
      <c r="L12" s="73"/>
      <c r="M12" s="73"/>
      <c r="N12" s="73"/>
      <c r="O12" s="73"/>
      <c r="P12" s="73"/>
      <c r="Q12" s="428"/>
      <c r="R12" s="428"/>
      <c r="S12" s="428"/>
      <c r="T12" s="428"/>
      <c r="U12" s="309"/>
      <c r="V12" s="11"/>
      <c r="W12" s="11"/>
      <c r="X12" s="11"/>
      <c r="Y12" s="11"/>
      <c r="Z12" s="11"/>
      <c r="AA12" s="11"/>
      <c r="AB12" s="11"/>
      <c r="AC12" s="11"/>
      <c r="AD12" s="11"/>
    </row>
    <row r="13" spans="1:31" ht="15.75" customHeight="1" x14ac:dyDescent="0.25">
      <c r="A13" s="73"/>
      <c r="B13" s="174">
        <f t="shared" si="7"/>
        <v>2027</v>
      </c>
      <c r="C13" s="599"/>
      <c r="D13" s="594">
        <f t="shared" si="1"/>
        <v>0</v>
      </c>
      <c r="E13" s="600"/>
      <c r="F13" s="594">
        <f t="shared" si="2"/>
        <v>0</v>
      </c>
      <c r="G13" s="600"/>
      <c r="H13" s="594">
        <f t="shared" si="3"/>
        <v>0</v>
      </c>
      <c r="I13" s="547">
        <f t="shared" si="4"/>
        <v>0</v>
      </c>
      <c r="J13" s="554">
        <f>SUM(I13)*(1+0.07)^-($B13-Assumptions!$D$4)</f>
        <v>0</v>
      </c>
      <c r="K13" s="554">
        <f>SUM(D13,F13,H13)*(1+0.07)^-($B13-Assumptions!$D$4)</f>
        <v>0</v>
      </c>
      <c r="L13" s="73"/>
      <c r="M13" s="73"/>
      <c r="N13" s="73"/>
      <c r="O13" s="73"/>
      <c r="P13" s="73"/>
      <c r="Q13" s="428"/>
      <c r="R13" s="428"/>
      <c r="S13" s="428"/>
      <c r="T13" s="428"/>
      <c r="U13" s="168"/>
      <c r="V13" s="11"/>
      <c r="W13" s="11"/>
      <c r="X13" s="11"/>
      <c r="Y13" s="11"/>
      <c r="Z13" s="11"/>
      <c r="AA13" s="11"/>
      <c r="AB13" s="11"/>
      <c r="AC13" s="11"/>
      <c r="AD13" s="11"/>
    </row>
    <row r="14" spans="1:31" ht="15.75" customHeight="1" x14ac:dyDescent="0.25">
      <c r="A14" s="73"/>
      <c r="B14" s="174">
        <f t="shared" si="7"/>
        <v>2028</v>
      </c>
      <c r="C14" s="599"/>
      <c r="D14" s="594">
        <f t="shared" si="1"/>
        <v>0</v>
      </c>
      <c r="E14" s="600"/>
      <c r="F14" s="594">
        <f t="shared" si="2"/>
        <v>0</v>
      </c>
      <c r="G14" s="600"/>
      <c r="H14" s="594">
        <f t="shared" si="3"/>
        <v>0</v>
      </c>
      <c r="I14" s="547">
        <f t="shared" si="4"/>
        <v>0</v>
      </c>
      <c r="J14" s="554">
        <f>SUM(I14)*(1+0.07)^-($B14-Assumptions!$D$4)</f>
        <v>0</v>
      </c>
      <c r="K14" s="554">
        <f>SUM(D14,F14,H14)*(1+0.07)^-($B14-Assumptions!$D$4)</f>
        <v>0</v>
      </c>
      <c r="L14" s="73"/>
      <c r="M14" s="73"/>
      <c r="N14" s="73"/>
      <c r="O14" s="73"/>
      <c r="P14" s="73"/>
      <c r="Q14" s="428"/>
      <c r="R14" s="428"/>
      <c r="S14" s="428"/>
      <c r="T14" s="428"/>
      <c r="U14" s="168"/>
      <c r="V14" s="11"/>
      <c r="W14" s="11"/>
      <c r="X14" s="11"/>
      <c r="Y14" s="11"/>
      <c r="Z14" s="11"/>
      <c r="AA14" s="11"/>
      <c r="AB14" s="11"/>
      <c r="AC14" s="11"/>
      <c r="AD14" s="11"/>
    </row>
    <row r="15" spans="1:31" ht="15.75" customHeight="1" x14ac:dyDescent="0.25">
      <c r="A15" s="73"/>
      <c r="B15" s="174">
        <f t="shared" si="7"/>
        <v>2029</v>
      </c>
      <c r="C15" s="599"/>
      <c r="D15" s="594">
        <f t="shared" si="1"/>
        <v>0</v>
      </c>
      <c r="E15" s="600"/>
      <c r="F15" s="594">
        <f t="shared" si="2"/>
        <v>0</v>
      </c>
      <c r="G15" s="600"/>
      <c r="H15" s="594">
        <f t="shared" si="3"/>
        <v>0</v>
      </c>
      <c r="I15" s="547">
        <f t="shared" si="4"/>
        <v>0</v>
      </c>
      <c r="J15" s="554">
        <f>SUM(I15)*(1+0.07)^-($B15-Assumptions!$D$4)</f>
        <v>0</v>
      </c>
      <c r="K15" s="554">
        <f>SUM(D15,F15,H15)*(1+0.07)^-($B15-Assumptions!$D$4)</f>
        <v>0</v>
      </c>
      <c r="L15" s="73"/>
      <c r="M15" s="73"/>
      <c r="N15" s="73"/>
      <c r="O15" s="73"/>
      <c r="P15" s="73"/>
      <c r="Q15" s="428"/>
      <c r="R15" s="428"/>
      <c r="S15" s="428"/>
      <c r="T15" s="428"/>
      <c r="U15" s="168"/>
      <c r="V15" s="11"/>
      <c r="W15" s="11"/>
      <c r="X15" s="11"/>
      <c r="Y15" s="11"/>
      <c r="Z15" s="11"/>
      <c r="AA15" s="11"/>
      <c r="AB15" s="11"/>
      <c r="AC15" s="11"/>
      <c r="AD15" s="11"/>
    </row>
    <row r="16" spans="1:31" ht="15.75" customHeight="1" x14ac:dyDescent="0.25">
      <c r="A16" s="73"/>
      <c r="B16" s="174">
        <f t="shared" si="7"/>
        <v>2030</v>
      </c>
      <c r="C16" s="599"/>
      <c r="D16" s="594">
        <f t="shared" si="1"/>
        <v>0</v>
      </c>
      <c r="E16" s="600"/>
      <c r="F16" s="594">
        <f t="shared" si="2"/>
        <v>0</v>
      </c>
      <c r="G16" s="600"/>
      <c r="H16" s="594">
        <f t="shared" si="3"/>
        <v>0</v>
      </c>
      <c r="I16" s="547">
        <f t="shared" si="4"/>
        <v>0</v>
      </c>
      <c r="J16" s="554">
        <f>SUM(I16)*(1+0.07)^-($B16-Assumptions!$D$4)</f>
        <v>0</v>
      </c>
      <c r="K16" s="554">
        <f>SUM(D16,F16,H16)*(1+0.07)^-($B16-Assumptions!$D$4)</f>
        <v>0</v>
      </c>
      <c r="L16" s="73"/>
      <c r="M16" s="73"/>
      <c r="N16" s="19"/>
      <c r="O16" s="19"/>
      <c r="P16" s="19"/>
      <c r="Q16" s="428"/>
      <c r="R16" s="428"/>
      <c r="S16" s="428"/>
      <c r="T16" s="428"/>
      <c r="U16" s="168"/>
      <c r="V16" s="11"/>
      <c r="W16" s="11"/>
      <c r="X16" s="11"/>
      <c r="Y16" s="11"/>
      <c r="Z16" s="11"/>
      <c r="AA16" s="11"/>
      <c r="AB16" s="11"/>
      <c r="AC16" s="11"/>
      <c r="AD16" s="11"/>
    </row>
    <row r="17" spans="1:30" ht="15.75" customHeight="1" x14ac:dyDescent="0.25">
      <c r="A17" s="73"/>
      <c r="B17" s="174">
        <f t="shared" si="7"/>
        <v>2031</v>
      </c>
      <c r="C17" s="599"/>
      <c r="D17" s="594">
        <f t="shared" si="1"/>
        <v>0</v>
      </c>
      <c r="E17" s="600"/>
      <c r="F17" s="594">
        <f t="shared" si="2"/>
        <v>0</v>
      </c>
      <c r="G17" s="600"/>
      <c r="H17" s="594">
        <f t="shared" si="3"/>
        <v>0</v>
      </c>
      <c r="I17" s="547">
        <f t="shared" si="4"/>
        <v>0</v>
      </c>
      <c r="J17" s="554">
        <f>SUM(I17)*(1+0.07)^-($B17-Assumptions!$D$4)</f>
        <v>0</v>
      </c>
      <c r="K17" s="554">
        <f>SUM(D17,F17,H17)*(1+0.07)^-($B17-Assumptions!$D$4)</f>
        <v>0</v>
      </c>
      <c r="L17" s="73"/>
      <c r="M17" s="73"/>
      <c r="N17" s="73"/>
      <c r="O17" s="73"/>
      <c r="P17" s="73"/>
      <c r="R17" s="166"/>
      <c r="S17" s="167"/>
      <c r="T17" s="168"/>
      <c r="U17" s="168"/>
      <c r="V17" s="11"/>
      <c r="W17" s="11"/>
      <c r="X17" s="11"/>
      <c r="Y17" s="11"/>
      <c r="Z17" s="11"/>
      <c r="AA17" s="11"/>
      <c r="AB17" s="11"/>
      <c r="AC17" s="11"/>
      <c r="AD17" s="11"/>
    </row>
    <row r="18" spans="1:30" ht="15.75" customHeight="1" x14ac:dyDescent="0.25">
      <c r="A18" s="73"/>
      <c r="B18" s="174">
        <f t="shared" si="7"/>
        <v>2032</v>
      </c>
      <c r="C18" s="599"/>
      <c r="D18" s="594">
        <f t="shared" si="1"/>
        <v>0</v>
      </c>
      <c r="E18" s="600"/>
      <c r="F18" s="594">
        <f t="shared" si="2"/>
        <v>0</v>
      </c>
      <c r="G18" s="600"/>
      <c r="H18" s="594">
        <f t="shared" si="3"/>
        <v>0</v>
      </c>
      <c r="I18" s="547">
        <f t="shared" si="4"/>
        <v>0</v>
      </c>
      <c r="J18" s="554">
        <f>SUM(I18)*(1+0.07)^-($B18-Assumptions!$D$4)</f>
        <v>0</v>
      </c>
      <c r="K18" s="554">
        <f>SUM(D18,F18,H18)*(1+0.07)^-($B18-Assumptions!$D$4)</f>
        <v>0</v>
      </c>
      <c r="L18" s="73"/>
      <c r="M18" s="73"/>
      <c r="N18" s="73"/>
      <c r="O18" s="73"/>
      <c r="P18" s="73"/>
      <c r="R18" s="166"/>
      <c r="S18" s="167"/>
      <c r="T18" s="168"/>
      <c r="U18" s="168"/>
      <c r="V18" s="11"/>
      <c r="W18" s="11"/>
      <c r="X18" s="11"/>
      <c r="Y18" s="11"/>
      <c r="Z18" s="11"/>
      <c r="AA18" s="11"/>
      <c r="AB18" s="11"/>
      <c r="AC18" s="11"/>
      <c r="AD18" s="11"/>
    </row>
    <row r="19" spans="1:30" ht="15.75" customHeight="1" x14ac:dyDescent="0.25">
      <c r="A19" s="73"/>
      <c r="B19" s="174">
        <f t="shared" si="7"/>
        <v>2033</v>
      </c>
      <c r="C19" s="599"/>
      <c r="D19" s="594">
        <f t="shared" si="1"/>
        <v>0</v>
      </c>
      <c r="E19" s="600"/>
      <c r="F19" s="594">
        <f t="shared" si="2"/>
        <v>0</v>
      </c>
      <c r="G19" s="600"/>
      <c r="H19" s="594">
        <f t="shared" si="3"/>
        <v>0</v>
      </c>
      <c r="I19" s="547">
        <f t="shared" si="4"/>
        <v>0</v>
      </c>
      <c r="J19" s="554">
        <f>SUM(I19)*(1+0.07)^-($B19-Assumptions!$D$4)</f>
        <v>0</v>
      </c>
      <c r="K19" s="554">
        <f>SUM(D19,F19,H19)*(1+0.07)^-($B19-Assumptions!$D$4)</f>
        <v>0</v>
      </c>
      <c r="L19" s="73"/>
      <c r="M19" s="73"/>
      <c r="N19" s="73"/>
      <c r="O19" s="73"/>
      <c r="P19" s="73"/>
      <c r="R19" s="128"/>
      <c r="S19" s="169"/>
      <c r="T19" s="25"/>
      <c r="U19" s="25"/>
      <c r="V19" s="11"/>
      <c r="W19" s="11"/>
      <c r="X19" s="11"/>
      <c r="Y19" s="11"/>
      <c r="Z19" s="11"/>
      <c r="AA19" s="11"/>
      <c r="AB19" s="11"/>
      <c r="AC19" s="11"/>
      <c r="AD19" s="11"/>
    </row>
    <row r="20" spans="1:30" ht="15.75" customHeight="1" x14ac:dyDescent="0.25">
      <c r="A20" s="73"/>
      <c r="B20" s="174">
        <f t="shared" si="7"/>
        <v>2034</v>
      </c>
      <c r="C20" s="599"/>
      <c r="D20" s="594">
        <f t="shared" si="1"/>
        <v>0</v>
      </c>
      <c r="E20" s="600"/>
      <c r="F20" s="594">
        <f t="shared" si="2"/>
        <v>0</v>
      </c>
      <c r="G20" s="600"/>
      <c r="H20" s="594">
        <f t="shared" si="3"/>
        <v>0</v>
      </c>
      <c r="I20" s="547">
        <f t="shared" si="4"/>
        <v>0</v>
      </c>
      <c r="J20" s="554">
        <f>SUM(I20)*(1+0.07)^-($B20-Assumptions!$D$4)</f>
        <v>0</v>
      </c>
      <c r="K20" s="554">
        <f>SUM(D20,F20,H20)*(1+0.07)^-($B20-Assumptions!$D$4)</f>
        <v>0</v>
      </c>
      <c r="L20" s="73"/>
      <c r="M20" s="73"/>
      <c r="N20" s="73"/>
      <c r="O20" s="73"/>
      <c r="P20" s="73"/>
      <c r="R20" s="25"/>
      <c r="S20" s="25"/>
      <c r="T20" s="25"/>
      <c r="U20" s="25"/>
      <c r="V20" s="11"/>
      <c r="W20" s="11"/>
      <c r="X20" s="11"/>
      <c r="Y20" s="11"/>
      <c r="Z20" s="11"/>
      <c r="AA20" s="11"/>
      <c r="AB20" s="11"/>
      <c r="AC20" s="11"/>
      <c r="AD20" s="11"/>
    </row>
    <row r="21" spans="1:30" ht="15.75" customHeight="1" x14ac:dyDescent="0.25">
      <c r="A21" s="73"/>
      <c r="B21" s="174">
        <f t="shared" si="7"/>
        <v>2035</v>
      </c>
      <c r="C21" s="599"/>
      <c r="D21" s="594">
        <f t="shared" si="1"/>
        <v>0</v>
      </c>
      <c r="E21" s="600"/>
      <c r="F21" s="594">
        <f t="shared" si="2"/>
        <v>0</v>
      </c>
      <c r="G21" s="600"/>
      <c r="H21" s="594">
        <f t="shared" si="3"/>
        <v>0</v>
      </c>
      <c r="I21" s="547">
        <f t="shared" si="4"/>
        <v>0</v>
      </c>
      <c r="J21" s="554">
        <f>SUM(I21)*(1+0.07)^-($B21-Assumptions!$D$4)</f>
        <v>0</v>
      </c>
      <c r="K21" s="554">
        <f>SUM(D21,F21,H21)*(1+0.07)^-($B21-Assumptions!$D$4)</f>
        <v>0</v>
      </c>
      <c r="L21" s="73"/>
      <c r="M21" s="73"/>
      <c r="N21" s="73"/>
      <c r="O21" s="73"/>
      <c r="P21" s="73"/>
      <c r="R21" s="25"/>
      <c r="S21" s="25"/>
      <c r="T21" s="25"/>
      <c r="U21" s="25"/>
      <c r="V21" s="11"/>
      <c r="W21" s="11"/>
      <c r="X21" s="11"/>
      <c r="Y21" s="11"/>
      <c r="Z21" s="11"/>
      <c r="AA21" s="11"/>
      <c r="AB21" s="11"/>
      <c r="AC21" s="11"/>
      <c r="AD21" s="11"/>
    </row>
    <row r="22" spans="1:30" ht="15.75" customHeight="1" x14ac:dyDescent="0.25">
      <c r="A22" s="73"/>
      <c r="B22" s="174">
        <f t="shared" si="7"/>
        <v>2036</v>
      </c>
      <c r="C22" s="599"/>
      <c r="D22" s="594">
        <f t="shared" si="1"/>
        <v>0</v>
      </c>
      <c r="E22" s="600"/>
      <c r="F22" s="594">
        <f t="shared" si="2"/>
        <v>0</v>
      </c>
      <c r="G22" s="600"/>
      <c r="H22" s="594">
        <f t="shared" si="3"/>
        <v>0</v>
      </c>
      <c r="I22" s="547">
        <f t="shared" si="4"/>
        <v>0</v>
      </c>
      <c r="J22" s="554">
        <f>SUM(I22)*(1+0.07)^-($B22-Assumptions!$D$4)</f>
        <v>0</v>
      </c>
      <c r="K22" s="554">
        <f>SUM(D22,F22,H22)*(1+0.07)^-($B22-Assumptions!$D$4)</f>
        <v>0</v>
      </c>
      <c r="L22" s="73"/>
      <c r="M22" s="73"/>
      <c r="N22" s="73"/>
      <c r="O22" s="73"/>
      <c r="P22" s="73"/>
      <c r="R22" s="32"/>
      <c r="S22" s="8"/>
      <c r="T22" s="8"/>
      <c r="U22" s="8"/>
      <c r="V22" s="11"/>
      <c r="W22" s="11"/>
      <c r="X22" s="11"/>
      <c r="Y22" s="11"/>
      <c r="Z22" s="11"/>
      <c r="AA22" s="11"/>
      <c r="AB22" s="11"/>
      <c r="AC22" s="11"/>
      <c r="AD22" s="11"/>
    </row>
    <row r="23" spans="1:30" ht="15.75" customHeight="1" x14ac:dyDescent="0.25">
      <c r="A23" s="73"/>
      <c r="B23" s="174">
        <f t="shared" si="7"/>
        <v>2037</v>
      </c>
      <c r="C23" s="599"/>
      <c r="D23" s="594">
        <f t="shared" si="1"/>
        <v>0</v>
      </c>
      <c r="E23" s="600"/>
      <c r="F23" s="594">
        <f t="shared" si="2"/>
        <v>0</v>
      </c>
      <c r="G23" s="600"/>
      <c r="H23" s="594">
        <f t="shared" si="3"/>
        <v>0</v>
      </c>
      <c r="I23" s="547">
        <f t="shared" si="4"/>
        <v>0</v>
      </c>
      <c r="J23" s="554">
        <f>SUM(I23)*(1+0.07)^-($B23-Assumptions!$D$4)</f>
        <v>0</v>
      </c>
      <c r="K23" s="554">
        <f>SUM(D23,F23,H23)*(1+0.07)^-($B23-Assumptions!$D$4)</f>
        <v>0</v>
      </c>
      <c r="L23" s="73"/>
      <c r="M23" s="73"/>
      <c r="N23" s="73"/>
      <c r="O23" s="73"/>
      <c r="P23" s="73"/>
      <c r="R23" s="165"/>
      <c r="S23" s="165"/>
      <c r="T23" s="170"/>
      <c r="U23" s="170"/>
      <c r="V23" s="11"/>
      <c r="W23" s="11"/>
      <c r="X23" s="11"/>
      <c r="Y23" s="11"/>
      <c r="Z23" s="11"/>
      <c r="AA23" s="11"/>
      <c r="AB23" s="11"/>
      <c r="AC23" s="11"/>
      <c r="AD23" s="11"/>
    </row>
    <row r="24" spans="1:30" ht="15.75" customHeight="1" x14ac:dyDescent="0.25">
      <c r="A24" s="73"/>
      <c r="B24" s="174">
        <f t="shared" si="7"/>
        <v>2038</v>
      </c>
      <c r="C24" s="599"/>
      <c r="D24" s="594">
        <f t="shared" si="1"/>
        <v>0</v>
      </c>
      <c r="E24" s="600"/>
      <c r="F24" s="594">
        <f t="shared" si="2"/>
        <v>0</v>
      </c>
      <c r="G24" s="600"/>
      <c r="H24" s="594">
        <f t="shared" si="3"/>
        <v>0</v>
      </c>
      <c r="I24" s="547">
        <f t="shared" si="4"/>
        <v>0</v>
      </c>
      <c r="J24" s="554">
        <f>SUM(I24)*(1+0.07)^-($B24-Assumptions!$D$4)</f>
        <v>0</v>
      </c>
      <c r="K24" s="554">
        <f>SUM(D24,F24,H24)*(1+0.07)^-($B24-Assumptions!$D$4)</f>
        <v>0</v>
      </c>
      <c r="L24" s="73"/>
      <c r="M24" s="73"/>
      <c r="N24" s="73"/>
      <c r="O24" s="73"/>
      <c r="P24" s="73"/>
      <c r="R24" s="165"/>
      <c r="S24" s="165"/>
      <c r="T24" s="170"/>
      <c r="U24" s="170"/>
      <c r="V24" s="11"/>
      <c r="W24" s="11"/>
      <c r="X24" s="11"/>
      <c r="Y24" s="11"/>
      <c r="Z24" s="11"/>
      <c r="AA24" s="11"/>
      <c r="AB24" s="11"/>
      <c r="AC24" s="11"/>
      <c r="AD24" s="11"/>
    </row>
    <row r="25" spans="1:30" ht="15.75" customHeight="1" x14ac:dyDescent="0.25">
      <c r="A25" s="73"/>
      <c r="B25" s="174">
        <f t="shared" si="7"/>
        <v>2039</v>
      </c>
      <c r="C25" s="599"/>
      <c r="D25" s="594">
        <f t="shared" si="1"/>
        <v>0</v>
      </c>
      <c r="E25" s="600"/>
      <c r="F25" s="594">
        <f t="shared" si="2"/>
        <v>0</v>
      </c>
      <c r="G25" s="600"/>
      <c r="H25" s="594">
        <f t="shared" si="3"/>
        <v>0</v>
      </c>
      <c r="I25" s="547">
        <f t="shared" si="4"/>
        <v>0</v>
      </c>
      <c r="J25" s="554">
        <f>SUM(I25)*(1+0.07)^-($B25-Assumptions!$D$4)</f>
        <v>0</v>
      </c>
      <c r="K25" s="554">
        <f>SUM(D25,F25,H25)*(1+0.07)^-($B25-Assumptions!$D$4)</f>
        <v>0</v>
      </c>
      <c r="L25" s="73"/>
      <c r="M25" s="73"/>
      <c r="N25" s="73"/>
      <c r="O25" s="73"/>
      <c r="P25" s="73"/>
      <c r="R25" s="165"/>
      <c r="S25" s="165"/>
      <c r="T25" s="170"/>
      <c r="U25" s="170"/>
      <c r="V25" s="11"/>
      <c r="W25" s="11"/>
      <c r="X25" s="11"/>
      <c r="Y25" s="11"/>
      <c r="Z25" s="11"/>
      <c r="AA25" s="11"/>
      <c r="AB25" s="11"/>
      <c r="AC25" s="11"/>
      <c r="AD25" s="11"/>
    </row>
    <row r="26" spans="1:30" ht="15.75" customHeight="1" x14ac:dyDescent="0.25">
      <c r="A26" s="73"/>
      <c r="B26" s="174">
        <f t="shared" si="7"/>
        <v>2040</v>
      </c>
      <c r="C26" s="599"/>
      <c r="D26" s="594">
        <f t="shared" si="1"/>
        <v>0</v>
      </c>
      <c r="E26" s="600"/>
      <c r="F26" s="594">
        <f t="shared" si="2"/>
        <v>0</v>
      </c>
      <c r="G26" s="600"/>
      <c r="H26" s="594">
        <f t="shared" si="3"/>
        <v>0</v>
      </c>
      <c r="I26" s="547">
        <f t="shared" si="4"/>
        <v>0</v>
      </c>
      <c r="J26" s="554">
        <f>SUM(I26)*(1+0.07)^-($B26-Assumptions!$D$4)</f>
        <v>0</v>
      </c>
      <c r="K26" s="554">
        <f>SUM(D26,F26,H26)*(1+0.07)^-($B26-Assumptions!$D$4)</f>
        <v>0</v>
      </c>
      <c r="L26" s="73"/>
      <c r="M26" s="73"/>
      <c r="N26" s="73"/>
      <c r="O26" s="73"/>
      <c r="P26" s="73"/>
      <c r="R26" s="166"/>
      <c r="S26" s="171"/>
      <c r="T26" s="172"/>
      <c r="U26" s="172"/>
      <c r="V26" s="11"/>
      <c r="W26" s="11"/>
      <c r="X26" s="11"/>
      <c r="Y26" s="11"/>
      <c r="Z26" s="11"/>
      <c r="AA26" s="11"/>
      <c r="AB26" s="11"/>
      <c r="AC26" s="11"/>
      <c r="AD26" s="11"/>
    </row>
    <row r="27" spans="1:30" ht="15.75" customHeight="1" x14ac:dyDescent="0.25">
      <c r="A27" s="73"/>
      <c r="B27" s="174">
        <f t="shared" si="7"/>
        <v>2041</v>
      </c>
      <c r="C27" s="599"/>
      <c r="D27" s="594">
        <f t="shared" si="1"/>
        <v>0</v>
      </c>
      <c r="E27" s="600"/>
      <c r="F27" s="594">
        <f t="shared" si="2"/>
        <v>0</v>
      </c>
      <c r="G27" s="600"/>
      <c r="H27" s="594">
        <f t="shared" si="3"/>
        <v>0</v>
      </c>
      <c r="I27" s="547">
        <f t="shared" si="4"/>
        <v>0</v>
      </c>
      <c r="J27" s="554">
        <f>SUM(I27)*(1+0.07)^-($B27-Assumptions!$D$4)</f>
        <v>0</v>
      </c>
      <c r="K27" s="554">
        <f>SUM(D27,F27,H27)*(1+0.07)^-($B27-Assumptions!$D$4)</f>
        <v>0</v>
      </c>
      <c r="L27" s="73"/>
      <c r="M27" s="73"/>
      <c r="N27" s="73"/>
      <c r="O27" s="73"/>
      <c r="P27" s="73"/>
      <c r="R27" s="166"/>
      <c r="S27" s="171"/>
      <c r="T27" s="172"/>
      <c r="U27" s="172"/>
      <c r="V27" s="11"/>
      <c r="W27" s="11"/>
      <c r="X27" s="11"/>
      <c r="Y27" s="11"/>
      <c r="Z27" s="11"/>
      <c r="AA27" s="11"/>
      <c r="AB27" s="11"/>
      <c r="AC27" s="11"/>
      <c r="AD27" s="11"/>
    </row>
    <row r="28" spans="1:30" ht="15.75" customHeight="1" x14ac:dyDescent="0.25">
      <c r="A28" s="73"/>
      <c r="B28" s="174">
        <f t="shared" si="7"/>
        <v>2042</v>
      </c>
      <c r="C28" s="599"/>
      <c r="D28" s="594">
        <f t="shared" si="1"/>
        <v>0</v>
      </c>
      <c r="E28" s="600"/>
      <c r="F28" s="594">
        <f t="shared" si="2"/>
        <v>0</v>
      </c>
      <c r="G28" s="600"/>
      <c r="H28" s="594">
        <f t="shared" si="3"/>
        <v>0</v>
      </c>
      <c r="I28" s="547">
        <f t="shared" si="4"/>
        <v>0</v>
      </c>
      <c r="J28" s="554">
        <f>SUM(I28)*(1+0.07)^-($B28-Assumptions!$D$4)</f>
        <v>0</v>
      </c>
      <c r="K28" s="554">
        <f>SUM(D28,F28,H28)*(1+0.07)^-($B28-Assumptions!$D$4)</f>
        <v>0</v>
      </c>
      <c r="L28" s="73"/>
      <c r="M28" s="73"/>
      <c r="N28" s="73"/>
      <c r="O28" s="73"/>
      <c r="P28" s="73"/>
      <c r="R28" s="166"/>
      <c r="S28" s="171"/>
      <c r="T28" s="172"/>
      <c r="U28" s="172"/>
      <c r="V28" s="11"/>
      <c r="W28" s="11"/>
      <c r="X28" s="11"/>
      <c r="Y28" s="11"/>
      <c r="Z28" s="11"/>
      <c r="AA28" s="11"/>
      <c r="AB28" s="11"/>
      <c r="AC28" s="11"/>
      <c r="AD28" s="11"/>
    </row>
    <row r="29" spans="1:30" ht="15.75" customHeight="1" x14ac:dyDescent="0.25">
      <c r="A29" s="73"/>
      <c r="B29" s="174">
        <f t="shared" si="7"/>
        <v>2043</v>
      </c>
      <c r="C29" s="599"/>
      <c r="D29" s="594">
        <f t="shared" si="1"/>
        <v>0</v>
      </c>
      <c r="E29" s="600"/>
      <c r="F29" s="594">
        <f t="shared" si="2"/>
        <v>0</v>
      </c>
      <c r="G29" s="600"/>
      <c r="H29" s="594">
        <f t="shared" si="3"/>
        <v>0</v>
      </c>
      <c r="I29" s="547">
        <f t="shared" si="4"/>
        <v>0</v>
      </c>
      <c r="J29" s="554">
        <f>SUM(I29)*(1+0.07)^-($B29-Assumptions!$D$4)</f>
        <v>0</v>
      </c>
      <c r="K29" s="554">
        <f>SUM(D29,F29,H29)*(1+0.07)^-($B29-Assumptions!$D$4)</f>
        <v>0</v>
      </c>
      <c r="L29" s="73"/>
      <c r="M29" s="73"/>
      <c r="R29" s="166"/>
      <c r="S29" s="171"/>
      <c r="T29" s="172"/>
      <c r="U29" s="172"/>
      <c r="V29" s="11"/>
      <c r="W29" s="11"/>
      <c r="X29" s="11"/>
      <c r="Y29" s="11"/>
      <c r="Z29" s="11"/>
      <c r="AA29" s="11"/>
      <c r="AB29" s="11"/>
      <c r="AC29" s="11"/>
      <c r="AD29" s="11"/>
    </row>
    <row r="30" spans="1:30" ht="15.75" customHeight="1" x14ac:dyDescent="0.25">
      <c r="A30" s="73"/>
      <c r="B30" s="174">
        <f t="shared" si="7"/>
        <v>2044</v>
      </c>
      <c r="C30" s="599"/>
      <c r="D30" s="594">
        <f t="shared" si="1"/>
        <v>17566941.00833223</v>
      </c>
      <c r="E30" s="600"/>
      <c r="F30" s="594">
        <f t="shared" si="2"/>
        <v>15589523.044870961</v>
      </c>
      <c r="G30" s="600"/>
      <c r="H30" s="594">
        <f t="shared" si="3"/>
        <v>16589275.323900785</v>
      </c>
      <c r="I30" s="547">
        <f t="shared" si="4"/>
        <v>0</v>
      </c>
      <c r="J30" s="554">
        <f>SUM(I30)*(1+0.07)^-($B30-Assumptions!$D$4)</f>
        <v>0</v>
      </c>
      <c r="K30" s="554">
        <f>SUM(D30,F30,H30)*(1+0.07)^-($B30-Assumptions!$D$4)</f>
        <v>9165611.5654670931</v>
      </c>
      <c r="L30" s="73"/>
      <c r="M30" s="73"/>
      <c r="R30" s="166"/>
      <c r="S30" s="171"/>
      <c r="T30" s="172"/>
      <c r="U30" s="172"/>
      <c r="V30" s="11"/>
      <c r="W30" s="11"/>
      <c r="X30" s="11"/>
      <c r="Y30" s="11"/>
      <c r="Z30" s="11"/>
      <c r="AA30" s="11"/>
      <c r="AB30" s="11"/>
      <c r="AC30" s="11"/>
      <c r="AD30" s="11"/>
    </row>
    <row r="31" spans="1:30" x14ac:dyDescent="0.25">
      <c r="B31" s="174">
        <f t="shared" si="7"/>
        <v>2045</v>
      </c>
      <c r="C31" s="599"/>
      <c r="D31" s="594">
        <f t="shared" si="1"/>
        <v>0</v>
      </c>
      <c r="E31" s="600"/>
      <c r="F31" s="594">
        <f t="shared" si="2"/>
        <v>0</v>
      </c>
      <c r="G31" s="600"/>
      <c r="H31" s="594">
        <f t="shared" si="3"/>
        <v>0</v>
      </c>
      <c r="I31" s="547">
        <f t="shared" si="4"/>
        <v>0</v>
      </c>
      <c r="J31" s="554">
        <f>SUM(I31)*(1+0.07)^-($B31-Assumptions!$D$4)</f>
        <v>0</v>
      </c>
      <c r="K31" s="554">
        <f>SUM(D31,F31,H31)*(1+0.07)^-($B31-Assumptions!$D$4)</f>
        <v>0</v>
      </c>
      <c r="L31" s="110"/>
      <c r="M31" s="19"/>
      <c r="N31" s="73"/>
      <c r="O31" s="73"/>
      <c r="P31" s="73"/>
      <c r="T31"/>
    </row>
    <row r="32" spans="1:30" x14ac:dyDescent="0.25">
      <c r="B32" s="174">
        <f>B31+1</f>
        <v>2046</v>
      </c>
      <c r="C32" s="599"/>
      <c r="D32" s="594">
        <f t="shared" si="1"/>
        <v>0</v>
      </c>
      <c r="E32" s="600"/>
      <c r="F32" s="594">
        <f t="shared" si="2"/>
        <v>0</v>
      </c>
      <c r="G32" s="600"/>
      <c r="H32" s="594">
        <f t="shared" si="3"/>
        <v>0</v>
      </c>
      <c r="I32" s="547">
        <f t="shared" si="4"/>
        <v>0</v>
      </c>
      <c r="J32" s="554">
        <f>SUM(I32)*(1+0.07)^-($B32-Assumptions!$D$4)</f>
        <v>0</v>
      </c>
      <c r="K32" s="554">
        <f>SUM(D32,F32,H32)*(1+0.07)^-($B32-Assumptions!$D$4)</f>
        <v>0</v>
      </c>
      <c r="L32" s="110"/>
      <c r="M32" s="73"/>
      <c r="N32" s="73"/>
      <c r="O32" s="73"/>
      <c r="P32" s="73"/>
      <c r="T32"/>
    </row>
    <row r="33" spans="1:20" x14ac:dyDescent="0.25">
      <c r="A33" s="59"/>
      <c r="B33" s="174">
        <f t="shared" si="7"/>
        <v>2047</v>
      </c>
      <c r="C33" s="601"/>
      <c r="D33" s="594">
        <f t="shared" si="1"/>
        <v>0</v>
      </c>
      <c r="E33" s="600"/>
      <c r="F33" s="594">
        <f t="shared" si="2"/>
        <v>0</v>
      </c>
      <c r="G33" s="600"/>
      <c r="H33" s="594">
        <f t="shared" si="3"/>
        <v>0</v>
      </c>
      <c r="I33" s="547">
        <f t="shared" si="4"/>
        <v>0</v>
      </c>
      <c r="J33" s="554">
        <f>SUM(I33)*(1+0.07)^-($B33-Assumptions!$D$4)</f>
        <v>0</v>
      </c>
      <c r="K33" s="554">
        <f>SUM(D33,F33,H33)*(1+0.07)^-($B33-Assumptions!$D$4)</f>
        <v>0</v>
      </c>
      <c r="L33" s="134"/>
      <c r="M33" s="73"/>
      <c r="N33" s="73"/>
      <c r="O33" s="73"/>
      <c r="P33" s="73"/>
      <c r="T33"/>
    </row>
    <row r="34" spans="1:20" ht="15.75" thickBot="1" x14ac:dyDescent="0.3">
      <c r="A34" s="59"/>
      <c r="B34" s="378">
        <f t="shared" si="7"/>
        <v>2048</v>
      </c>
      <c r="C34" s="602"/>
      <c r="D34" s="595">
        <f t="shared" si="1"/>
        <v>0</v>
      </c>
      <c r="E34" s="603"/>
      <c r="F34" s="595">
        <f t="shared" si="2"/>
        <v>0</v>
      </c>
      <c r="G34" s="603"/>
      <c r="H34" s="595">
        <f t="shared" si="3"/>
        <v>0</v>
      </c>
      <c r="I34" s="590">
        <f t="shared" si="4"/>
        <v>0</v>
      </c>
      <c r="J34" s="584">
        <f>SUM(I34)*(1+0.07)^-($B34-Assumptions!$D$4)</f>
        <v>0</v>
      </c>
      <c r="K34" s="584">
        <f>SUM(D34,F34,H34)*(1+0.07)^-($B34-Assumptions!$D$4)</f>
        <v>0</v>
      </c>
      <c r="L34" s="110"/>
      <c r="M34" s="73"/>
      <c r="N34" s="73"/>
      <c r="O34" s="73"/>
      <c r="P34" s="73"/>
      <c r="T34"/>
    </row>
    <row r="35" spans="1:20" x14ac:dyDescent="0.25">
      <c r="A35" s="60"/>
      <c r="D35" s="9"/>
      <c r="E35" s="9"/>
      <c r="F35" s="9"/>
      <c r="G35" s="9"/>
      <c r="H35" s="585" t="s">
        <v>1662</v>
      </c>
      <c r="I35" s="586">
        <f>SUM(I7:I34)</f>
        <v>105036245.84850213</v>
      </c>
      <c r="J35" s="586">
        <f>SUM(J7:J34)</f>
        <v>80560454.046767324</v>
      </c>
      <c r="K35" s="586">
        <f>SUM(K7:K34)</f>
        <v>9165611.5654670931</v>
      </c>
      <c r="L35" s="110"/>
      <c r="M35" s="73"/>
      <c r="N35" s="73"/>
      <c r="O35" s="73"/>
      <c r="P35" s="73"/>
      <c r="T35"/>
    </row>
    <row r="36" spans="1:20" ht="15" customHeight="1" x14ac:dyDescent="0.25">
      <c r="A36" s="60"/>
      <c r="B36" s="4"/>
      <c r="C36" s="5"/>
      <c r="L36" s="110"/>
      <c r="M36" s="110"/>
      <c r="P36" s="73"/>
    </row>
    <row r="37" spans="1:20" x14ac:dyDescent="0.25">
      <c r="A37" s="59"/>
      <c r="B37" s="4"/>
      <c r="C37" s="4"/>
      <c r="D37" s="9"/>
      <c r="E37" s="9"/>
      <c r="F37" s="9"/>
      <c r="G37" s="9"/>
      <c r="H37" s="9"/>
      <c r="I37" s="9"/>
      <c r="J37" s="10"/>
      <c r="K37" s="10"/>
      <c r="L37" s="110"/>
      <c r="M37" s="110"/>
      <c r="P37" s="73"/>
    </row>
    <row r="38" spans="1:20" x14ac:dyDescent="0.25">
      <c r="B38" s="20" t="s">
        <v>3</v>
      </c>
      <c r="C38" s="19"/>
      <c r="D38" s="19"/>
      <c r="E38" s="19"/>
      <c r="F38" s="19"/>
      <c r="G38" s="19"/>
      <c r="H38" s="19"/>
      <c r="I38" s="19"/>
      <c r="J38" s="19"/>
      <c r="K38" s="19"/>
      <c r="L38" s="19"/>
      <c r="M38" s="110"/>
      <c r="N38" s="110"/>
    </row>
    <row r="39" spans="1:20" ht="15" customHeight="1" x14ac:dyDescent="0.25">
      <c r="A39" s="7" t="s">
        <v>13</v>
      </c>
      <c r="B39" s="698" t="s">
        <v>1703</v>
      </c>
      <c r="C39" s="698"/>
      <c r="D39" s="698"/>
      <c r="E39" s="698"/>
      <c r="F39" s="698"/>
      <c r="G39" s="698"/>
      <c r="H39" s="698"/>
      <c r="I39" s="698"/>
      <c r="J39" s="698"/>
      <c r="K39" s="698"/>
      <c r="L39" s="698"/>
      <c r="M39" s="698"/>
      <c r="N39" s="698"/>
      <c r="O39" s="698"/>
    </row>
    <row r="40" spans="1:20" x14ac:dyDescent="0.25">
      <c r="A40" s="7"/>
      <c r="B40" s="698"/>
      <c r="C40" s="698"/>
      <c r="D40" s="698"/>
      <c r="E40" s="698"/>
      <c r="F40" s="698"/>
      <c r="G40" s="698"/>
      <c r="H40" s="698"/>
      <c r="I40" s="698"/>
      <c r="J40" s="698"/>
      <c r="K40" s="698"/>
      <c r="L40" s="698"/>
      <c r="M40" s="698"/>
      <c r="N40" s="698"/>
      <c r="O40" s="698"/>
    </row>
    <row r="41" spans="1:20" x14ac:dyDescent="0.25">
      <c r="A41" s="59"/>
      <c r="B41" s="698"/>
      <c r="C41" s="698"/>
      <c r="D41" s="698"/>
      <c r="E41" s="698"/>
      <c r="F41" s="698"/>
      <c r="G41" s="698"/>
      <c r="H41" s="698"/>
      <c r="I41" s="698"/>
      <c r="J41" s="698"/>
      <c r="K41" s="698"/>
      <c r="L41" s="698"/>
      <c r="M41" s="698"/>
      <c r="N41" s="698"/>
      <c r="O41" s="698"/>
    </row>
    <row r="42" spans="1:20" ht="15" customHeight="1" x14ac:dyDescent="0.25">
      <c r="C42" s="110"/>
      <c r="D42" s="110"/>
      <c r="E42" s="110"/>
      <c r="F42" s="110"/>
      <c r="G42" s="110"/>
      <c r="H42" s="110"/>
      <c r="I42" s="110"/>
      <c r="J42" s="110"/>
      <c r="K42" s="110"/>
      <c r="L42" s="110"/>
      <c r="M42" s="110"/>
      <c r="N42" s="110"/>
      <c r="O42" s="110"/>
    </row>
    <row r="43" spans="1:20" ht="15" customHeight="1" x14ac:dyDescent="0.25">
      <c r="A43" s="59" t="s">
        <v>12</v>
      </c>
      <c r="B43" s="698" t="s">
        <v>1706</v>
      </c>
      <c r="C43" s="698"/>
      <c r="D43" s="698"/>
      <c r="E43" s="698"/>
      <c r="F43" s="698"/>
      <c r="G43" s="698"/>
      <c r="H43" s="698"/>
      <c r="I43" s="698"/>
      <c r="J43" s="698"/>
      <c r="K43" s="698"/>
      <c r="L43" s="698"/>
      <c r="M43" s="698"/>
      <c r="N43" s="698"/>
      <c r="O43" s="698"/>
    </row>
    <row r="44" spans="1:20" x14ac:dyDescent="0.25">
      <c r="B44" s="698"/>
      <c r="C44" s="698"/>
      <c r="D44" s="698"/>
      <c r="E44" s="698"/>
      <c r="F44" s="698"/>
      <c r="G44" s="698"/>
      <c r="H44" s="698"/>
      <c r="I44" s="698"/>
      <c r="J44" s="698"/>
      <c r="K44" s="698"/>
      <c r="L44" s="698"/>
      <c r="M44" s="698"/>
      <c r="N44" s="698"/>
      <c r="O44" s="698"/>
    </row>
    <row r="45" spans="1:20" x14ac:dyDescent="0.25">
      <c r="B45" s="698"/>
      <c r="C45" s="698"/>
      <c r="D45" s="698"/>
      <c r="E45" s="698"/>
      <c r="F45" s="698"/>
      <c r="G45" s="698"/>
      <c r="H45" s="698"/>
      <c r="I45" s="698"/>
      <c r="J45" s="698"/>
      <c r="K45" s="698"/>
      <c r="L45" s="698"/>
      <c r="M45" s="698"/>
      <c r="N45" s="698"/>
      <c r="O45" s="698"/>
    </row>
    <row r="46" spans="1:20" x14ac:dyDescent="0.25">
      <c r="A46" s="7"/>
      <c r="B46" s="698"/>
      <c r="C46" s="698"/>
      <c r="D46" s="698"/>
      <c r="E46" s="698"/>
      <c r="F46" s="698"/>
      <c r="G46" s="698"/>
      <c r="H46" s="698"/>
      <c r="I46" s="698"/>
      <c r="J46" s="698"/>
      <c r="K46" s="698"/>
      <c r="L46" s="698"/>
      <c r="M46" s="698"/>
      <c r="N46" s="698"/>
      <c r="O46" s="698"/>
    </row>
    <row r="47" spans="1:20" x14ac:dyDescent="0.25">
      <c r="B47" s="110"/>
      <c r="C47" s="110"/>
      <c r="D47" s="110"/>
      <c r="E47" s="110"/>
      <c r="F47" s="110"/>
      <c r="G47" s="110"/>
      <c r="H47" s="110"/>
      <c r="I47" s="110"/>
      <c r="J47" s="110"/>
      <c r="K47" s="110"/>
      <c r="L47" s="110"/>
    </row>
    <row r="52" spans="1:1" x14ac:dyDescent="0.25">
      <c r="A52" s="7"/>
    </row>
  </sheetData>
  <mergeCells count="15">
    <mergeCell ref="C4:D4"/>
    <mergeCell ref="B43:O46"/>
    <mergeCell ref="E4:F4"/>
    <mergeCell ref="E5:E6"/>
    <mergeCell ref="F5:F6"/>
    <mergeCell ref="G4:H4"/>
    <mergeCell ref="G5:G6"/>
    <mergeCell ref="H5:H6"/>
    <mergeCell ref="K5:K6"/>
    <mergeCell ref="I5:I6"/>
    <mergeCell ref="B5:B6"/>
    <mergeCell ref="C5:C6"/>
    <mergeCell ref="D5:D6"/>
    <mergeCell ref="J5:J6"/>
    <mergeCell ref="B39:O41"/>
  </mergeCells>
  <pageMargins left="0.25" right="0.25" top="0.75" bottom="0.75" header="0.3" footer="0.3"/>
  <pageSetup scale="4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pageSetUpPr fitToPage="1"/>
  </sheetPr>
  <dimension ref="A2:M55"/>
  <sheetViews>
    <sheetView zoomScale="70" zoomScaleNormal="70" zoomScaleSheetLayoutView="55" workbookViewId="0">
      <selection activeCell="B41" sqref="B41:E41"/>
    </sheetView>
  </sheetViews>
  <sheetFormatPr defaultRowHeight="15" x14ac:dyDescent="0.25"/>
  <cols>
    <col min="1" max="1" width="45.28515625" style="55" bestFit="1" customWidth="1"/>
    <col min="2" max="2" width="28" style="55" bestFit="1" customWidth="1"/>
    <col min="3" max="5" width="23" style="55" bestFit="1" customWidth="1"/>
    <col min="6" max="6" width="22.42578125" style="55" bestFit="1" customWidth="1"/>
    <col min="7" max="7" width="9.140625" style="55"/>
    <col min="8" max="8" width="36.28515625" style="55" bestFit="1" customWidth="1"/>
    <col min="9" max="9" width="28" style="55" bestFit="1" customWidth="1"/>
    <col min="10" max="12" width="17" style="55" bestFit="1" customWidth="1"/>
    <col min="13" max="13" width="16.7109375" style="55" bestFit="1" customWidth="1"/>
    <col min="14" max="31" width="9.140625" style="55"/>
    <col min="32" max="32" width="9.42578125" style="55" bestFit="1" customWidth="1"/>
    <col min="33" max="33" width="20.5703125" style="55" bestFit="1" customWidth="1"/>
    <col min="34" max="34" width="32.140625" style="55" customWidth="1"/>
    <col min="35" max="39" width="10.7109375" style="55" customWidth="1"/>
    <col min="40" max="40" width="9.140625" style="55"/>
    <col min="41" max="45" width="10.7109375" style="55" customWidth="1"/>
    <col min="46" max="47" width="11.5703125" style="55" bestFit="1" customWidth="1"/>
    <col min="48" max="48" width="12.28515625" style="55" bestFit="1" customWidth="1"/>
    <col min="49" max="16384" width="9.140625" style="55"/>
  </cols>
  <sheetData>
    <row r="2" spans="1:13" x14ac:dyDescent="0.25">
      <c r="A2" s="6" t="s">
        <v>493</v>
      </c>
      <c r="B2" s="6"/>
      <c r="C2" s="6"/>
      <c r="D2" s="6"/>
      <c r="E2" s="6"/>
      <c r="F2" s="6"/>
      <c r="H2" s="6" t="s">
        <v>493</v>
      </c>
      <c r="I2" s="6"/>
      <c r="J2" s="6"/>
      <c r="K2" s="6"/>
      <c r="L2" s="6"/>
      <c r="M2" s="6"/>
    </row>
    <row r="3" spans="1:13" x14ac:dyDescent="0.25">
      <c r="A3" s="152" t="s">
        <v>494</v>
      </c>
      <c r="B3" s="152" t="s">
        <v>537</v>
      </c>
      <c r="C3" s="152" t="s">
        <v>537</v>
      </c>
      <c r="D3" s="152" t="s">
        <v>537</v>
      </c>
      <c r="E3" s="152" t="s">
        <v>537</v>
      </c>
      <c r="F3" s="152" t="s">
        <v>537</v>
      </c>
      <c r="H3" s="152" t="s">
        <v>494</v>
      </c>
      <c r="I3" s="152" t="s">
        <v>537</v>
      </c>
      <c r="J3" s="152" t="s">
        <v>537</v>
      </c>
      <c r="K3" s="152" t="s">
        <v>537</v>
      </c>
      <c r="L3" s="152" t="s">
        <v>537</v>
      </c>
      <c r="M3" s="152" t="s">
        <v>537</v>
      </c>
    </row>
    <row r="4" spans="1:13" ht="35.1" customHeight="1" x14ac:dyDescent="0.25">
      <c r="A4" s="152" t="s">
        <v>495</v>
      </c>
      <c r="B4" s="152" t="s">
        <v>538</v>
      </c>
      <c r="C4" s="152" t="s">
        <v>538</v>
      </c>
      <c r="D4" s="152" t="s">
        <v>538</v>
      </c>
      <c r="E4" s="152" t="s">
        <v>538</v>
      </c>
      <c r="F4" s="152" t="s">
        <v>538</v>
      </c>
      <c r="H4" s="152" t="s">
        <v>495</v>
      </c>
      <c r="I4" s="152" t="s">
        <v>538</v>
      </c>
      <c r="J4" s="152" t="s">
        <v>538</v>
      </c>
      <c r="K4" s="152" t="s">
        <v>538</v>
      </c>
      <c r="L4" s="152" t="s">
        <v>538</v>
      </c>
      <c r="M4" s="152" t="s">
        <v>538</v>
      </c>
    </row>
    <row r="5" spans="1:13" ht="43.5" customHeight="1" x14ac:dyDescent="0.25">
      <c r="A5" s="152" t="s">
        <v>496</v>
      </c>
      <c r="B5" s="152" t="s">
        <v>539</v>
      </c>
      <c r="C5" s="152" t="s">
        <v>539</v>
      </c>
      <c r="D5" s="152" t="s">
        <v>539</v>
      </c>
      <c r="E5" s="152" t="s">
        <v>539</v>
      </c>
      <c r="F5" s="152" t="s">
        <v>539</v>
      </c>
      <c r="H5" s="152" t="s">
        <v>496</v>
      </c>
      <c r="I5" s="152" t="s">
        <v>539</v>
      </c>
      <c r="J5" s="152" t="s">
        <v>539</v>
      </c>
      <c r="K5" s="152" t="s">
        <v>539</v>
      </c>
      <c r="L5" s="152" t="s">
        <v>539</v>
      </c>
      <c r="M5" s="152" t="s">
        <v>539</v>
      </c>
    </row>
    <row r="6" spans="1:13" x14ac:dyDescent="0.25">
      <c r="A6" s="152" t="s">
        <v>497</v>
      </c>
      <c r="B6" s="152" t="s">
        <v>540</v>
      </c>
      <c r="C6" s="152" t="s">
        <v>540</v>
      </c>
      <c r="D6" s="152" t="s">
        <v>540</v>
      </c>
      <c r="E6" s="152" t="s">
        <v>540</v>
      </c>
      <c r="F6" s="152" t="s">
        <v>540</v>
      </c>
      <c r="H6" s="152" t="s">
        <v>497</v>
      </c>
      <c r="I6" s="152" t="s">
        <v>576</v>
      </c>
      <c r="J6" s="152" t="s">
        <v>576</v>
      </c>
      <c r="K6" s="152" t="s">
        <v>576</v>
      </c>
      <c r="L6" s="152" t="s">
        <v>576</v>
      </c>
      <c r="M6" s="152" t="s">
        <v>576</v>
      </c>
    </row>
    <row r="7" spans="1:13" x14ac:dyDescent="0.25">
      <c r="A7" s="152" t="s">
        <v>498</v>
      </c>
      <c r="B7" s="152">
        <v>362</v>
      </c>
      <c r="C7" s="152">
        <v>366</v>
      </c>
      <c r="D7" s="152">
        <v>366.06</v>
      </c>
      <c r="E7" s="152">
        <v>369</v>
      </c>
      <c r="F7" s="152">
        <v>377</v>
      </c>
      <c r="H7" s="152" t="s">
        <v>498</v>
      </c>
      <c r="I7" s="152">
        <v>362</v>
      </c>
      <c r="J7" s="152">
        <v>366</v>
      </c>
      <c r="K7" s="152">
        <v>366.06</v>
      </c>
      <c r="L7" s="152">
        <v>369</v>
      </c>
      <c r="M7" s="152">
        <v>377</v>
      </c>
    </row>
    <row r="8" spans="1:13" x14ac:dyDescent="0.25">
      <c r="A8" s="152" t="s">
        <v>499</v>
      </c>
      <c r="B8" s="152">
        <v>4.2000000000000003E-2</v>
      </c>
      <c r="C8" s="152">
        <v>1.0999999999999999E-2</v>
      </c>
      <c r="D8" s="152">
        <v>0.24199999999999999</v>
      </c>
      <c r="E8" s="152">
        <v>4.2999999999999997E-2</v>
      </c>
      <c r="F8" s="152">
        <v>0</v>
      </c>
      <c r="H8" s="152" t="s">
        <v>499</v>
      </c>
      <c r="I8" s="152">
        <v>3.5000000000000003E-2</v>
      </c>
      <c r="J8" s="152">
        <v>1.0999999999999999E-2</v>
      </c>
      <c r="K8" s="152">
        <v>0.24199999999999999</v>
      </c>
      <c r="L8" s="152">
        <v>4.2999999999999997E-2</v>
      </c>
      <c r="M8" s="152">
        <v>0</v>
      </c>
    </row>
    <row r="9" spans="1:13" x14ac:dyDescent="0.25">
      <c r="A9" s="152" t="s">
        <v>500</v>
      </c>
      <c r="B9" s="152">
        <v>3.9689999999999999</v>
      </c>
      <c r="C9" s="152">
        <v>0.28899999999999998</v>
      </c>
      <c r="D9" s="152">
        <v>2.7429999999999999</v>
      </c>
      <c r="E9" s="152">
        <v>7.9279999999999999</v>
      </c>
      <c r="F9" s="152">
        <v>13.079000000000001</v>
      </c>
      <c r="H9" s="152" t="s">
        <v>500</v>
      </c>
      <c r="I9" s="152">
        <v>3.972</v>
      </c>
      <c r="J9" s="152">
        <v>0.29199999999999998</v>
      </c>
      <c r="K9" s="152">
        <v>2.7450000000000001</v>
      </c>
      <c r="L9" s="152">
        <v>7.9279999999999999</v>
      </c>
      <c r="M9" s="152">
        <v>13.074</v>
      </c>
    </row>
    <row r="10" spans="1:13" x14ac:dyDescent="0.25">
      <c r="A10" s="152" t="s">
        <v>501</v>
      </c>
      <c r="B10" s="152">
        <v>1965</v>
      </c>
      <c r="C10" s="152">
        <v>1988</v>
      </c>
      <c r="D10" s="152">
        <v>1965</v>
      </c>
      <c r="E10" s="152">
        <v>1965</v>
      </c>
      <c r="F10" s="152">
        <v>1964</v>
      </c>
      <c r="H10" s="152" t="s">
        <v>501</v>
      </c>
      <c r="I10" s="152">
        <v>1965</v>
      </c>
      <c r="J10" s="152">
        <v>1988</v>
      </c>
      <c r="K10" s="152">
        <v>1965</v>
      </c>
      <c r="L10" s="152">
        <v>1965</v>
      </c>
      <c r="M10" s="152">
        <v>1964</v>
      </c>
    </row>
    <row r="11" spans="1:13" x14ac:dyDescent="0.25">
      <c r="A11" s="152" t="s">
        <v>502</v>
      </c>
      <c r="B11" s="152">
        <v>2010</v>
      </c>
      <c r="C11" s="152">
        <v>2010</v>
      </c>
      <c r="D11" s="152">
        <v>2010</v>
      </c>
      <c r="E11" s="152">
        <v>2010</v>
      </c>
      <c r="F11" s="152">
        <v>2010</v>
      </c>
      <c r="H11" s="152" t="s">
        <v>502</v>
      </c>
      <c r="I11" s="152">
        <v>2011</v>
      </c>
      <c r="J11" s="152">
        <v>2011</v>
      </c>
      <c r="K11" s="152">
        <v>2011</v>
      </c>
      <c r="L11" s="152">
        <v>2011</v>
      </c>
      <c r="M11" s="152">
        <v>2011</v>
      </c>
    </row>
    <row r="12" spans="1:13" x14ac:dyDescent="0.25">
      <c r="A12" s="152" t="s">
        <v>503</v>
      </c>
      <c r="B12" s="152">
        <v>0</v>
      </c>
      <c r="C12" s="152">
        <v>0</v>
      </c>
      <c r="D12" s="152">
        <v>0</v>
      </c>
      <c r="E12" s="152">
        <v>0</v>
      </c>
      <c r="F12" s="152">
        <v>0</v>
      </c>
      <c r="H12" s="152" t="s">
        <v>503</v>
      </c>
      <c r="I12" s="152">
        <v>0</v>
      </c>
      <c r="J12" s="152">
        <v>0</v>
      </c>
      <c r="K12" s="152">
        <v>0</v>
      </c>
      <c r="L12" s="152">
        <v>0</v>
      </c>
      <c r="M12" s="152">
        <v>0</v>
      </c>
    </row>
    <row r="13" spans="1:13" x14ac:dyDescent="0.25">
      <c r="A13" s="152" t="s">
        <v>504</v>
      </c>
      <c r="B13" s="152"/>
      <c r="C13" s="152"/>
      <c r="D13" s="152"/>
      <c r="E13" s="152"/>
      <c r="F13" s="152"/>
      <c r="H13" s="152" t="s">
        <v>504</v>
      </c>
      <c r="I13" s="152"/>
      <c r="J13" s="152"/>
      <c r="K13" s="152"/>
      <c r="L13" s="152"/>
      <c r="M13" s="152"/>
    </row>
    <row r="14" spans="1:13" x14ac:dyDescent="0.25">
      <c r="A14" s="152" t="s">
        <v>505</v>
      </c>
      <c r="B14" s="152">
        <v>4.47</v>
      </c>
      <c r="C14" s="152">
        <v>3.03</v>
      </c>
      <c r="D14" s="152">
        <v>4.5999999999999996</v>
      </c>
      <c r="E14" s="152">
        <v>4.46</v>
      </c>
      <c r="F14" s="152">
        <v>4.41</v>
      </c>
      <c r="H14" s="152" t="s">
        <v>505</v>
      </c>
      <c r="I14" s="152">
        <v>4.54</v>
      </c>
      <c r="J14" s="152">
        <v>2.31</v>
      </c>
      <c r="K14" s="152">
        <v>4.4800000000000004</v>
      </c>
      <c r="L14" s="152">
        <v>4.5199999999999996</v>
      </c>
      <c r="M14" s="152">
        <v>4.41</v>
      </c>
    </row>
    <row r="15" spans="1:13" x14ac:dyDescent="0.25">
      <c r="A15" s="6" t="s">
        <v>506</v>
      </c>
      <c r="B15" s="6" t="s">
        <v>541</v>
      </c>
      <c r="C15" s="6" t="s">
        <v>542</v>
      </c>
      <c r="D15" s="6" t="s">
        <v>543</v>
      </c>
      <c r="E15" s="6" t="s">
        <v>544</v>
      </c>
      <c r="F15" s="6" t="s">
        <v>543</v>
      </c>
      <c r="H15" s="152" t="s">
        <v>506</v>
      </c>
      <c r="I15" s="152" t="s">
        <v>577</v>
      </c>
      <c r="J15" s="152" t="s">
        <v>578</v>
      </c>
      <c r="K15" s="152" t="s">
        <v>579</v>
      </c>
      <c r="L15" s="152" t="s">
        <v>580</v>
      </c>
      <c r="M15" s="152" t="s">
        <v>581</v>
      </c>
    </row>
    <row r="16" spans="1:13" x14ac:dyDescent="0.25">
      <c r="A16" s="6" t="s">
        <v>507</v>
      </c>
      <c r="B16" s="6"/>
      <c r="C16" s="6"/>
      <c r="D16" s="6"/>
      <c r="E16" s="6"/>
      <c r="F16" s="6"/>
      <c r="H16" s="6" t="s">
        <v>507</v>
      </c>
      <c r="I16" s="6"/>
      <c r="J16" s="6"/>
      <c r="K16" s="6"/>
      <c r="L16" s="6"/>
      <c r="M16" s="6"/>
    </row>
    <row r="17" spans="1:13" x14ac:dyDescent="0.25">
      <c r="A17" s="152" t="s">
        <v>508</v>
      </c>
      <c r="B17" s="152" t="s">
        <v>545</v>
      </c>
      <c r="C17" s="152"/>
      <c r="D17" s="152" t="s">
        <v>546</v>
      </c>
      <c r="E17" s="152" t="s">
        <v>546</v>
      </c>
      <c r="F17" s="152" t="s">
        <v>544</v>
      </c>
      <c r="H17" s="152" t="s">
        <v>508</v>
      </c>
      <c r="I17" s="152" t="s">
        <v>562</v>
      </c>
      <c r="J17" s="152"/>
      <c r="K17" s="152" t="s">
        <v>582</v>
      </c>
      <c r="L17" s="152" t="s">
        <v>546</v>
      </c>
      <c r="M17" s="152" t="s">
        <v>583</v>
      </c>
    </row>
    <row r="18" spans="1:13" x14ac:dyDescent="0.25">
      <c r="A18" s="152" t="s">
        <v>509</v>
      </c>
      <c r="B18" s="152" t="s">
        <v>547</v>
      </c>
      <c r="C18" s="152"/>
      <c r="D18" s="152" t="s">
        <v>548</v>
      </c>
      <c r="E18" s="152" t="s">
        <v>549</v>
      </c>
      <c r="F18" s="152" t="s">
        <v>550</v>
      </c>
      <c r="H18" s="152" t="s">
        <v>509</v>
      </c>
      <c r="I18" s="152" t="s">
        <v>544</v>
      </c>
      <c r="J18" s="152"/>
      <c r="K18" s="152" t="s">
        <v>584</v>
      </c>
      <c r="L18" s="152" t="s">
        <v>550</v>
      </c>
      <c r="M18" s="152" t="s">
        <v>583</v>
      </c>
    </row>
    <row r="19" spans="1:13" x14ac:dyDescent="0.25">
      <c r="A19" s="152" t="s">
        <v>510</v>
      </c>
      <c r="B19" s="152" t="s">
        <v>551</v>
      </c>
      <c r="C19" s="152"/>
      <c r="D19" s="152" t="s">
        <v>551</v>
      </c>
      <c r="E19" s="152" t="s">
        <v>551</v>
      </c>
      <c r="F19" s="152" t="s">
        <v>549</v>
      </c>
      <c r="H19" s="152" t="s">
        <v>510</v>
      </c>
      <c r="I19" s="152" t="s">
        <v>585</v>
      </c>
      <c r="J19" s="152"/>
      <c r="K19" s="152" t="s">
        <v>586</v>
      </c>
      <c r="L19" s="152" t="s">
        <v>587</v>
      </c>
      <c r="M19" s="152" t="s">
        <v>588</v>
      </c>
    </row>
    <row r="20" spans="1:13" x14ac:dyDescent="0.25">
      <c r="A20" s="152" t="s">
        <v>511</v>
      </c>
      <c r="B20" s="152" t="s">
        <v>551</v>
      </c>
      <c r="C20" s="152"/>
      <c r="D20" s="152" t="s">
        <v>546</v>
      </c>
      <c r="E20" s="152" t="s">
        <v>552</v>
      </c>
      <c r="F20" s="152" t="s">
        <v>545</v>
      </c>
      <c r="H20" s="152" t="s">
        <v>511</v>
      </c>
      <c r="I20" s="152" t="s">
        <v>589</v>
      </c>
      <c r="J20" s="152"/>
      <c r="K20" s="152" t="s">
        <v>583</v>
      </c>
      <c r="L20" s="152" t="s">
        <v>550</v>
      </c>
      <c r="M20" s="152" t="s">
        <v>590</v>
      </c>
    </row>
    <row r="21" spans="1:13" x14ac:dyDescent="0.25">
      <c r="A21" s="152" t="s">
        <v>512</v>
      </c>
      <c r="B21" s="152" t="s">
        <v>553</v>
      </c>
      <c r="C21" s="152"/>
      <c r="D21" s="152" t="s">
        <v>554</v>
      </c>
      <c r="E21" s="152" t="s">
        <v>555</v>
      </c>
      <c r="F21" s="152" t="s">
        <v>556</v>
      </c>
      <c r="H21" s="152" t="s">
        <v>512</v>
      </c>
      <c r="I21" s="152" t="s">
        <v>591</v>
      </c>
      <c r="J21" s="152"/>
      <c r="K21" s="152" t="s">
        <v>548</v>
      </c>
      <c r="L21" s="152" t="s">
        <v>592</v>
      </c>
      <c r="M21" s="152" t="s">
        <v>593</v>
      </c>
    </row>
    <row r="22" spans="1:13" x14ac:dyDescent="0.25">
      <c r="A22" s="152" t="s">
        <v>513</v>
      </c>
      <c r="B22" s="152" t="s">
        <v>557</v>
      </c>
      <c r="C22" s="152"/>
      <c r="D22" s="152" t="s">
        <v>558</v>
      </c>
      <c r="E22" s="152" t="s">
        <v>559</v>
      </c>
      <c r="F22" s="152" t="s">
        <v>560</v>
      </c>
      <c r="H22" s="152" t="s">
        <v>513</v>
      </c>
      <c r="I22" s="152" t="s">
        <v>594</v>
      </c>
      <c r="J22" s="152"/>
      <c r="K22" s="152" t="s">
        <v>558</v>
      </c>
      <c r="L22" s="152" t="s">
        <v>560</v>
      </c>
      <c r="M22" s="152" t="s">
        <v>559</v>
      </c>
    </row>
    <row r="23" spans="1:13" x14ac:dyDescent="0.25">
      <c r="A23" s="6" t="s">
        <v>514</v>
      </c>
      <c r="B23" s="20"/>
      <c r="C23" s="20"/>
      <c r="D23" s="20"/>
      <c r="E23" s="20"/>
      <c r="F23" s="20"/>
      <c r="G23" s="19"/>
      <c r="H23" s="20" t="s">
        <v>514</v>
      </c>
      <c r="I23" s="20"/>
      <c r="J23" s="20"/>
      <c r="K23" s="20"/>
      <c r="L23" s="20"/>
      <c r="M23" s="20"/>
    </row>
    <row r="24" spans="1:13" x14ac:dyDescent="0.25">
      <c r="A24" s="152" t="s">
        <v>515</v>
      </c>
      <c r="B24" s="19"/>
      <c r="C24" s="19" t="s">
        <v>551</v>
      </c>
      <c r="D24" s="19"/>
      <c r="E24" s="19"/>
      <c r="F24" s="19"/>
      <c r="G24" s="19"/>
      <c r="H24" s="19" t="s">
        <v>515</v>
      </c>
      <c r="I24" s="19"/>
      <c r="J24" s="19" t="s">
        <v>595</v>
      </c>
      <c r="K24" s="19"/>
      <c r="L24" s="19"/>
      <c r="M24" s="19"/>
    </row>
    <row r="25" spans="1:13" x14ac:dyDescent="0.25">
      <c r="A25" s="152" t="s">
        <v>516</v>
      </c>
      <c r="B25" s="19"/>
      <c r="C25" s="19" t="s">
        <v>561</v>
      </c>
      <c r="D25" s="19"/>
      <c r="E25" s="19"/>
      <c r="F25" s="19"/>
      <c r="G25" s="19"/>
      <c r="H25" s="19" t="s">
        <v>516</v>
      </c>
      <c r="I25" s="19"/>
      <c r="J25" s="19" t="s">
        <v>596</v>
      </c>
      <c r="K25" s="19"/>
      <c r="L25" s="19"/>
      <c r="M25" s="19"/>
    </row>
    <row r="26" spans="1:13" x14ac:dyDescent="0.25">
      <c r="A26" s="152" t="s">
        <v>517</v>
      </c>
      <c r="B26" s="19"/>
      <c r="C26" s="19" t="s">
        <v>551</v>
      </c>
      <c r="D26" s="19"/>
      <c r="E26" s="19"/>
      <c r="F26" s="19"/>
      <c r="G26" s="19"/>
      <c r="H26" s="19" t="s">
        <v>517</v>
      </c>
      <c r="I26" s="19"/>
      <c r="J26" s="19" t="s">
        <v>551</v>
      </c>
      <c r="K26" s="19"/>
      <c r="L26" s="19"/>
      <c r="M26" s="19"/>
    </row>
    <row r="27" spans="1:13" x14ac:dyDescent="0.25">
      <c r="A27" s="152" t="s">
        <v>518</v>
      </c>
      <c r="B27" s="19"/>
      <c r="C27" s="19" t="s">
        <v>562</v>
      </c>
      <c r="D27" s="19"/>
      <c r="E27" s="19"/>
      <c r="F27" s="19"/>
      <c r="G27" s="19"/>
      <c r="H27" s="19" t="s">
        <v>518</v>
      </c>
      <c r="I27" s="19"/>
      <c r="J27" s="19" t="s">
        <v>544</v>
      </c>
      <c r="K27" s="19"/>
      <c r="L27" s="19"/>
      <c r="M27" s="19"/>
    </row>
    <row r="28" spans="1:13" x14ac:dyDescent="0.25">
      <c r="A28" s="152" t="s">
        <v>519</v>
      </c>
      <c r="B28" s="19"/>
      <c r="C28" s="19" t="s">
        <v>561</v>
      </c>
      <c r="D28" s="19"/>
      <c r="E28" s="19"/>
      <c r="F28" s="19"/>
      <c r="G28" s="19"/>
      <c r="H28" s="19" t="s">
        <v>519</v>
      </c>
      <c r="I28" s="19"/>
      <c r="J28" s="19" t="s">
        <v>596</v>
      </c>
      <c r="K28" s="19"/>
      <c r="L28" s="19"/>
      <c r="M28" s="19"/>
    </row>
    <row r="29" spans="1:13" ht="15" customHeight="1" x14ac:dyDescent="0.25">
      <c r="A29" s="152" t="s">
        <v>520</v>
      </c>
      <c r="B29" s="19"/>
      <c r="C29" s="19" t="s">
        <v>551</v>
      </c>
      <c r="D29" s="19"/>
      <c r="E29" s="19"/>
      <c r="F29" s="19"/>
      <c r="G29" s="19"/>
      <c r="H29" s="19" t="s">
        <v>520</v>
      </c>
      <c r="I29" s="19"/>
      <c r="J29" s="19" t="s">
        <v>551</v>
      </c>
      <c r="K29" s="19"/>
      <c r="L29" s="19"/>
      <c r="M29" s="19"/>
    </row>
    <row r="30" spans="1:13" x14ac:dyDescent="0.25">
      <c r="A30" s="6" t="s">
        <v>521</v>
      </c>
      <c r="B30" s="19"/>
      <c r="C30" s="19"/>
      <c r="D30" s="19"/>
      <c r="E30" s="19"/>
      <c r="F30" s="19"/>
      <c r="G30" s="19"/>
      <c r="H30" s="20" t="s">
        <v>521</v>
      </c>
      <c r="I30" s="19"/>
      <c r="J30" s="19"/>
      <c r="K30" s="19"/>
      <c r="L30" s="19"/>
      <c r="M30" s="19"/>
    </row>
    <row r="31" spans="1:13" s="73" customFormat="1" x14ac:dyDescent="0.25">
      <c r="A31" s="152" t="s">
        <v>522</v>
      </c>
      <c r="B31" s="19">
        <v>5640</v>
      </c>
      <c r="C31" s="19">
        <v>5660</v>
      </c>
      <c r="D31" s="19">
        <v>5644</v>
      </c>
      <c r="E31" s="19">
        <v>5756</v>
      </c>
      <c r="F31" s="19">
        <v>6835</v>
      </c>
      <c r="G31" s="19"/>
      <c r="H31" s="19" t="s">
        <v>522</v>
      </c>
      <c r="I31" s="19">
        <v>5640</v>
      </c>
      <c r="J31" s="19">
        <v>5660</v>
      </c>
      <c r="K31" s="19">
        <v>5644</v>
      </c>
      <c r="L31" s="19">
        <v>5756</v>
      </c>
      <c r="M31" s="19">
        <v>6835</v>
      </c>
    </row>
    <row r="32" spans="1:13" s="73" customFormat="1" ht="15" customHeight="1" x14ac:dyDescent="0.25">
      <c r="A32" s="152" t="s">
        <v>523</v>
      </c>
      <c r="B32" s="19">
        <v>7767</v>
      </c>
      <c r="C32" s="19">
        <v>7794</v>
      </c>
      <c r="D32" s="19">
        <v>7772</v>
      </c>
      <c r="E32" s="19">
        <v>7926</v>
      </c>
      <c r="F32" s="19">
        <v>9968</v>
      </c>
      <c r="G32" s="19"/>
      <c r="H32" s="19" t="s">
        <v>523</v>
      </c>
      <c r="I32" s="19">
        <v>7766</v>
      </c>
      <c r="J32" s="19">
        <v>7794</v>
      </c>
      <c r="K32" s="19">
        <v>7772</v>
      </c>
      <c r="L32" s="19">
        <v>7926</v>
      </c>
      <c r="M32" s="19">
        <v>9968</v>
      </c>
    </row>
    <row r="33" spans="1:13" ht="15" customHeight="1" x14ac:dyDescent="0.25">
      <c r="A33" s="152" t="s">
        <v>524</v>
      </c>
      <c r="B33" s="19">
        <v>1196</v>
      </c>
      <c r="C33" s="19">
        <v>1200</v>
      </c>
      <c r="D33" s="19">
        <v>1196</v>
      </c>
      <c r="E33" s="19">
        <v>1207</v>
      </c>
      <c r="F33" s="19">
        <v>1261</v>
      </c>
      <c r="G33" s="19"/>
      <c r="H33" s="19" t="s">
        <v>524</v>
      </c>
      <c r="I33" s="19">
        <v>1195</v>
      </c>
      <c r="J33" s="19">
        <v>1200</v>
      </c>
      <c r="K33" s="19">
        <v>1196</v>
      </c>
      <c r="L33" s="19">
        <v>1207</v>
      </c>
      <c r="M33" s="19">
        <v>1261</v>
      </c>
    </row>
    <row r="34" spans="1:13" s="152" customFormat="1" ht="15" customHeight="1" x14ac:dyDescent="0.25">
      <c r="A34" s="6" t="s">
        <v>525</v>
      </c>
      <c r="B34" s="20"/>
      <c r="C34" s="20"/>
      <c r="D34" s="20"/>
      <c r="E34" s="20"/>
      <c r="F34" s="20"/>
      <c r="G34" s="19"/>
      <c r="H34" s="20" t="s">
        <v>525</v>
      </c>
      <c r="I34" s="20"/>
      <c r="J34" s="20"/>
      <c r="K34" s="20"/>
      <c r="L34" s="20"/>
      <c r="M34" s="20"/>
    </row>
    <row r="35" spans="1:13" x14ac:dyDescent="0.25">
      <c r="A35" s="152" t="s">
        <v>526</v>
      </c>
      <c r="B35" s="19">
        <v>0.81</v>
      </c>
      <c r="C35" s="19">
        <v>0.48</v>
      </c>
      <c r="D35" s="28">
        <v>0.96</v>
      </c>
      <c r="E35" s="19">
        <v>0.79</v>
      </c>
      <c r="F35" s="28">
        <v>0.94</v>
      </c>
      <c r="G35" s="19"/>
      <c r="H35" s="19" t="s">
        <v>526</v>
      </c>
      <c r="I35" s="19">
        <v>0.78</v>
      </c>
      <c r="J35" s="19">
        <v>0.28999999999999998</v>
      </c>
      <c r="K35" s="19">
        <v>0.64</v>
      </c>
      <c r="L35" s="19">
        <v>0.88</v>
      </c>
      <c r="M35" s="28">
        <v>1.01</v>
      </c>
    </row>
    <row r="36" spans="1:13" ht="15" customHeight="1" x14ac:dyDescent="0.25">
      <c r="A36" s="152" t="s">
        <v>527</v>
      </c>
      <c r="B36" s="19">
        <v>0</v>
      </c>
      <c r="C36" s="19">
        <v>0</v>
      </c>
      <c r="D36" s="19">
        <v>0</v>
      </c>
      <c r="E36" s="19">
        <v>0</v>
      </c>
      <c r="F36" s="19">
        <v>1</v>
      </c>
      <c r="G36" s="19"/>
      <c r="H36" s="19" t="s">
        <v>527</v>
      </c>
      <c r="I36" s="19">
        <v>0</v>
      </c>
      <c r="J36" s="19">
        <v>0</v>
      </c>
      <c r="K36" s="19">
        <v>0</v>
      </c>
      <c r="L36" s="19">
        <v>1</v>
      </c>
      <c r="M36" s="19">
        <v>1</v>
      </c>
    </row>
    <row r="37" spans="1:13" x14ac:dyDescent="0.25">
      <c r="A37" s="152" t="s">
        <v>528</v>
      </c>
      <c r="B37" s="19">
        <v>3</v>
      </c>
      <c r="C37" s="19">
        <v>1</v>
      </c>
      <c r="D37" s="19">
        <v>4</v>
      </c>
      <c r="E37" s="19">
        <v>7</v>
      </c>
      <c r="F37" s="19">
        <v>16</v>
      </c>
      <c r="G37" s="19"/>
      <c r="H37" s="19" t="s">
        <v>528</v>
      </c>
      <c r="I37" s="19">
        <v>2</v>
      </c>
      <c r="J37" s="19">
        <v>0</v>
      </c>
      <c r="K37" s="19">
        <v>1</v>
      </c>
      <c r="L37" s="19">
        <v>6</v>
      </c>
      <c r="M37" s="19">
        <v>15</v>
      </c>
    </row>
    <row r="38" spans="1:13" x14ac:dyDescent="0.25">
      <c r="A38" s="152" t="s">
        <v>529</v>
      </c>
      <c r="B38" s="19">
        <v>24</v>
      </c>
      <c r="C38" s="19">
        <v>2</v>
      </c>
      <c r="D38" s="19">
        <v>15</v>
      </c>
      <c r="E38" s="19">
        <v>45</v>
      </c>
      <c r="F38" s="19">
        <v>93</v>
      </c>
      <c r="G38" s="19"/>
      <c r="H38" s="19" t="s">
        <v>529</v>
      </c>
      <c r="I38" s="19">
        <v>26</v>
      </c>
      <c r="J38" s="19">
        <v>3</v>
      </c>
      <c r="K38" s="19">
        <v>15</v>
      </c>
      <c r="L38" s="19">
        <v>43</v>
      </c>
      <c r="M38" s="19">
        <v>108</v>
      </c>
    </row>
    <row r="39" spans="1:13" ht="15" customHeight="1" x14ac:dyDescent="0.25">
      <c r="A39" s="152" t="s">
        <v>530</v>
      </c>
      <c r="B39" s="19" t="s">
        <v>563</v>
      </c>
      <c r="C39" s="19" t="s">
        <v>563</v>
      </c>
      <c r="D39" s="19" t="s">
        <v>563</v>
      </c>
      <c r="E39" s="19" t="s">
        <v>563</v>
      </c>
      <c r="F39" s="19" t="s">
        <v>564</v>
      </c>
      <c r="G39" s="19"/>
      <c r="H39" s="19" t="s">
        <v>530</v>
      </c>
      <c r="I39" s="19" t="s">
        <v>597</v>
      </c>
      <c r="J39" s="19" t="s">
        <v>597</v>
      </c>
      <c r="K39" s="19" t="s">
        <v>597</v>
      </c>
      <c r="L39" s="19" t="s">
        <v>597</v>
      </c>
      <c r="M39" s="19" t="s">
        <v>598</v>
      </c>
    </row>
    <row r="40" spans="1:13" ht="15" customHeight="1" x14ac:dyDescent="0.25">
      <c r="A40" s="152" t="s">
        <v>531</v>
      </c>
      <c r="B40" s="19" t="s">
        <v>565</v>
      </c>
      <c r="C40" s="19" t="s">
        <v>566</v>
      </c>
      <c r="D40" s="19" t="s">
        <v>567</v>
      </c>
      <c r="E40" s="19" t="s">
        <v>565</v>
      </c>
      <c r="F40" s="19" t="s">
        <v>565</v>
      </c>
      <c r="G40" s="19"/>
      <c r="H40" s="19" t="s">
        <v>531</v>
      </c>
      <c r="I40" s="19" t="s">
        <v>567</v>
      </c>
      <c r="J40" s="19" t="s">
        <v>566</v>
      </c>
      <c r="K40" s="19" t="s">
        <v>565</v>
      </c>
      <c r="L40" s="19" t="s">
        <v>567</v>
      </c>
      <c r="M40" s="19" t="s">
        <v>565</v>
      </c>
    </row>
    <row r="41" spans="1:13" ht="15" customHeight="1" x14ac:dyDescent="0.25">
      <c r="A41" s="152" t="s">
        <v>532</v>
      </c>
      <c r="B41" s="478">
        <v>4</v>
      </c>
      <c r="C41" s="478">
        <v>0.06</v>
      </c>
      <c r="D41" s="478">
        <v>2.94</v>
      </c>
      <c r="E41" s="478">
        <v>8</v>
      </c>
      <c r="F41" s="478">
        <v>13</v>
      </c>
      <c r="G41" s="19"/>
      <c r="H41" s="19" t="s">
        <v>532</v>
      </c>
      <c r="I41" s="478">
        <v>4</v>
      </c>
      <c r="J41" s="478">
        <v>0.06</v>
      </c>
      <c r="K41" s="478">
        <v>2.94</v>
      </c>
      <c r="L41" s="478">
        <v>8</v>
      </c>
      <c r="M41" s="478">
        <v>13</v>
      </c>
    </row>
    <row r="42" spans="1:13" x14ac:dyDescent="0.25">
      <c r="A42" s="152" t="s">
        <v>533</v>
      </c>
      <c r="B42" s="653">
        <f>SUMPRODUCT(B41:F41,B31:F31)/SUM(B41:F41)*2</f>
        <v>12456.854285714286</v>
      </c>
      <c r="C42" s="19"/>
      <c r="D42" s="19"/>
      <c r="E42" s="19"/>
      <c r="F42" s="19"/>
      <c r="G42" s="19"/>
      <c r="H42" s="19"/>
      <c r="I42" s="19"/>
      <c r="J42" s="19"/>
      <c r="K42" s="19"/>
      <c r="L42" s="19"/>
      <c r="M42" s="19"/>
    </row>
    <row r="43" spans="1:13" ht="15" customHeight="1" x14ac:dyDescent="0.25">
      <c r="A43" s="152"/>
      <c r="B43" s="19">
        <v>11280</v>
      </c>
      <c r="C43" s="19">
        <v>11320</v>
      </c>
      <c r="D43" s="19">
        <v>11288</v>
      </c>
      <c r="E43" s="19">
        <v>11512</v>
      </c>
      <c r="F43" s="19">
        <v>13670</v>
      </c>
      <c r="G43" s="19"/>
      <c r="H43" s="19"/>
      <c r="I43" s="19"/>
      <c r="J43" s="19"/>
      <c r="K43" s="19"/>
      <c r="L43" s="19"/>
      <c r="M43" s="19"/>
    </row>
    <row r="44" spans="1:13" x14ac:dyDescent="0.25">
      <c r="A44" s="152" t="s">
        <v>34</v>
      </c>
      <c r="B44" s="19">
        <f>B33/B31</f>
        <v>0.21205673758865248</v>
      </c>
      <c r="C44" s="19">
        <f t="shared" ref="C44:F44" si="0">C33/C31</f>
        <v>0.21201413427561838</v>
      </c>
      <c r="D44" s="19">
        <f t="shared" si="0"/>
        <v>0.21190644932671865</v>
      </c>
      <c r="E44" s="19">
        <f t="shared" si="0"/>
        <v>0.2096942321056289</v>
      </c>
      <c r="F44" s="19">
        <f t="shared" si="0"/>
        <v>0.184491587417703</v>
      </c>
      <c r="G44" s="19"/>
      <c r="H44" s="19" t="s">
        <v>34</v>
      </c>
      <c r="I44" s="19">
        <f>I33/I31</f>
        <v>0.21187943262411346</v>
      </c>
      <c r="J44" s="19">
        <f t="shared" ref="J44:M44" si="1">J33/J31</f>
        <v>0.21201413427561838</v>
      </c>
      <c r="K44" s="19">
        <f t="shared" si="1"/>
        <v>0.21190644932671865</v>
      </c>
      <c r="L44" s="19">
        <f t="shared" si="1"/>
        <v>0.2096942321056289</v>
      </c>
      <c r="M44" s="19">
        <f t="shared" si="1"/>
        <v>0.184491587417703</v>
      </c>
    </row>
    <row r="45" spans="1:13" x14ac:dyDescent="0.25">
      <c r="A45" s="152" t="s">
        <v>534</v>
      </c>
      <c r="B45" s="479">
        <f>(SUMPRODUCT(B33:F33,B41:F41)/(SUMPRODUCT(B31:F31,B41:F41)))</f>
        <v>0.19737406761028178</v>
      </c>
      <c r="C45" s="152"/>
      <c r="D45" s="152"/>
      <c r="E45" s="152"/>
      <c r="F45" s="152"/>
      <c r="H45" s="152"/>
      <c r="I45" s="152"/>
      <c r="J45" s="152"/>
      <c r="K45" s="152"/>
      <c r="L45" s="152"/>
      <c r="M45" s="152"/>
    </row>
    <row r="46" spans="1:13" ht="15.75" thickBot="1" x14ac:dyDescent="0.3">
      <c r="A46" s="152" t="s">
        <v>573</v>
      </c>
      <c r="B46" s="152" t="s">
        <v>568</v>
      </c>
      <c r="C46" s="152" t="s">
        <v>569</v>
      </c>
      <c r="D46" s="152" t="s">
        <v>570</v>
      </c>
      <c r="E46" s="152" t="s">
        <v>571</v>
      </c>
      <c r="F46" s="152" t="s">
        <v>572</v>
      </c>
      <c r="H46" s="152" t="s">
        <v>573</v>
      </c>
      <c r="I46" s="152" t="s">
        <v>568</v>
      </c>
      <c r="J46" s="152" t="s">
        <v>569</v>
      </c>
      <c r="K46" s="152" t="s">
        <v>570</v>
      </c>
      <c r="L46" s="152" t="s">
        <v>571</v>
      </c>
      <c r="M46" s="152" t="s">
        <v>572</v>
      </c>
    </row>
    <row r="47" spans="1:13" x14ac:dyDescent="0.25">
      <c r="A47" s="312" t="s">
        <v>535</v>
      </c>
      <c r="B47" s="315">
        <f>B31*B41*365</f>
        <v>8234400</v>
      </c>
      <c r="C47" s="315">
        <f>C31*C41*365</f>
        <v>123953.99999999999</v>
      </c>
      <c r="D47" s="315">
        <f>D31*D41*365</f>
        <v>6056576.4000000004</v>
      </c>
      <c r="E47" s="315">
        <f>E31*E41*365</f>
        <v>16807520</v>
      </c>
      <c r="F47" s="316">
        <f>F31*F41*365</f>
        <v>32432075</v>
      </c>
      <c r="H47" s="312" t="s">
        <v>574</v>
      </c>
      <c r="I47" s="323">
        <v>8234400</v>
      </c>
      <c r="J47" s="323">
        <v>123953.99999999999</v>
      </c>
      <c r="K47" s="323">
        <v>6056576.4000000004</v>
      </c>
      <c r="L47" s="323">
        <v>16807520</v>
      </c>
      <c r="M47" s="324">
        <v>32432075</v>
      </c>
    </row>
    <row r="48" spans="1:13" x14ac:dyDescent="0.25">
      <c r="A48" s="313" t="s">
        <v>536</v>
      </c>
      <c r="B48" s="317">
        <f>B32*B41*365</f>
        <v>11339820</v>
      </c>
      <c r="C48" s="317">
        <f>C32*C41*365</f>
        <v>170688.6</v>
      </c>
      <c r="D48" s="317">
        <f>D32*D41*365</f>
        <v>8340133.2000000002</v>
      </c>
      <c r="E48" s="317">
        <f>E32*E41*365</f>
        <v>23143920</v>
      </c>
      <c r="F48" s="318">
        <f>F32*F41*365</f>
        <v>47298160</v>
      </c>
      <c r="H48" s="313" t="s">
        <v>575</v>
      </c>
      <c r="I48" s="321">
        <v>11338360</v>
      </c>
      <c r="J48" s="321">
        <v>170688.6</v>
      </c>
      <c r="K48" s="321">
        <v>8340133.2000000002</v>
      </c>
      <c r="L48" s="321">
        <v>23143920</v>
      </c>
      <c r="M48" s="322">
        <v>47298160</v>
      </c>
    </row>
    <row r="49" spans="1:13" ht="15.75" thickBot="1" x14ac:dyDescent="0.3">
      <c r="A49" s="314" t="s">
        <v>485</v>
      </c>
      <c r="B49" s="319" t="s">
        <v>205</v>
      </c>
      <c r="C49" s="319" t="s">
        <v>205</v>
      </c>
      <c r="D49" s="319" t="s">
        <v>205</v>
      </c>
      <c r="E49" s="319" t="s">
        <v>205</v>
      </c>
      <c r="F49" s="320" t="s">
        <v>203</v>
      </c>
      <c r="H49" s="314" t="s">
        <v>485</v>
      </c>
      <c r="I49" s="325" t="s">
        <v>563</v>
      </c>
      <c r="J49" s="325" t="s">
        <v>563</v>
      </c>
      <c r="K49" s="325" t="s">
        <v>563</v>
      </c>
      <c r="L49" s="325" t="s">
        <v>563</v>
      </c>
      <c r="M49" s="326" t="s">
        <v>564</v>
      </c>
    </row>
    <row r="50" spans="1:13" x14ac:dyDescent="0.25">
      <c r="A50" s="376" t="s">
        <v>1538</v>
      </c>
      <c r="B50" s="376">
        <f>SUMPRODUCT(B32:F32,B41:F41)/SUM(B41:F41)*2</f>
        <v>17669.808571428573</v>
      </c>
    </row>
    <row r="51" spans="1:13" x14ac:dyDescent="0.25">
      <c r="A51" s="327" t="s">
        <v>599</v>
      </c>
      <c r="B51" s="328" t="s">
        <v>600</v>
      </c>
      <c r="H51" s="327" t="s">
        <v>599</v>
      </c>
      <c r="I51" s="328" t="s">
        <v>600</v>
      </c>
    </row>
    <row r="53" spans="1:13" x14ac:dyDescent="0.25">
      <c r="A53" s="317" t="s">
        <v>1539</v>
      </c>
      <c r="B53" s="652">
        <f>SUMPRODUCT(B41:E41,B31:E31)/SUM(B41:E41)*2</f>
        <v>11405.461333333333</v>
      </c>
    </row>
    <row r="54" spans="1:13" x14ac:dyDescent="0.25">
      <c r="A54" s="317" t="s">
        <v>1540</v>
      </c>
      <c r="B54" s="652">
        <f>SUMPRODUCT(B41:E41,B32:E32)/SUM(B41:E41)*2</f>
        <v>15705.776000000002</v>
      </c>
    </row>
    <row r="55" spans="1:13" x14ac:dyDescent="0.25">
      <c r="A55" s="317" t="s">
        <v>1541</v>
      </c>
      <c r="B55" s="651">
        <f>(SUMPRODUCT(B33:E33,B41:E41)/(SUMPRODUCT(B31:E31,B41:E41)))</f>
        <v>0.21075564267691174</v>
      </c>
    </row>
  </sheetData>
  <conditionalFormatting sqref="B35:C35 E35">
    <cfRule type="cellIs" dxfId="1" priority="2" operator="greaterThan">
      <formula>0.9</formula>
    </cfRule>
  </conditionalFormatting>
  <conditionalFormatting sqref="I35:L35">
    <cfRule type="cellIs" dxfId="0" priority="1" operator="greaterThan">
      <formula>0.9</formula>
    </cfRule>
  </conditionalFormatting>
  <hyperlinks>
    <hyperlink ref="B51" r:id="rId1" xr:uid="{7D20A612-AB49-4771-8BD4-69A9E50FF618}"/>
    <hyperlink ref="I51" r:id="rId2" xr:uid="{CA516065-D643-4C19-969E-CB37E5DC8CC8}"/>
  </hyperlinks>
  <pageMargins left="0.25" right="0.25" top="0.75" bottom="0.75" header="0.3" footer="0.3"/>
  <pageSetup scale="40"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C196B-9347-4AEB-B55F-47ECE597EFE7}">
  <sheetPr filterMode="1">
    <tabColor theme="1"/>
  </sheetPr>
  <dimension ref="A1:V74"/>
  <sheetViews>
    <sheetView zoomScale="70" zoomScaleNormal="70" workbookViewId="0">
      <selection activeCell="G70" sqref="G70"/>
    </sheetView>
  </sheetViews>
  <sheetFormatPr defaultRowHeight="15" x14ac:dyDescent="0.25"/>
  <cols>
    <col min="1" max="1" width="42.85546875" style="379" bestFit="1" customWidth="1"/>
    <col min="2" max="2" width="59.140625" style="379" bestFit="1" customWidth="1"/>
    <col min="3" max="3" width="17.85546875" style="379" bestFit="1" customWidth="1"/>
    <col min="4" max="4" width="14.85546875" style="379" bestFit="1" customWidth="1"/>
    <col min="5" max="5" width="10.85546875" style="379" bestFit="1" customWidth="1"/>
    <col min="6" max="6" width="32.28515625" style="379" bestFit="1" customWidth="1"/>
    <col min="7" max="7" width="24.28515625" style="379" bestFit="1" customWidth="1"/>
    <col min="8" max="8" width="19" style="379" bestFit="1" customWidth="1"/>
    <col min="9" max="9" width="9.28515625" style="379" bestFit="1" customWidth="1"/>
    <col min="10" max="10" width="12.28515625" style="379" bestFit="1" customWidth="1"/>
    <col min="11" max="11" width="15.28515625" style="379" bestFit="1" customWidth="1"/>
    <col min="12" max="17" width="5" style="379" bestFit="1" customWidth="1"/>
    <col min="18" max="18" width="11.42578125" style="379" bestFit="1" customWidth="1"/>
    <col min="19" max="19" width="12" style="379" bestFit="1" customWidth="1"/>
    <col min="20" max="20" width="15.7109375" style="379" bestFit="1" customWidth="1"/>
    <col min="21" max="21" width="26.7109375" style="379" bestFit="1" customWidth="1"/>
    <col min="22" max="16384" width="9.140625" style="379"/>
  </cols>
  <sheetData>
    <row r="1" spans="1:22" x14ac:dyDescent="0.25">
      <c r="A1" s="394" t="s">
        <v>1527</v>
      </c>
      <c r="B1" s="394" t="s">
        <v>1526</v>
      </c>
      <c r="C1" s="394" t="s">
        <v>1525</v>
      </c>
      <c r="D1" s="394" t="s">
        <v>1524</v>
      </c>
      <c r="E1" s="394" t="s">
        <v>1523</v>
      </c>
      <c r="F1" s="394" t="s">
        <v>1522</v>
      </c>
      <c r="G1" s="394" t="s">
        <v>1521</v>
      </c>
      <c r="H1" s="394">
        <v>2020</v>
      </c>
      <c r="I1" s="394">
        <v>2019</v>
      </c>
      <c r="J1" s="394">
        <v>2018</v>
      </c>
      <c r="K1" s="394">
        <v>2017</v>
      </c>
      <c r="L1" s="394">
        <v>2016</v>
      </c>
      <c r="M1" s="394">
        <v>2015</v>
      </c>
      <c r="N1" s="394">
        <v>2014</v>
      </c>
      <c r="O1" s="394">
        <v>2013</v>
      </c>
      <c r="P1" s="394">
        <v>2012</v>
      </c>
      <c r="Q1" s="394">
        <v>2011</v>
      </c>
      <c r="R1" s="394" t="s">
        <v>1520</v>
      </c>
      <c r="S1" s="394" t="s">
        <v>1519</v>
      </c>
      <c r="T1" s="394" t="s">
        <v>1518</v>
      </c>
      <c r="U1" s="394" t="s">
        <v>1517</v>
      </c>
      <c r="V1" s="394" t="s">
        <v>1516</v>
      </c>
    </row>
    <row r="2" spans="1:22" hidden="1" x14ac:dyDescent="0.25">
      <c r="A2" s="379">
        <v>1</v>
      </c>
      <c r="B2" s="379" t="s">
        <v>1513</v>
      </c>
      <c r="C2" s="379">
        <v>0.27600000000000002</v>
      </c>
      <c r="D2" s="379">
        <v>545</v>
      </c>
      <c r="E2" s="379">
        <v>590</v>
      </c>
      <c r="F2" s="379">
        <v>635</v>
      </c>
      <c r="G2" s="379">
        <v>679</v>
      </c>
      <c r="H2" s="379">
        <v>369</v>
      </c>
      <c r="I2" s="379">
        <v>421</v>
      </c>
      <c r="J2" s="379">
        <v>330</v>
      </c>
      <c r="K2" s="379">
        <v>1</v>
      </c>
      <c r="L2" s="379">
        <v>2</v>
      </c>
      <c r="M2" s="379">
        <v>3</v>
      </c>
      <c r="N2" s="379">
        <v>0</v>
      </c>
      <c r="O2" s="379">
        <v>0</v>
      </c>
      <c r="P2" s="379">
        <v>0</v>
      </c>
      <c r="Q2" s="379">
        <v>0</v>
      </c>
      <c r="R2" s="379">
        <v>37</v>
      </c>
      <c r="S2" s="379">
        <v>1456.8526819569099</v>
      </c>
      <c r="T2" s="379">
        <v>373.33333333333331</v>
      </c>
      <c r="U2" s="379">
        <f t="shared" ref="U2:U26" si="0">C2</f>
        <v>0.27600000000000002</v>
      </c>
    </row>
    <row r="3" spans="1:22" hidden="1" x14ac:dyDescent="0.25">
      <c r="A3" s="379">
        <v>2</v>
      </c>
      <c r="B3" s="379" t="s">
        <v>1515</v>
      </c>
      <c r="C3" s="379">
        <v>0.34499999999999997</v>
      </c>
      <c r="D3" s="379">
        <v>324</v>
      </c>
      <c r="E3" s="379">
        <v>347</v>
      </c>
      <c r="F3" s="379">
        <v>369</v>
      </c>
      <c r="G3" s="379">
        <v>391</v>
      </c>
      <c r="H3" s="379">
        <v>235</v>
      </c>
      <c r="I3" s="379">
        <v>235</v>
      </c>
      <c r="J3" s="379">
        <v>190</v>
      </c>
      <c r="K3" s="379">
        <v>1</v>
      </c>
      <c r="L3" s="379">
        <v>2</v>
      </c>
      <c r="M3" s="379">
        <v>3</v>
      </c>
      <c r="N3" s="379">
        <v>0</v>
      </c>
      <c r="O3" s="379">
        <v>0</v>
      </c>
      <c r="P3" s="379">
        <v>0</v>
      </c>
      <c r="Q3" s="379">
        <v>0</v>
      </c>
      <c r="R3" s="379">
        <v>24</v>
      </c>
      <c r="S3" s="379">
        <v>1817.71435771285</v>
      </c>
      <c r="T3" s="379">
        <v>220</v>
      </c>
      <c r="U3" s="379">
        <f t="shared" si="0"/>
        <v>0.34499999999999997</v>
      </c>
    </row>
    <row r="4" spans="1:22" hidden="1" x14ac:dyDescent="0.25">
      <c r="A4" s="379">
        <v>3</v>
      </c>
      <c r="B4" s="379" t="s">
        <v>199</v>
      </c>
      <c r="C4" s="379">
        <v>4.0019999000000004</v>
      </c>
      <c r="D4" s="379">
        <v>7835</v>
      </c>
      <c r="E4" s="379">
        <v>8393</v>
      </c>
      <c r="F4" s="379">
        <v>8933</v>
      </c>
      <c r="G4" s="379">
        <v>9474</v>
      </c>
      <c r="H4" s="379">
        <v>5690</v>
      </c>
      <c r="I4" s="379">
        <v>5555</v>
      </c>
      <c r="J4" s="379">
        <v>5320</v>
      </c>
      <c r="K4" s="379">
        <v>5252</v>
      </c>
      <c r="L4" s="379">
        <v>5140</v>
      </c>
      <c r="M4" s="379">
        <v>4780</v>
      </c>
      <c r="N4" s="379">
        <v>4585</v>
      </c>
      <c r="O4" s="379">
        <v>4800</v>
      </c>
      <c r="P4" s="379">
        <v>4795</v>
      </c>
      <c r="Q4" s="379">
        <v>5065</v>
      </c>
      <c r="R4" s="379">
        <v>1218</v>
      </c>
      <c r="S4" s="379">
        <v>1318.4386690956101</v>
      </c>
      <c r="T4" s="379">
        <v>5391.4</v>
      </c>
      <c r="U4" s="379">
        <f t="shared" si="0"/>
        <v>4.0019999000000004</v>
      </c>
    </row>
    <row r="5" spans="1:22" hidden="1" x14ac:dyDescent="0.25">
      <c r="A5" s="379">
        <v>4</v>
      </c>
      <c r="B5" s="379" t="s">
        <v>96</v>
      </c>
      <c r="C5" s="379">
        <v>5.9710001999999998</v>
      </c>
      <c r="D5" s="379">
        <v>8386</v>
      </c>
      <c r="E5" s="379">
        <v>8983</v>
      </c>
      <c r="F5" s="379">
        <v>9561</v>
      </c>
      <c r="G5" s="379">
        <v>10140</v>
      </c>
      <c r="H5" s="379">
        <v>6090</v>
      </c>
      <c r="I5" s="379">
        <v>5615</v>
      </c>
      <c r="J5" s="379">
        <v>5380</v>
      </c>
      <c r="K5" s="379">
        <v>5317</v>
      </c>
      <c r="L5" s="379">
        <v>5205</v>
      </c>
      <c r="M5" s="379">
        <v>4840</v>
      </c>
      <c r="N5" s="379">
        <v>4585</v>
      </c>
      <c r="O5" s="379">
        <v>4705</v>
      </c>
      <c r="P5" s="379">
        <v>5080</v>
      </c>
      <c r="Q5" s="379">
        <v>5310</v>
      </c>
      <c r="R5" s="379">
        <v>1261</v>
      </c>
      <c r="S5" s="379">
        <v>31521.254430010398</v>
      </c>
      <c r="T5" s="379">
        <v>5521.4</v>
      </c>
      <c r="U5" s="379">
        <f t="shared" si="0"/>
        <v>5.9710001999999998</v>
      </c>
    </row>
    <row r="6" spans="1:22" hidden="1" x14ac:dyDescent="0.25">
      <c r="A6" s="379">
        <v>5</v>
      </c>
      <c r="B6" s="379" t="s">
        <v>1513</v>
      </c>
      <c r="C6" s="379">
        <v>0.34799999999999998</v>
      </c>
      <c r="D6" s="379">
        <v>143</v>
      </c>
      <c r="E6" s="379">
        <v>153</v>
      </c>
      <c r="F6" s="379">
        <v>163</v>
      </c>
      <c r="G6" s="379">
        <v>173</v>
      </c>
      <c r="H6" s="379">
        <v>104</v>
      </c>
      <c r="I6" s="379">
        <v>104</v>
      </c>
      <c r="J6" s="379">
        <v>105</v>
      </c>
      <c r="K6" s="379">
        <v>1</v>
      </c>
      <c r="L6" s="379">
        <v>2</v>
      </c>
      <c r="M6" s="379">
        <v>3</v>
      </c>
      <c r="N6" s="379">
        <v>0</v>
      </c>
      <c r="O6" s="379">
        <v>0</v>
      </c>
      <c r="P6" s="379">
        <v>0</v>
      </c>
      <c r="Q6" s="379">
        <v>0</v>
      </c>
      <c r="R6" s="379">
        <v>10</v>
      </c>
      <c r="S6" s="379">
        <v>1835.38498256406</v>
      </c>
      <c r="T6" s="379">
        <v>104.33333333333333</v>
      </c>
      <c r="U6" s="379">
        <f t="shared" si="0"/>
        <v>0.34799999999999998</v>
      </c>
    </row>
    <row r="7" spans="1:22" hidden="1" x14ac:dyDescent="0.25">
      <c r="A7" s="379">
        <v>6</v>
      </c>
      <c r="B7" s="379" t="s">
        <v>1513</v>
      </c>
      <c r="C7" s="379">
        <v>0.35099999999999998</v>
      </c>
      <c r="D7" s="379">
        <v>123</v>
      </c>
      <c r="E7" s="379">
        <v>131</v>
      </c>
      <c r="F7" s="379">
        <v>140</v>
      </c>
      <c r="G7" s="379">
        <v>148</v>
      </c>
      <c r="H7" s="379">
        <v>89</v>
      </c>
      <c r="I7" s="379">
        <v>89</v>
      </c>
      <c r="J7" s="379">
        <v>75</v>
      </c>
      <c r="K7" s="379">
        <v>1</v>
      </c>
      <c r="L7" s="379">
        <v>2</v>
      </c>
      <c r="M7" s="379">
        <v>3</v>
      </c>
      <c r="N7" s="379">
        <v>0</v>
      </c>
      <c r="O7" s="379">
        <v>0</v>
      </c>
      <c r="P7" s="379">
        <v>0</v>
      </c>
      <c r="Q7" s="379">
        <v>0</v>
      </c>
      <c r="R7" s="379">
        <v>9</v>
      </c>
      <c r="S7" s="379">
        <v>1853.36616905954</v>
      </c>
      <c r="T7" s="379">
        <v>84.333333333333329</v>
      </c>
      <c r="U7" s="379">
        <f t="shared" si="0"/>
        <v>0.35099999999999998</v>
      </c>
    </row>
    <row r="8" spans="1:22" hidden="1" x14ac:dyDescent="0.25">
      <c r="A8" s="379">
        <v>7</v>
      </c>
      <c r="B8" s="379" t="s">
        <v>96</v>
      </c>
      <c r="C8" s="379">
        <v>5.2140002000000001</v>
      </c>
      <c r="D8" s="379">
        <v>11609</v>
      </c>
      <c r="E8" s="379">
        <v>12584</v>
      </c>
      <c r="F8" s="379">
        <v>13528</v>
      </c>
      <c r="G8" s="379">
        <v>14472</v>
      </c>
      <c r="H8" s="379">
        <v>7865</v>
      </c>
      <c r="I8" s="379">
        <v>8100</v>
      </c>
      <c r="J8" s="379">
        <v>7760</v>
      </c>
      <c r="K8" s="379">
        <v>7469</v>
      </c>
      <c r="L8" s="379">
        <v>6875</v>
      </c>
      <c r="M8" s="379">
        <v>6395</v>
      </c>
      <c r="N8" s="379">
        <v>6100</v>
      </c>
      <c r="O8" s="379">
        <v>6170</v>
      </c>
      <c r="P8" s="379">
        <v>6665</v>
      </c>
      <c r="Q8" s="379">
        <v>6415</v>
      </c>
      <c r="R8" s="379">
        <v>1479</v>
      </c>
      <c r="S8" s="379">
        <v>24709.707625282401</v>
      </c>
      <c r="T8" s="379">
        <v>7613.8</v>
      </c>
      <c r="U8" s="379">
        <f t="shared" si="0"/>
        <v>5.2140002000000001</v>
      </c>
    </row>
    <row r="9" spans="1:22" hidden="1" x14ac:dyDescent="0.25">
      <c r="A9" s="379">
        <v>8</v>
      </c>
      <c r="B9" s="379" t="s">
        <v>96</v>
      </c>
      <c r="C9" s="379">
        <v>4.0320001000000003</v>
      </c>
      <c r="D9" s="379">
        <v>8379</v>
      </c>
      <c r="E9" s="379">
        <v>8975</v>
      </c>
      <c r="F9" s="379">
        <v>9553</v>
      </c>
      <c r="G9" s="379">
        <v>10132</v>
      </c>
      <c r="H9" s="379">
        <v>6085</v>
      </c>
      <c r="I9" s="379">
        <v>5660</v>
      </c>
      <c r="J9" s="379">
        <v>5420</v>
      </c>
      <c r="K9" s="379">
        <v>5360</v>
      </c>
      <c r="L9" s="379">
        <v>5245</v>
      </c>
      <c r="M9" s="379">
        <v>4880</v>
      </c>
      <c r="N9" s="379">
        <v>4620</v>
      </c>
      <c r="O9" s="379">
        <v>4745</v>
      </c>
      <c r="P9" s="379">
        <v>5120</v>
      </c>
      <c r="Q9" s="379">
        <v>5355</v>
      </c>
      <c r="R9" s="379">
        <v>1272</v>
      </c>
      <c r="S9" s="379">
        <v>21288.362949504499</v>
      </c>
      <c r="T9" s="379">
        <v>5554</v>
      </c>
      <c r="U9" s="379">
        <f t="shared" si="0"/>
        <v>4.0320001000000003</v>
      </c>
    </row>
    <row r="10" spans="1:22" hidden="1" x14ac:dyDescent="0.25">
      <c r="A10" s="379">
        <v>9</v>
      </c>
      <c r="B10" s="379">
        <v>38</v>
      </c>
      <c r="C10" s="379">
        <v>5.9070001000000003</v>
      </c>
      <c r="D10" s="379">
        <v>1814</v>
      </c>
      <c r="E10" s="379">
        <v>1918</v>
      </c>
      <c r="F10" s="379">
        <v>2023</v>
      </c>
      <c r="G10" s="379">
        <v>2127</v>
      </c>
      <c r="H10" s="379">
        <v>1395</v>
      </c>
      <c r="I10" s="379">
        <v>1545</v>
      </c>
      <c r="J10" s="379">
        <v>1425</v>
      </c>
      <c r="K10" s="379">
        <v>1348</v>
      </c>
      <c r="L10" s="379">
        <v>1377</v>
      </c>
      <c r="M10" s="379">
        <v>1340</v>
      </c>
      <c r="N10" s="379">
        <v>1320</v>
      </c>
      <c r="O10" s="379">
        <v>1314</v>
      </c>
      <c r="P10" s="379">
        <v>1271</v>
      </c>
      <c r="Q10" s="379">
        <v>1160</v>
      </c>
      <c r="R10" s="379">
        <v>61</v>
      </c>
      <c r="S10" s="379">
        <v>11581.448602939399</v>
      </c>
      <c r="T10" s="379">
        <v>1418</v>
      </c>
      <c r="U10" s="379">
        <f t="shared" si="0"/>
        <v>5.9070001000000003</v>
      </c>
    </row>
    <row r="11" spans="1:22" hidden="1" x14ac:dyDescent="0.25">
      <c r="A11" s="379">
        <v>10</v>
      </c>
      <c r="B11" s="379">
        <v>38</v>
      </c>
      <c r="C11" s="379">
        <v>1.046</v>
      </c>
      <c r="D11" s="379">
        <v>3359</v>
      </c>
      <c r="E11" s="379">
        <v>3632</v>
      </c>
      <c r="F11" s="379">
        <v>3918</v>
      </c>
      <c r="G11" s="379">
        <v>4204</v>
      </c>
      <c r="H11" s="379">
        <v>2201</v>
      </c>
      <c r="I11" s="379">
        <v>2302</v>
      </c>
      <c r="J11" s="379">
        <v>2182</v>
      </c>
      <c r="K11" s="379">
        <v>1623</v>
      </c>
      <c r="L11" s="379">
        <v>1658</v>
      </c>
      <c r="M11" s="379">
        <v>1614</v>
      </c>
      <c r="N11" s="379">
        <v>1590</v>
      </c>
      <c r="O11" s="379">
        <v>1584</v>
      </c>
      <c r="P11" s="379">
        <v>1532</v>
      </c>
      <c r="Q11" s="379">
        <v>1269</v>
      </c>
      <c r="R11" s="379">
        <v>55</v>
      </c>
      <c r="S11" s="379">
        <v>1452.10633841094</v>
      </c>
      <c r="T11" s="379">
        <v>1993.2</v>
      </c>
      <c r="U11" s="379">
        <f t="shared" si="0"/>
        <v>1.046</v>
      </c>
    </row>
    <row r="12" spans="1:22" hidden="1" x14ac:dyDescent="0.25">
      <c r="A12" s="379">
        <v>11</v>
      </c>
      <c r="B12" s="379">
        <v>38</v>
      </c>
      <c r="C12" s="379">
        <v>2.2920001000000001</v>
      </c>
      <c r="D12" s="379">
        <v>6237</v>
      </c>
      <c r="E12" s="379">
        <v>6744</v>
      </c>
      <c r="F12" s="379">
        <v>7275</v>
      </c>
      <c r="G12" s="379">
        <v>7806</v>
      </c>
      <c r="H12" s="379">
        <v>4087</v>
      </c>
      <c r="I12" s="379">
        <v>4275</v>
      </c>
      <c r="J12" s="379">
        <v>4052</v>
      </c>
      <c r="K12" s="379">
        <v>3933</v>
      </c>
      <c r="L12" s="379">
        <v>3642</v>
      </c>
      <c r="M12" s="379">
        <v>3606</v>
      </c>
      <c r="N12" s="379">
        <v>3275</v>
      </c>
      <c r="O12" s="379">
        <v>3359</v>
      </c>
      <c r="P12" s="379">
        <v>3406</v>
      </c>
      <c r="Q12" s="379">
        <v>3524</v>
      </c>
      <c r="R12" s="379">
        <v>94</v>
      </c>
      <c r="S12" s="379">
        <v>2486.49356255051</v>
      </c>
      <c r="T12" s="379">
        <v>3997.8</v>
      </c>
      <c r="U12" s="379">
        <f t="shared" si="0"/>
        <v>2.2920001000000001</v>
      </c>
    </row>
    <row r="13" spans="1:22" x14ac:dyDescent="0.25">
      <c r="A13" s="19">
        <v>12</v>
      </c>
      <c r="B13" s="19" t="s">
        <v>199</v>
      </c>
      <c r="C13" s="19">
        <v>5.9679998999999997</v>
      </c>
      <c r="D13" s="19">
        <v>8386</v>
      </c>
      <c r="E13" s="19">
        <v>8983</v>
      </c>
      <c r="F13" s="19">
        <v>9561</v>
      </c>
      <c r="G13" s="19">
        <v>10140</v>
      </c>
      <c r="H13" s="19">
        <v>6090</v>
      </c>
      <c r="I13" s="19">
        <v>5615</v>
      </c>
      <c r="J13" s="19">
        <v>5380</v>
      </c>
      <c r="K13" s="19">
        <v>5317</v>
      </c>
      <c r="L13" s="19">
        <v>5205</v>
      </c>
      <c r="M13" s="19">
        <v>4840</v>
      </c>
      <c r="N13" s="19">
        <v>4585</v>
      </c>
      <c r="O13" s="19">
        <v>4705</v>
      </c>
      <c r="P13" s="19">
        <v>5080</v>
      </c>
      <c r="Q13" s="19">
        <v>5310</v>
      </c>
      <c r="R13" s="19">
        <v>1261</v>
      </c>
      <c r="S13" s="19">
        <v>31518.423519759199</v>
      </c>
      <c r="T13" s="19">
        <f>K13</f>
        <v>5317</v>
      </c>
      <c r="U13" s="19">
        <f t="shared" si="0"/>
        <v>5.9679998999999997</v>
      </c>
      <c r="V13" s="379" t="s">
        <v>1503</v>
      </c>
    </row>
    <row r="14" spans="1:22" hidden="1" x14ac:dyDescent="0.25">
      <c r="A14" s="379">
        <v>13</v>
      </c>
      <c r="B14" s="379" t="s">
        <v>1512</v>
      </c>
      <c r="C14" s="379">
        <v>0.315</v>
      </c>
      <c r="D14" s="379">
        <v>2613</v>
      </c>
      <c r="E14" s="379">
        <v>2832</v>
      </c>
      <c r="F14" s="379">
        <v>3044</v>
      </c>
      <c r="G14" s="379">
        <v>3257</v>
      </c>
      <c r="H14" s="379">
        <v>1770</v>
      </c>
      <c r="I14" s="379">
        <v>1770</v>
      </c>
      <c r="J14" s="379">
        <v>675</v>
      </c>
      <c r="K14" s="379">
        <v>1</v>
      </c>
      <c r="L14" s="379">
        <v>2</v>
      </c>
      <c r="M14" s="379">
        <v>3</v>
      </c>
      <c r="N14" s="379">
        <v>0</v>
      </c>
      <c r="O14" s="379">
        <v>0</v>
      </c>
      <c r="P14" s="379">
        <v>0</v>
      </c>
      <c r="Q14" s="379">
        <v>0</v>
      </c>
      <c r="R14" s="379">
        <v>177</v>
      </c>
      <c r="S14" s="379">
        <v>1664.2087774363299</v>
      </c>
      <c r="T14" s="379">
        <v>1405</v>
      </c>
      <c r="U14" s="379">
        <f t="shared" si="0"/>
        <v>0.315</v>
      </c>
    </row>
    <row r="15" spans="1:22" hidden="1" x14ac:dyDescent="0.25">
      <c r="A15" s="379">
        <v>14</v>
      </c>
      <c r="B15" s="379" t="s">
        <v>1515</v>
      </c>
      <c r="C15" s="379">
        <v>0.33100000000000002</v>
      </c>
      <c r="D15" s="379">
        <v>80</v>
      </c>
      <c r="E15" s="379">
        <v>86</v>
      </c>
      <c r="F15" s="379">
        <v>91</v>
      </c>
      <c r="G15" s="379">
        <v>97</v>
      </c>
      <c r="H15" s="379">
        <v>58</v>
      </c>
      <c r="I15" s="379">
        <v>58</v>
      </c>
      <c r="J15" s="379">
        <v>60</v>
      </c>
      <c r="K15" s="379">
        <v>1</v>
      </c>
      <c r="L15" s="379">
        <v>2</v>
      </c>
      <c r="M15" s="379">
        <v>3</v>
      </c>
      <c r="N15" s="379">
        <v>0</v>
      </c>
      <c r="O15" s="379">
        <v>0</v>
      </c>
      <c r="P15" s="379">
        <v>0</v>
      </c>
      <c r="Q15" s="379">
        <v>0</v>
      </c>
      <c r="R15" s="379">
        <v>6</v>
      </c>
      <c r="S15" s="379">
        <v>1750.95724855093</v>
      </c>
      <c r="T15" s="379">
        <v>58.666666666666664</v>
      </c>
      <c r="U15" s="379">
        <f t="shared" si="0"/>
        <v>0.33100000000000002</v>
      </c>
    </row>
    <row r="16" spans="1:22" hidden="1" x14ac:dyDescent="0.25">
      <c r="A16" s="379">
        <v>15</v>
      </c>
      <c r="B16" s="379" t="s">
        <v>1513</v>
      </c>
      <c r="C16" s="379">
        <v>0.35899999999999999</v>
      </c>
      <c r="D16" s="379">
        <v>866</v>
      </c>
      <c r="E16" s="379">
        <v>928</v>
      </c>
      <c r="F16" s="379">
        <v>988</v>
      </c>
      <c r="G16" s="379">
        <v>1047</v>
      </c>
      <c r="H16" s="379">
        <v>629</v>
      </c>
      <c r="I16" s="379">
        <v>629</v>
      </c>
      <c r="J16" s="379">
        <v>485</v>
      </c>
      <c r="K16" s="379">
        <v>1</v>
      </c>
      <c r="L16" s="379">
        <v>2</v>
      </c>
      <c r="M16" s="379">
        <v>3</v>
      </c>
      <c r="N16" s="379">
        <v>0</v>
      </c>
      <c r="O16" s="379">
        <v>0</v>
      </c>
      <c r="P16" s="379">
        <v>0</v>
      </c>
      <c r="Q16" s="379">
        <v>0</v>
      </c>
      <c r="R16" s="379">
        <v>63</v>
      </c>
      <c r="S16" s="379">
        <v>1896.3914391288299</v>
      </c>
      <c r="T16" s="379">
        <v>581</v>
      </c>
      <c r="U16" s="379">
        <f t="shared" si="0"/>
        <v>0.35899999999999999</v>
      </c>
    </row>
    <row r="17" spans="1:22" hidden="1" x14ac:dyDescent="0.25">
      <c r="A17" s="379">
        <v>16</v>
      </c>
      <c r="B17" s="379" t="s">
        <v>1514</v>
      </c>
      <c r="C17" s="379">
        <v>0.19600000000000001</v>
      </c>
      <c r="D17" s="379">
        <v>272</v>
      </c>
      <c r="E17" s="379">
        <v>294</v>
      </c>
      <c r="F17" s="379">
        <v>316</v>
      </c>
      <c r="G17" s="379">
        <v>339</v>
      </c>
      <c r="H17" s="379">
        <v>184</v>
      </c>
      <c r="I17" s="379">
        <v>210</v>
      </c>
      <c r="J17" s="379">
        <v>220</v>
      </c>
      <c r="K17" s="379">
        <v>1</v>
      </c>
      <c r="L17" s="379">
        <v>2</v>
      </c>
      <c r="M17" s="379">
        <v>3</v>
      </c>
      <c r="N17" s="379">
        <v>0</v>
      </c>
      <c r="O17" s="379">
        <v>0</v>
      </c>
      <c r="P17" s="379">
        <v>0</v>
      </c>
      <c r="Q17" s="379">
        <v>0</v>
      </c>
      <c r="R17" s="379">
        <v>18</v>
      </c>
      <c r="S17" s="379">
        <v>1034.62203237016</v>
      </c>
      <c r="T17" s="379">
        <v>204.66666666666666</v>
      </c>
      <c r="U17" s="379">
        <f t="shared" si="0"/>
        <v>0.19600000000000001</v>
      </c>
    </row>
    <row r="18" spans="1:22" hidden="1" x14ac:dyDescent="0.25">
      <c r="A18" s="379">
        <v>17</v>
      </c>
      <c r="B18" s="379">
        <v>19</v>
      </c>
      <c r="C18" s="379">
        <v>0.16800000000000001</v>
      </c>
      <c r="D18" s="379">
        <v>3452</v>
      </c>
      <c r="E18" s="379">
        <v>3732</v>
      </c>
      <c r="F18" s="379">
        <v>4026</v>
      </c>
      <c r="G18" s="379">
        <v>4320</v>
      </c>
      <c r="H18" s="379">
        <v>2262</v>
      </c>
      <c r="I18" s="379">
        <v>2101</v>
      </c>
      <c r="J18" s="379">
        <v>2090</v>
      </c>
      <c r="K18" s="379">
        <v>2010</v>
      </c>
      <c r="L18" s="379">
        <v>1746</v>
      </c>
      <c r="M18" s="379">
        <v>1679</v>
      </c>
      <c r="N18" s="379">
        <v>1930</v>
      </c>
      <c r="O18" s="379">
        <v>1907</v>
      </c>
      <c r="P18" s="379">
        <v>1744</v>
      </c>
      <c r="Q18" s="379">
        <v>1132</v>
      </c>
      <c r="R18" s="379">
        <v>201</v>
      </c>
      <c r="S18" s="379">
        <v>872.23759229185703</v>
      </c>
      <c r="T18" s="379">
        <v>2041.8</v>
      </c>
      <c r="U18" s="379">
        <f t="shared" si="0"/>
        <v>0.16800000000000001</v>
      </c>
    </row>
    <row r="19" spans="1:22" hidden="1" x14ac:dyDescent="0.25">
      <c r="A19" s="379">
        <v>18</v>
      </c>
      <c r="B19" s="379" t="s">
        <v>1512</v>
      </c>
      <c r="C19" s="379">
        <v>0.34499999999999997</v>
      </c>
      <c r="D19" s="379">
        <v>102</v>
      </c>
      <c r="E19" s="379">
        <v>109</v>
      </c>
      <c r="F19" s="379">
        <v>116</v>
      </c>
      <c r="G19" s="379">
        <v>123</v>
      </c>
      <c r="H19" s="379">
        <v>74</v>
      </c>
      <c r="I19" s="379">
        <v>74</v>
      </c>
      <c r="J19" s="379">
        <v>115</v>
      </c>
      <c r="K19" s="379">
        <v>1</v>
      </c>
      <c r="L19" s="379">
        <v>2</v>
      </c>
      <c r="M19" s="379">
        <v>3</v>
      </c>
      <c r="N19" s="379">
        <v>0</v>
      </c>
      <c r="O19" s="379">
        <v>0</v>
      </c>
      <c r="P19" s="379">
        <v>0</v>
      </c>
      <c r="Q19" s="379">
        <v>0</v>
      </c>
      <c r="R19" s="379">
        <v>7</v>
      </c>
      <c r="S19" s="379">
        <v>1818.3758756029099</v>
      </c>
      <c r="T19" s="379">
        <v>87.666666666666671</v>
      </c>
      <c r="U19" s="379">
        <f t="shared" si="0"/>
        <v>0.34499999999999997</v>
      </c>
    </row>
    <row r="20" spans="1:22" hidden="1" x14ac:dyDescent="0.25">
      <c r="A20" s="379">
        <v>19</v>
      </c>
      <c r="B20" s="379" t="s">
        <v>1514</v>
      </c>
      <c r="C20" s="379">
        <v>0.34</v>
      </c>
      <c r="D20" s="379">
        <v>65</v>
      </c>
      <c r="E20" s="379">
        <v>69</v>
      </c>
      <c r="F20" s="379">
        <v>74</v>
      </c>
      <c r="G20" s="379">
        <v>78</v>
      </c>
      <c r="H20" s="379">
        <v>47</v>
      </c>
      <c r="I20" s="379">
        <v>47</v>
      </c>
      <c r="J20" s="379">
        <v>60</v>
      </c>
      <c r="K20" s="379">
        <v>1</v>
      </c>
      <c r="L20" s="379">
        <v>2</v>
      </c>
      <c r="M20" s="379">
        <v>3</v>
      </c>
      <c r="N20" s="379">
        <v>0</v>
      </c>
      <c r="O20" s="379">
        <v>0</v>
      </c>
      <c r="P20" s="379">
        <v>0</v>
      </c>
      <c r="Q20" s="379">
        <v>0</v>
      </c>
      <c r="R20" s="379">
        <v>5</v>
      </c>
      <c r="S20" s="379">
        <v>1371.71979483072</v>
      </c>
      <c r="T20" s="379">
        <v>51.333333333333336</v>
      </c>
      <c r="U20" s="379">
        <f t="shared" si="0"/>
        <v>0.34</v>
      </c>
    </row>
    <row r="21" spans="1:22" hidden="1" x14ac:dyDescent="0.25">
      <c r="A21" s="379">
        <v>20</v>
      </c>
      <c r="B21" s="379" t="s">
        <v>1512</v>
      </c>
      <c r="C21" s="379">
        <v>0.38900000000000001</v>
      </c>
      <c r="D21" s="379">
        <v>833</v>
      </c>
      <c r="E21" s="379">
        <v>892</v>
      </c>
      <c r="F21" s="379">
        <v>950</v>
      </c>
      <c r="G21" s="379">
        <v>1007</v>
      </c>
      <c r="H21" s="379">
        <v>605</v>
      </c>
      <c r="I21" s="379">
        <v>605</v>
      </c>
      <c r="J21" s="379">
        <v>465</v>
      </c>
      <c r="K21" s="379">
        <v>1</v>
      </c>
      <c r="L21" s="379">
        <v>2</v>
      </c>
      <c r="M21" s="379">
        <v>3</v>
      </c>
      <c r="N21" s="379">
        <v>0</v>
      </c>
      <c r="O21" s="379">
        <v>0</v>
      </c>
      <c r="P21" s="379">
        <v>0</v>
      </c>
      <c r="Q21" s="379">
        <v>0</v>
      </c>
      <c r="R21" s="379">
        <v>61</v>
      </c>
      <c r="S21" s="379">
        <v>2055.84177341231</v>
      </c>
      <c r="T21" s="379">
        <v>558.33333333333337</v>
      </c>
      <c r="U21" s="379">
        <f t="shared" si="0"/>
        <v>0.38900000000000001</v>
      </c>
    </row>
    <row r="22" spans="1:22" hidden="1" x14ac:dyDescent="0.25">
      <c r="A22" s="379">
        <v>21</v>
      </c>
      <c r="B22" s="379" t="s">
        <v>1515</v>
      </c>
      <c r="C22" s="379">
        <v>0.36099999999999999</v>
      </c>
      <c r="D22" s="379">
        <v>1114</v>
      </c>
      <c r="E22" s="379">
        <v>1208</v>
      </c>
      <c r="F22" s="379">
        <v>1299</v>
      </c>
      <c r="G22" s="379">
        <v>1389</v>
      </c>
      <c r="H22" s="379">
        <v>755</v>
      </c>
      <c r="I22" s="379">
        <v>755</v>
      </c>
      <c r="J22" s="379">
        <v>500</v>
      </c>
      <c r="K22" s="379">
        <v>1</v>
      </c>
      <c r="L22" s="379">
        <v>2</v>
      </c>
      <c r="M22" s="379">
        <v>3</v>
      </c>
      <c r="N22" s="379">
        <v>0</v>
      </c>
      <c r="O22" s="379">
        <v>0</v>
      </c>
      <c r="P22" s="379">
        <v>0</v>
      </c>
      <c r="Q22" s="379">
        <v>0</v>
      </c>
      <c r="R22" s="379">
        <v>76</v>
      </c>
      <c r="S22" s="379">
        <v>1909.0368485705301</v>
      </c>
      <c r="T22" s="379">
        <v>670</v>
      </c>
      <c r="U22" s="379">
        <f t="shared" si="0"/>
        <v>0.36099999999999999</v>
      </c>
    </row>
    <row r="23" spans="1:22" hidden="1" x14ac:dyDescent="0.25">
      <c r="A23" s="379">
        <v>22</v>
      </c>
      <c r="B23" s="379" t="s">
        <v>199</v>
      </c>
      <c r="C23" s="379">
        <v>2.78</v>
      </c>
      <c r="D23" s="379">
        <v>10339</v>
      </c>
      <c r="E23" s="379">
        <v>11208</v>
      </c>
      <c r="F23" s="379">
        <v>12049</v>
      </c>
      <c r="G23" s="379">
        <v>12889</v>
      </c>
      <c r="H23" s="379">
        <v>7005</v>
      </c>
      <c r="I23" s="379">
        <v>7215</v>
      </c>
      <c r="J23" s="379">
        <v>6910</v>
      </c>
      <c r="K23" s="379">
        <v>6929</v>
      </c>
      <c r="L23" s="379">
        <v>6380</v>
      </c>
      <c r="M23" s="379">
        <v>5935</v>
      </c>
      <c r="N23" s="379">
        <v>5665</v>
      </c>
      <c r="O23" s="379">
        <v>5885</v>
      </c>
      <c r="P23" s="379">
        <v>6355</v>
      </c>
      <c r="Q23" s="379">
        <v>6585</v>
      </c>
      <c r="R23" s="379">
        <v>1317</v>
      </c>
      <c r="S23" s="379">
        <v>14679.646489574699</v>
      </c>
      <c r="T23" s="379">
        <v>6887.8</v>
      </c>
      <c r="U23" s="379">
        <f t="shared" si="0"/>
        <v>2.78</v>
      </c>
    </row>
    <row r="24" spans="1:22" hidden="1" x14ac:dyDescent="0.25">
      <c r="A24" s="379">
        <v>23</v>
      </c>
      <c r="B24" s="379" t="s">
        <v>1515</v>
      </c>
      <c r="C24" s="379">
        <v>0.40899999999999997</v>
      </c>
      <c r="D24" s="379">
        <v>1138</v>
      </c>
      <c r="E24" s="379">
        <v>1234</v>
      </c>
      <c r="F24" s="379">
        <v>1326</v>
      </c>
      <c r="G24" s="379">
        <v>1419</v>
      </c>
      <c r="H24" s="379">
        <v>771</v>
      </c>
      <c r="I24" s="379">
        <v>880</v>
      </c>
      <c r="J24" s="379">
        <v>630</v>
      </c>
      <c r="K24" s="379">
        <v>1</v>
      </c>
      <c r="L24" s="379">
        <v>2</v>
      </c>
      <c r="M24" s="379">
        <v>3</v>
      </c>
      <c r="N24" s="379">
        <v>0</v>
      </c>
      <c r="O24" s="379">
        <v>0</v>
      </c>
      <c r="P24" s="379">
        <v>0</v>
      </c>
      <c r="Q24" s="379">
        <v>0</v>
      </c>
      <c r="R24" s="379">
        <v>77</v>
      </c>
      <c r="S24" s="379">
        <v>2158.7492547656998</v>
      </c>
      <c r="T24" s="379">
        <v>760.33333333333337</v>
      </c>
      <c r="U24" s="379">
        <f t="shared" si="0"/>
        <v>0.40899999999999997</v>
      </c>
    </row>
    <row r="25" spans="1:22" hidden="1" x14ac:dyDescent="0.25">
      <c r="A25" s="379">
        <v>24</v>
      </c>
      <c r="B25" s="379" t="s">
        <v>1514</v>
      </c>
      <c r="C25" s="379">
        <v>0.29899999999999999</v>
      </c>
      <c r="D25" s="379">
        <v>624</v>
      </c>
      <c r="E25" s="379">
        <v>677</v>
      </c>
      <c r="F25" s="379">
        <v>728</v>
      </c>
      <c r="G25" s="379">
        <v>778</v>
      </c>
      <c r="H25" s="379">
        <v>423</v>
      </c>
      <c r="I25" s="379">
        <v>423</v>
      </c>
      <c r="J25" s="379">
        <v>425</v>
      </c>
      <c r="K25" s="379">
        <v>1</v>
      </c>
      <c r="L25" s="379">
        <v>2</v>
      </c>
      <c r="M25" s="379">
        <v>3</v>
      </c>
      <c r="N25" s="379">
        <v>0</v>
      </c>
      <c r="O25" s="379">
        <v>0</v>
      </c>
      <c r="P25" s="379">
        <v>0</v>
      </c>
      <c r="Q25" s="379">
        <v>0</v>
      </c>
      <c r="R25" s="379">
        <v>42</v>
      </c>
      <c r="S25" s="379">
        <v>1576.19217493734</v>
      </c>
      <c r="T25" s="379">
        <v>423.66666666666669</v>
      </c>
      <c r="U25" s="379">
        <f t="shared" si="0"/>
        <v>0.29899999999999999</v>
      </c>
    </row>
    <row r="26" spans="1:22" hidden="1" x14ac:dyDescent="0.25">
      <c r="A26" s="379">
        <v>25</v>
      </c>
      <c r="B26" s="379" t="s">
        <v>1513</v>
      </c>
      <c r="C26" s="379">
        <v>0.33500000000000002</v>
      </c>
      <c r="D26" s="379">
        <v>48</v>
      </c>
      <c r="E26" s="379">
        <v>52</v>
      </c>
      <c r="F26" s="379">
        <v>55</v>
      </c>
      <c r="G26" s="379">
        <v>58</v>
      </c>
      <c r="H26" s="379">
        <v>35</v>
      </c>
      <c r="I26" s="379">
        <v>35</v>
      </c>
      <c r="J26" s="379">
        <v>50</v>
      </c>
      <c r="K26" s="379">
        <v>1</v>
      </c>
      <c r="L26" s="379">
        <v>2</v>
      </c>
      <c r="M26" s="379">
        <v>3</v>
      </c>
      <c r="N26" s="379">
        <v>0</v>
      </c>
      <c r="O26" s="379">
        <v>0</v>
      </c>
      <c r="P26" s="379">
        <v>0</v>
      </c>
      <c r="Q26" s="379">
        <v>0</v>
      </c>
      <c r="R26" s="379">
        <v>4</v>
      </c>
      <c r="S26" s="379">
        <v>1364.99512443397</v>
      </c>
      <c r="T26" s="379">
        <v>40</v>
      </c>
      <c r="U26" s="379">
        <f t="shared" si="0"/>
        <v>0.33500000000000002</v>
      </c>
    </row>
    <row r="27" spans="1:22" x14ac:dyDescent="0.25">
      <c r="A27" s="19">
        <v>26</v>
      </c>
      <c r="B27" s="19" t="s">
        <v>199</v>
      </c>
      <c r="C27" s="19">
        <v>6.0270000000000001</v>
      </c>
      <c r="D27" s="19">
        <v>7925</v>
      </c>
      <c r="E27" s="19">
        <v>8489</v>
      </c>
      <c r="F27" s="19">
        <v>9035</v>
      </c>
      <c r="G27" s="19">
        <v>9582</v>
      </c>
      <c r="H27" s="19">
        <v>5755</v>
      </c>
      <c r="I27" s="19">
        <v>5620</v>
      </c>
      <c r="J27" s="19">
        <v>5380</v>
      </c>
      <c r="K27" s="19">
        <v>5311</v>
      </c>
      <c r="L27" s="19">
        <v>5200</v>
      </c>
      <c r="M27" s="19">
        <v>4835</v>
      </c>
      <c r="N27" s="19">
        <v>4635</v>
      </c>
      <c r="O27" s="19">
        <v>4760</v>
      </c>
      <c r="P27" s="19">
        <v>5140</v>
      </c>
      <c r="Q27" s="19">
        <v>5375</v>
      </c>
      <c r="R27" s="19">
        <v>1260</v>
      </c>
      <c r="S27" s="19">
        <v>31818.148762688801</v>
      </c>
      <c r="T27" s="19">
        <f>K27</f>
        <v>5311</v>
      </c>
      <c r="U27" s="19">
        <f>(10632/5280)</f>
        <v>2.0136363636363637</v>
      </c>
      <c r="V27" s="379" t="s">
        <v>1503</v>
      </c>
    </row>
    <row r="28" spans="1:22" x14ac:dyDescent="0.25">
      <c r="A28" s="19">
        <v>27</v>
      </c>
      <c r="B28" s="19" t="s">
        <v>199</v>
      </c>
      <c r="C28" s="19">
        <v>4.0320001000000003</v>
      </c>
      <c r="D28" s="19">
        <v>8379</v>
      </c>
      <c r="E28" s="19">
        <v>8975</v>
      </c>
      <c r="F28" s="19">
        <v>9553</v>
      </c>
      <c r="G28" s="19">
        <v>10132</v>
      </c>
      <c r="H28" s="19">
        <v>6085</v>
      </c>
      <c r="I28" s="19">
        <v>5660</v>
      </c>
      <c r="J28" s="19">
        <v>5420</v>
      </c>
      <c r="K28" s="19">
        <v>5360</v>
      </c>
      <c r="L28" s="19">
        <v>5245</v>
      </c>
      <c r="M28" s="19">
        <v>4880</v>
      </c>
      <c r="N28" s="19">
        <v>4620</v>
      </c>
      <c r="O28" s="19">
        <v>4745</v>
      </c>
      <c r="P28" s="19">
        <v>5120</v>
      </c>
      <c r="Q28" s="19">
        <v>5355</v>
      </c>
      <c r="R28" s="19">
        <v>1272</v>
      </c>
      <c r="S28" s="19">
        <v>21287.144449426101</v>
      </c>
      <c r="T28" s="19">
        <f>K28</f>
        <v>5360</v>
      </c>
      <c r="U28" s="19">
        <f>C28</f>
        <v>4.0320001000000003</v>
      </c>
      <c r="V28" s="379" t="s">
        <v>1503</v>
      </c>
    </row>
    <row r="29" spans="1:22" hidden="1" x14ac:dyDescent="0.25">
      <c r="A29" s="379">
        <v>28</v>
      </c>
      <c r="B29" s="379" t="s">
        <v>96</v>
      </c>
      <c r="C29" s="379">
        <v>6.0229998</v>
      </c>
      <c r="D29" s="379">
        <v>7925</v>
      </c>
      <c r="E29" s="379">
        <v>8489</v>
      </c>
      <c r="F29" s="379">
        <v>9035</v>
      </c>
      <c r="G29" s="379">
        <v>9582</v>
      </c>
      <c r="H29" s="379">
        <v>5755</v>
      </c>
      <c r="I29" s="379">
        <v>5620</v>
      </c>
      <c r="J29" s="379">
        <v>5380</v>
      </c>
      <c r="K29" s="379">
        <v>5311</v>
      </c>
      <c r="L29" s="379">
        <v>5200</v>
      </c>
      <c r="M29" s="379">
        <v>4835</v>
      </c>
      <c r="N29" s="379">
        <v>4635</v>
      </c>
      <c r="O29" s="379">
        <v>4760</v>
      </c>
      <c r="P29" s="379">
        <v>5140</v>
      </c>
      <c r="Q29" s="379">
        <v>5375</v>
      </c>
      <c r="R29" s="379">
        <v>1260</v>
      </c>
      <c r="S29" s="379">
        <v>31817.9633797434</v>
      </c>
      <c r="T29" s="379">
        <v>5453.2</v>
      </c>
      <c r="U29" s="379">
        <f>C29</f>
        <v>6.0229998</v>
      </c>
    </row>
    <row r="30" spans="1:22" hidden="1" x14ac:dyDescent="0.25">
      <c r="A30" s="379">
        <v>29</v>
      </c>
      <c r="B30" s="379" t="s">
        <v>199</v>
      </c>
      <c r="C30" s="379">
        <v>7.8189998000000003</v>
      </c>
      <c r="D30" s="379">
        <v>8849</v>
      </c>
      <c r="E30" s="379">
        <v>9592</v>
      </c>
      <c r="F30" s="379">
        <v>10311</v>
      </c>
      <c r="G30" s="379">
        <v>11031</v>
      </c>
      <c r="H30" s="379">
        <v>5995</v>
      </c>
      <c r="I30" s="379">
        <v>6995</v>
      </c>
      <c r="J30" s="379">
        <v>6700</v>
      </c>
      <c r="K30" s="379">
        <v>6485</v>
      </c>
      <c r="L30" s="379">
        <v>5970</v>
      </c>
      <c r="M30" s="379">
        <v>5555</v>
      </c>
      <c r="N30" s="379">
        <v>5300</v>
      </c>
      <c r="O30" s="379">
        <v>5440</v>
      </c>
      <c r="P30" s="379">
        <v>5875</v>
      </c>
      <c r="Q30" s="379">
        <v>6090</v>
      </c>
      <c r="R30" s="379">
        <v>1163</v>
      </c>
      <c r="S30" s="379">
        <v>41295.627742007797</v>
      </c>
      <c r="T30" s="379">
        <v>6429</v>
      </c>
      <c r="U30" s="379">
        <f>C30</f>
        <v>7.8189998000000003</v>
      </c>
    </row>
    <row r="31" spans="1:22" hidden="1" x14ac:dyDescent="0.25">
      <c r="A31" s="379">
        <v>30</v>
      </c>
      <c r="B31" s="379">
        <v>38</v>
      </c>
      <c r="C31" s="379">
        <v>3.3199999</v>
      </c>
      <c r="D31" s="379">
        <v>6000</v>
      </c>
      <c r="E31" s="379">
        <v>6488</v>
      </c>
      <c r="F31" s="379">
        <v>6999</v>
      </c>
      <c r="G31" s="379">
        <v>7510</v>
      </c>
      <c r="H31" s="379">
        <v>3932</v>
      </c>
      <c r="I31" s="379">
        <v>4104</v>
      </c>
      <c r="J31" s="379">
        <v>3890</v>
      </c>
      <c r="K31" s="379">
        <v>4256</v>
      </c>
      <c r="L31" s="379">
        <v>3941</v>
      </c>
      <c r="M31" s="379">
        <v>3903</v>
      </c>
      <c r="N31" s="379">
        <v>3545</v>
      </c>
      <c r="O31" s="379">
        <v>3373</v>
      </c>
      <c r="P31" s="379">
        <v>3421</v>
      </c>
      <c r="Q31" s="379">
        <v>3883</v>
      </c>
      <c r="R31" s="379">
        <v>134</v>
      </c>
      <c r="S31" s="379">
        <v>3031.8669756475401</v>
      </c>
      <c r="T31" s="379">
        <v>4024.6</v>
      </c>
      <c r="U31" s="379">
        <f>C31</f>
        <v>3.3199999</v>
      </c>
    </row>
    <row r="32" spans="1:22" hidden="1" x14ac:dyDescent="0.25">
      <c r="A32" s="379">
        <v>31</v>
      </c>
      <c r="B32" s="379" t="s">
        <v>1515</v>
      </c>
      <c r="C32" s="379">
        <v>0.441</v>
      </c>
      <c r="D32" s="379">
        <v>795</v>
      </c>
      <c r="E32" s="379">
        <v>851</v>
      </c>
      <c r="F32" s="379">
        <v>906</v>
      </c>
      <c r="G32" s="379">
        <v>961</v>
      </c>
      <c r="H32" s="379">
        <v>577</v>
      </c>
      <c r="I32" s="379">
        <v>577</v>
      </c>
      <c r="J32" s="379">
        <v>430</v>
      </c>
      <c r="K32" s="379">
        <v>1</v>
      </c>
      <c r="L32" s="379">
        <v>2</v>
      </c>
      <c r="M32" s="379">
        <v>3</v>
      </c>
      <c r="N32" s="379">
        <v>0</v>
      </c>
      <c r="O32" s="379">
        <v>0</v>
      </c>
      <c r="P32" s="379">
        <v>0</v>
      </c>
      <c r="Q32" s="379">
        <v>0</v>
      </c>
      <c r="R32" s="379">
        <v>58</v>
      </c>
      <c r="S32" s="379">
        <v>2327.2176885331401</v>
      </c>
      <c r="T32" s="379">
        <v>528</v>
      </c>
      <c r="U32" s="379">
        <f>C32</f>
        <v>0.441</v>
      </c>
    </row>
    <row r="33" spans="1:22" hidden="1" x14ac:dyDescent="0.25">
      <c r="A33" s="379">
        <v>32</v>
      </c>
      <c r="B33" s="379" t="s">
        <v>96</v>
      </c>
      <c r="C33" s="379">
        <v>5.6079998</v>
      </c>
      <c r="D33" s="379">
        <v>8469</v>
      </c>
      <c r="E33" s="379">
        <v>9071</v>
      </c>
      <c r="F33" s="379">
        <v>9656</v>
      </c>
      <c r="G33" s="379">
        <v>10240</v>
      </c>
      <c r="H33" s="379">
        <v>6150</v>
      </c>
      <c r="I33" s="379">
        <v>5995</v>
      </c>
      <c r="J33" s="379">
        <v>5745</v>
      </c>
      <c r="K33" s="379">
        <v>5559</v>
      </c>
      <c r="L33" s="379">
        <v>5440</v>
      </c>
      <c r="M33" s="379">
        <v>5060</v>
      </c>
      <c r="N33" s="379">
        <v>4790</v>
      </c>
      <c r="O33" s="379">
        <v>4920</v>
      </c>
      <c r="P33" s="379">
        <v>5315</v>
      </c>
      <c r="Q33" s="379">
        <v>5510</v>
      </c>
      <c r="R33" s="379">
        <v>1169</v>
      </c>
      <c r="S33" s="379">
        <v>29613.297024404401</v>
      </c>
      <c r="T33" s="379">
        <v>5777.8</v>
      </c>
      <c r="U33" s="379">
        <f>15782/5280</f>
        <v>2.9890151515151517</v>
      </c>
    </row>
    <row r="34" spans="1:22" hidden="1" x14ac:dyDescent="0.25">
      <c r="A34" s="379">
        <v>33</v>
      </c>
      <c r="B34" s="379">
        <v>19</v>
      </c>
      <c r="C34" s="379">
        <v>3.4449999</v>
      </c>
      <c r="D34" s="379">
        <v>1436</v>
      </c>
      <c r="E34" s="379">
        <v>1553</v>
      </c>
      <c r="F34" s="379">
        <v>1675</v>
      </c>
      <c r="G34" s="379">
        <v>1797</v>
      </c>
      <c r="H34" s="379">
        <v>941</v>
      </c>
      <c r="I34" s="379">
        <v>879</v>
      </c>
      <c r="J34" s="379">
        <v>786</v>
      </c>
      <c r="K34" s="379">
        <v>755</v>
      </c>
      <c r="L34" s="379">
        <v>656</v>
      </c>
      <c r="M34" s="379">
        <v>631</v>
      </c>
      <c r="N34" s="379">
        <v>725</v>
      </c>
      <c r="O34" s="379">
        <v>752</v>
      </c>
      <c r="P34" s="379">
        <v>688</v>
      </c>
      <c r="Q34" s="379">
        <v>640</v>
      </c>
      <c r="R34" s="379">
        <v>172</v>
      </c>
      <c r="S34" s="379">
        <v>1954.34366556243</v>
      </c>
      <c r="T34" s="379">
        <v>803.4</v>
      </c>
      <c r="U34" s="379">
        <f t="shared" ref="U34:U47" si="1">C34</f>
        <v>3.4449999</v>
      </c>
    </row>
    <row r="35" spans="1:22" hidden="1" x14ac:dyDescent="0.25">
      <c r="A35" s="379">
        <v>34</v>
      </c>
      <c r="B35" s="379" t="s">
        <v>96</v>
      </c>
      <c r="C35" s="379">
        <v>7.8179997999999999</v>
      </c>
      <c r="D35" s="379">
        <v>8849</v>
      </c>
      <c r="E35" s="379">
        <v>9592</v>
      </c>
      <c r="F35" s="379">
        <v>10311</v>
      </c>
      <c r="G35" s="379">
        <v>11031</v>
      </c>
      <c r="H35" s="379">
        <v>5995</v>
      </c>
      <c r="I35" s="379">
        <v>6995</v>
      </c>
      <c r="J35" s="379">
        <v>6700</v>
      </c>
      <c r="K35" s="379">
        <v>6485</v>
      </c>
      <c r="L35" s="379">
        <v>5970</v>
      </c>
      <c r="M35" s="379">
        <v>5555</v>
      </c>
      <c r="N35" s="379">
        <v>5300</v>
      </c>
      <c r="O35" s="379">
        <v>5440</v>
      </c>
      <c r="P35" s="379">
        <v>5875</v>
      </c>
      <c r="Q35" s="379">
        <v>6090</v>
      </c>
      <c r="R35" s="379">
        <v>1163</v>
      </c>
      <c r="S35" s="379">
        <v>41282.876815917101</v>
      </c>
      <c r="T35" s="379">
        <v>6429</v>
      </c>
      <c r="U35" s="379">
        <f t="shared" si="1"/>
        <v>7.8179997999999999</v>
      </c>
    </row>
    <row r="36" spans="1:22" hidden="1" x14ac:dyDescent="0.25">
      <c r="A36" s="379">
        <v>35</v>
      </c>
      <c r="B36" s="379">
        <v>81</v>
      </c>
      <c r="C36" s="379">
        <v>8.5699997000000003</v>
      </c>
      <c r="D36" s="379">
        <v>2270</v>
      </c>
      <c r="E36" s="379">
        <v>2401</v>
      </c>
      <c r="F36" s="379">
        <v>2532</v>
      </c>
      <c r="G36" s="379">
        <v>2663</v>
      </c>
      <c r="H36" s="379">
        <v>1746</v>
      </c>
      <c r="I36" s="379">
        <v>1830</v>
      </c>
      <c r="J36" s="379">
        <v>1968</v>
      </c>
      <c r="K36" s="379">
        <v>1899</v>
      </c>
      <c r="L36" s="379">
        <v>1895</v>
      </c>
      <c r="M36" s="379">
        <v>1956</v>
      </c>
      <c r="N36" s="379">
        <v>1890</v>
      </c>
      <c r="O36" s="379">
        <v>1672</v>
      </c>
      <c r="P36" s="379">
        <v>1615</v>
      </c>
      <c r="Q36" s="379">
        <v>1646</v>
      </c>
      <c r="R36" s="379">
        <v>377</v>
      </c>
      <c r="S36" s="379">
        <v>1852.8961157523299</v>
      </c>
      <c r="T36" s="379">
        <v>1867.6</v>
      </c>
      <c r="U36" s="379">
        <f t="shared" si="1"/>
        <v>8.5699997000000003</v>
      </c>
    </row>
    <row r="37" spans="1:22" hidden="1" x14ac:dyDescent="0.25">
      <c r="A37" s="379">
        <v>36</v>
      </c>
      <c r="B37" s="379" t="s">
        <v>1515</v>
      </c>
      <c r="C37" s="379">
        <v>0.307</v>
      </c>
      <c r="D37" s="379">
        <v>2087</v>
      </c>
      <c r="E37" s="379">
        <v>2262</v>
      </c>
      <c r="F37" s="379">
        <v>2432</v>
      </c>
      <c r="G37" s="379">
        <v>2602</v>
      </c>
      <c r="H37" s="379">
        <v>1414</v>
      </c>
      <c r="I37" s="379">
        <v>1414</v>
      </c>
      <c r="J37" s="379">
        <v>675</v>
      </c>
      <c r="K37" s="379">
        <v>1</v>
      </c>
      <c r="L37" s="379">
        <v>2</v>
      </c>
      <c r="M37" s="379">
        <v>3</v>
      </c>
      <c r="N37" s="379">
        <v>0</v>
      </c>
      <c r="O37" s="379">
        <v>0</v>
      </c>
      <c r="P37" s="379">
        <v>0</v>
      </c>
      <c r="Q37" s="379">
        <v>0</v>
      </c>
      <c r="R37" s="379">
        <v>141</v>
      </c>
      <c r="S37" s="379">
        <v>1619.10066808692</v>
      </c>
      <c r="T37" s="379">
        <v>1167.6666666666667</v>
      </c>
      <c r="U37" s="379">
        <f t="shared" si="1"/>
        <v>0.307</v>
      </c>
    </row>
    <row r="38" spans="1:22" hidden="1" x14ac:dyDescent="0.25">
      <c r="A38" s="379">
        <v>37</v>
      </c>
      <c r="B38" s="379">
        <v>81</v>
      </c>
      <c r="C38" s="379">
        <v>3.5120000999999998</v>
      </c>
      <c r="D38" s="379">
        <v>2514</v>
      </c>
      <c r="E38" s="379">
        <v>2659</v>
      </c>
      <c r="F38" s="379">
        <v>2804</v>
      </c>
      <c r="G38" s="379">
        <v>2949</v>
      </c>
      <c r="H38" s="379">
        <v>1934</v>
      </c>
      <c r="I38" s="379">
        <v>2027</v>
      </c>
      <c r="J38" s="379">
        <v>2180</v>
      </c>
      <c r="K38" s="379">
        <v>1999</v>
      </c>
      <c r="L38" s="379">
        <v>1995</v>
      </c>
      <c r="M38" s="379">
        <v>2003</v>
      </c>
      <c r="N38" s="379">
        <v>1935</v>
      </c>
      <c r="O38" s="379">
        <v>1655</v>
      </c>
      <c r="P38" s="379">
        <v>1599</v>
      </c>
      <c r="Q38" s="379">
        <v>1641</v>
      </c>
      <c r="R38" s="379">
        <v>369</v>
      </c>
      <c r="S38" s="379">
        <v>1858.14038503747</v>
      </c>
      <c r="T38" s="379">
        <v>2027</v>
      </c>
      <c r="U38" s="379">
        <f t="shared" si="1"/>
        <v>3.5120000999999998</v>
      </c>
    </row>
    <row r="39" spans="1:22" hidden="1" x14ac:dyDescent="0.25">
      <c r="A39" s="379">
        <v>38</v>
      </c>
      <c r="B39" s="379" t="s">
        <v>1512</v>
      </c>
      <c r="C39" s="379">
        <v>0.26600000000000001</v>
      </c>
      <c r="D39" s="379">
        <v>1187</v>
      </c>
      <c r="E39" s="379">
        <v>1286</v>
      </c>
      <c r="F39" s="379">
        <v>1383</v>
      </c>
      <c r="G39" s="379">
        <v>1479</v>
      </c>
      <c r="H39" s="379">
        <v>804</v>
      </c>
      <c r="I39" s="379">
        <v>804</v>
      </c>
      <c r="J39" s="379">
        <v>740</v>
      </c>
      <c r="K39" s="379">
        <v>1</v>
      </c>
      <c r="L39" s="379">
        <v>2</v>
      </c>
      <c r="M39" s="379">
        <v>3</v>
      </c>
      <c r="N39" s="379">
        <v>0</v>
      </c>
      <c r="O39" s="379">
        <v>0</v>
      </c>
      <c r="P39" s="379">
        <v>0</v>
      </c>
      <c r="Q39" s="379">
        <v>0</v>
      </c>
      <c r="R39" s="379">
        <v>80</v>
      </c>
      <c r="S39" s="379">
        <v>1403.5854899200499</v>
      </c>
      <c r="T39" s="379">
        <v>782.66666666666663</v>
      </c>
      <c r="U39" s="379">
        <f t="shared" si="1"/>
        <v>0.26600000000000001</v>
      </c>
    </row>
    <row r="40" spans="1:22" hidden="1" x14ac:dyDescent="0.25">
      <c r="A40" s="379">
        <v>39</v>
      </c>
      <c r="B40" s="379" t="s">
        <v>1513</v>
      </c>
      <c r="C40" s="379">
        <v>0.32400000000000001</v>
      </c>
      <c r="D40" s="379">
        <v>1088</v>
      </c>
      <c r="E40" s="379">
        <v>1179</v>
      </c>
      <c r="F40" s="379">
        <v>1268</v>
      </c>
      <c r="G40" s="379">
        <v>1356</v>
      </c>
      <c r="H40" s="379">
        <v>737</v>
      </c>
      <c r="I40" s="379">
        <v>737</v>
      </c>
      <c r="J40" s="379">
        <v>550</v>
      </c>
      <c r="K40" s="379">
        <v>1</v>
      </c>
      <c r="L40" s="379">
        <v>2</v>
      </c>
      <c r="M40" s="379">
        <v>3</v>
      </c>
      <c r="N40" s="379">
        <v>0</v>
      </c>
      <c r="O40" s="379">
        <v>0</v>
      </c>
      <c r="P40" s="379">
        <v>0</v>
      </c>
      <c r="Q40" s="379">
        <v>0</v>
      </c>
      <c r="R40" s="379">
        <v>74</v>
      </c>
      <c r="S40" s="379">
        <v>1709.57015099561</v>
      </c>
      <c r="T40" s="379">
        <v>674.66666666666663</v>
      </c>
      <c r="U40" s="379">
        <f t="shared" si="1"/>
        <v>0.32400000000000001</v>
      </c>
    </row>
    <row r="41" spans="1:22" hidden="1" x14ac:dyDescent="0.25">
      <c r="A41" s="379">
        <v>40</v>
      </c>
      <c r="B41" s="379" t="s">
        <v>96</v>
      </c>
      <c r="C41" s="379">
        <v>2.7920001000000001</v>
      </c>
      <c r="D41" s="379">
        <v>10339</v>
      </c>
      <c r="E41" s="379">
        <v>11208</v>
      </c>
      <c r="F41" s="379">
        <v>12049</v>
      </c>
      <c r="G41" s="379">
        <v>12889</v>
      </c>
      <c r="H41" s="379">
        <v>7005</v>
      </c>
      <c r="I41" s="379">
        <v>7215</v>
      </c>
      <c r="J41" s="379">
        <v>6910</v>
      </c>
      <c r="K41" s="379">
        <v>6929</v>
      </c>
      <c r="L41" s="379">
        <v>6380</v>
      </c>
      <c r="M41" s="379">
        <v>5935</v>
      </c>
      <c r="N41" s="379">
        <v>5665</v>
      </c>
      <c r="O41" s="379">
        <v>5885</v>
      </c>
      <c r="P41" s="379">
        <v>6355</v>
      </c>
      <c r="Q41" s="379">
        <v>6585</v>
      </c>
      <c r="R41" s="379">
        <v>1317</v>
      </c>
      <c r="S41" s="379">
        <v>14762.879778632399</v>
      </c>
      <c r="T41" s="379">
        <v>6887.8</v>
      </c>
      <c r="U41" s="379">
        <f t="shared" si="1"/>
        <v>2.7920001000000001</v>
      </c>
    </row>
    <row r="42" spans="1:22" hidden="1" x14ac:dyDescent="0.25">
      <c r="A42" s="379">
        <v>41</v>
      </c>
      <c r="B42" s="379" t="s">
        <v>1514</v>
      </c>
      <c r="C42" s="379">
        <v>0.372</v>
      </c>
      <c r="D42" s="379">
        <v>760</v>
      </c>
      <c r="E42" s="379">
        <v>814</v>
      </c>
      <c r="F42" s="379">
        <v>867</v>
      </c>
      <c r="G42" s="379">
        <v>919</v>
      </c>
      <c r="H42" s="379">
        <v>552</v>
      </c>
      <c r="I42" s="379">
        <v>552</v>
      </c>
      <c r="J42" s="379">
        <v>450</v>
      </c>
      <c r="K42" s="379">
        <v>1</v>
      </c>
      <c r="L42" s="379">
        <v>2</v>
      </c>
      <c r="M42" s="379">
        <v>3</v>
      </c>
      <c r="N42" s="379">
        <v>0</v>
      </c>
      <c r="O42" s="379">
        <v>0</v>
      </c>
      <c r="P42" s="379">
        <v>0</v>
      </c>
      <c r="Q42" s="379">
        <v>0</v>
      </c>
      <c r="R42" s="379">
        <v>55</v>
      </c>
      <c r="S42" s="379">
        <v>1959.7409566825099</v>
      </c>
      <c r="T42" s="379">
        <v>518</v>
      </c>
      <c r="U42" s="379">
        <f t="shared" si="1"/>
        <v>0.372</v>
      </c>
    </row>
    <row r="43" spans="1:22" hidden="1" x14ac:dyDescent="0.25">
      <c r="A43" s="379">
        <v>42</v>
      </c>
      <c r="B43" s="379" t="s">
        <v>1512</v>
      </c>
      <c r="C43" s="379">
        <v>0.34300000000000003</v>
      </c>
      <c r="D43" s="379">
        <v>85</v>
      </c>
      <c r="E43" s="379">
        <v>91</v>
      </c>
      <c r="F43" s="379">
        <v>97</v>
      </c>
      <c r="G43" s="379">
        <v>103</v>
      </c>
      <c r="H43" s="379">
        <v>62</v>
      </c>
      <c r="I43" s="379">
        <v>62</v>
      </c>
      <c r="J43" s="379">
        <v>53</v>
      </c>
      <c r="K43" s="379">
        <v>1</v>
      </c>
      <c r="L43" s="379">
        <v>2</v>
      </c>
      <c r="M43" s="379">
        <v>3</v>
      </c>
      <c r="N43" s="379">
        <v>0</v>
      </c>
      <c r="O43" s="379">
        <v>0</v>
      </c>
      <c r="P43" s="379">
        <v>0</v>
      </c>
      <c r="Q43" s="379">
        <v>0</v>
      </c>
      <c r="R43" s="379">
        <v>6</v>
      </c>
      <c r="S43" s="379">
        <v>1808.3765727688899</v>
      </c>
      <c r="T43" s="379">
        <v>59</v>
      </c>
      <c r="U43" s="379">
        <f t="shared" si="1"/>
        <v>0.34300000000000003</v>
      </c>
    </row>
    <row r="44" spans="1:22" hidden="1" x14ac:dyDescent="0.25">
      <c r="A44" s="379">
        <v>43</v>
      </c>
      <c r="B44" s="379" t="s">
        <v>1512</v>
      </c>
      <c r="C44" s="379">
        <v>0.34699999999999998</v>
      </c>
      <c r="D44" s="379">
        <v>329</v>
      </c>
      <c r="E44" s="379">
        <v>353</v>
      </c>
      <c r="F44" s="379">
        <v>375</v>
      </c>
      <c r="G44" s="379">
        <v>398</v>
      </c>
      <c r="H44" s="379">
        <v>239</v>
      </c>
      <c r="I44" s="379">
        <v>239</v>
      </c>
      <c r="J44" s="379">
        <v>180</v>
      </c>
      <c r="K44" s="379">
        <v>1</v>
      </c>
      <c r="L44" s="379">
        <v>2</v>
      </c>
      <c r="M44" s="379">
        <v>3</v>
      </c>
      <c r="N44" s="379">
        <v>0</v>
      </c>
      <c r="O44" s="379">
        <v>0</v>
      </c>
      <c r="P44" s="379">
        <v>0</v>
      </c>
      <c r="Q44" s="379">
        <v>0</v>
      </c>
      <c r="R44" s="379">
        <v>24</v>
      </c>
      <c r="S44" s="379">
        <v>1834.62300398306</v>
      </c>
      <c r="T44" s="379">
        <v>219.33333333333334</v>
      </c>
      <c r="U44" s="379">
        <f t="shared" si="1"/>
        <v>0.34699999999999998</v>
      </c>
    </row>
    <row r="45" spans="1:22" hidden="1" x14ac:dyDescent="0.25">
      <c r="A45" s="379">
        <v>44</v>
      </c>
      <c r="B45" s="379" t="s">
        <v>1514</v>
      </c>
      <c r="C45" s="379">
        <v>0.32700000000000001</v>
      </c>
      <c r="D45" s="379">
        <v>107</v>
      </c>
      <c r="E45" s="379">
        <v>115</v>
      </c>
      <c r="F45" s="379">
        <v>122</v>
      </c>
      <c r="G45" s="379">
        <v>130</v>
      </c>
      <c r="H45" s="379">
        <v>78</v>
      </c>
      <c r="I45" s="379">
        <v>78</v>
      </c>
      <c r="J45" s="379">
        <v>50</v>
      </c>
      <c r="K45" s="379">
        <v>1</v>
      </c>
      <c r="L45" s="379">
        <v>2</v>
      </c>
      <c r="M45" s="379">
        <v>3</v>
      </c>
      <c r="N45" s="379">
        <v>0</v>
      </c>
      <c r="O45" s="379">
        <v>0</v>
      </c>
      <c r="P45" s="379">
        <v>0</v>
      </c>
      <c r="Q45" s="379">
        <v>0</v>
      </c>
      <c r="R45" s="379">
        <v>8</v>
      </c>
      <c r="S45" s="379">
        <v>1723.8502900567</v>
      </c>
      <c r="T45" s="379">
        <v>68.666666666666671</v>
      </c>
      <c r="U45" s="379">
        <f t="shared" si="1"/>
        <v>0.32700000000000001</v>
      </c>
    </row>
    <row r="46" spans="1:22" hidden="1" x14ac:dyDescent="0.25">
      <c r="A46" s="379">
        <v>45</v>
      </c>
      <c r="B46" s="379" t="s">
        <v>1514</v>
      </c>
      <c r="C46" s="379">
        <v>0.32800000000000001</v>
      </c>
      <c r="D46" s="379">
        <v>91</v>
      </c>
      <c r="E46" s="379">
        <v>97</v>
      </c>
      <c r="F46" s="379">
        <v>104</v>
      </c>
      <c r="G46" s="379">
        <v>110</v>
      </c>
      <c r="H46" s="379">
        <v>66</v>
      </c>
      <c r="I46" s="379">
        <v>66</v>
      </c>
      <c r="J46" s="379">
        <v>80</v>
      </c>
      <c r="K46" s="379">
        <v>1</v>
      </c>
      <c r="L46" s="379">
        <v>2</v>
      </c>
      <c r="M46" s="379">
        <v>3</v>
      </c>
      <c r="N46" s="379">
        <v>0</v>
      </c>
      <c r="O46" s="379">
        <v>0</v>
      </c>
      <c r="P46" s="379">
        <v>0</v>
      </c>
      <c r="Q46" s="379">
        <v>0</v>
      </c>
      <c r="R46" s="379">
        <v>7</v>
      </c>
      <c r="S46" s="379">
        <v>1736.0389611348301</v>
      </c>
      <c r="T46" s="379">
        <v>70.666666666666671</v>
      </c>
      <c r="U46" s="379">
        <f t="shared" si="1"/>
        <v>0.32800000000000001</v>
      </c>
    </row>
    <row r="47" spans="1:22" hidden="1" x14ac:dyDescent="0.25">
      <c r="A47" s="379">
        <v>46</v>
      </c>
      <c r="B47" s="379" t="s">
        <v>96</v>
      </c>
      <c r="C47" s="379">
        <v>4.0019999000000004</v>
      </c>
      <c r="D47" s="379">
        <v>7835</v>
      </c>
      <c r="E47" s="379">
        <v>8393</v>
      </c>
      <c r="F47" s="379">
        <v>8933</v>
      </c>
      <c r="G47" s="379">
        <v>9474</v>
      </c>
      <c r="H47" s="379">
        <v>5690</v>
      </c>
      <c r="I47" s="379">
        <v>5555</v>
      </c>
      <c r="J47" s="379">
        <v>5320</v>
      </c>
      <c r="K47" s="379">
        <v>5252</v>
      </c>
      <c r="L47" s="379">
        <v>5140</v>
      </c>
      <c r="M47" s="379">
        <v>4780</v>
      </c>
      <c r="N47" s="379">
        <v>4585</v>
      </c>
      <c r="O47" s="379">
        <v>4800</v>
      </c>
      <c r="P47" s="379">
        <v>4795</v>
      </c>
      <c r="Q47" s="379">
        <v>5065</v>
      </c>
      <c r="R47" s="379">
        <v>1218</v>
      </c>
      <c r="S47" s="379">
        <v>1319.3670516458201</v>
      </c>
      <c r="T47" s="379">
        <v>5391.4</v>
      </c>
      <c r="U47" s="379">
        <f t="shared" si="1"/>
        <v>4.0019999000000004</v>
      </c>
    </row>
    <row r="48" spans="1:22" x14ac:dyDescent="0.25">
      <c r="A48" s="19">
        <v>47</v>
      </c>
      <c r="B48" s="19" t="s">
        <v>199</v>
      </c>
      <c r="C48" s="19">
        <v>5.6069998999999999</v>
      </c>
      <c r="D48" s="19">
        <v>8469</v>
      </c>
      <c r="E48" s="19">
        <v>9071</v>
      </c>
      <c r="F48" s="19">
        <v>9656</v>
      </c>
      <c r="G48" s="19">
        <v>10240</v>
      </c>
      <c r="H48" s="19">
        <v>6150</v>
      </c>
      <c r="I48" s="19">
        <v>5995</v>
      </c>
      <c r="J48" s="19">
        <v>5745</v>
      </c>
      <c r="K48" s="19">
        <v>5559</v>
      </c>
      <c r="L48" s="19">
        <v>5440</v>
      </c>
      <c r="M48" s="19">
        <v>5060</v>
      </c>
      <c r="N48" s="19">
        <v>4790</v>
      </c>
      <c r="O48" s="19">
        <v>4920</v>
      </c>
      <c r="P48" s="19">
        <v>5315</v>
      </c>
      <c r="Q48" s="19">
        <v>5510</v>
      </c>
      <c r="R48" s="19">
        <v>1169</v>
      </c>
      <c r="S48" s="19">
        <v>29601.156718429</v>
      </c>
      <c r="T48" s="19">
        <f>K48</f>
        <v>5559</v>
      </c>
      <c r="U48" s="19">
        <f>15782/5280</f>
        <v>2.9890151515151517</v>
      </c>
      <c r="V48" s="379" t="s">
        <v>1503</v>
      </c>
    </row>
    <row r="49" spans="1:22" hidden="1" x14ac:dyDescent="0.25">
      <c r="A49" s="379">
        <v>48</v>
      </c>
      <c r="B49" s="379" t="s">
        <v>1515</v>
      </c>
      <c r="C49" s="379">
        <v>0.32600000000000001</v>
      </c>
      <c r="D49" s="379">
        <v>113</v>
      </c>
      <c r="E49" s="379">
        <v>121</v>
      </c>
      <c r="F49" s="379">
        <v>129</v>
      </c>
      <c r="G49" s="379">
        <v>137</v>
      </c>
      <c r="H49" s="379">
        <v>82</v>
      </c>
      <c r="I49" s="379">
        <v>82</v>
      </c>
      <c r="J49" s="379">
        <v>125</v>
      </c>
      <c r="K49" s="379">
        <v>1</v>
      </c>
      <c r="L49" s="379">
        <v>2</v>
      </c>
      <c r="M49" s="379">
        <v>3</v>
      </c>
      <c r="N49" s="379">
        <v>0</v>
      </c>
      <c r="O49" s="379">
        <v>0</v>
      </c>
      <c r="P49" s="379">
        <v>0</v>
      </c>
      <c r="Q49" s="379">
        <v>0</v>
      </c>
      <c r="R49" s="379">
        <v>8</v>
      </c>
      <c r="S49" s="379">
        <v>1721.55757306587</v>
      </c>
      <c r="T49" s="379">
        <v>96.333333333333329</v>
      </c>
      <c r="U49" s="379">
        <f>C49</f>
        <v>0.32600000000000001</v>
      </c>
    </row>
    <row r="50" spans="1:22" hidden="1" x14ac:dyDescent="0.25">
      <c r="A50" s="379">
        <v>49</v>
      </c>
      <c r="B50" s="379" t="s">
        <v>1514</v>
      </c>
      <c r="C50" s="379">
        <v>0.34599999999999997</v>
      </c>
      <c r="D50" s="379">
        <v>366</v>
      </c>
      <c r="E50" s="379">
        <v>397</v>
      </c>
      <c r="F50" s="379">
        <v>427</v>
      </c>
      <c r="G50" s="379">
        <v>456</v>
      </c>
      <c r="H50" s="379">
        <v>248</v>
      </c>
      <c r="I50" s="379">
        <v>248</v>
      </c>
      <c r="J50" s="379">
        <v>380</v>
      </c>
      <c r="K50" s="379">
        <v>1</v>
      </c>
      <c r="L50" s="379">
        <v>2</v>
      </c>
      <c r="M50" s="379">
        <v>3</v>
      </c>
      <c r="N50" s="379">
        <v>0</v>
      </c>
      <c r="O50" s="379">
        <v>0</v>
      </c>
      <c r="P50" s="379">
        <v>0</v>
      </c>
      <c r="Q50" s="379">
        <v>0</v>
      </c>
      <c r="R50" s="379">
        <v>25</v>
      </c>
      <c r="S50" s="379">
        <v>1827.7916649021599</v>
      </c>
      <c r="T50" s="379">
        <v>292</v>
      </c>
      <c r="U50" s="379">
        <f>C50</f>
        <v>0.34599999999999997</v>
      </c>
    </row>
    <row r="51" spans="1:22" hidden="1" x14ac:dyDescent="0.25">
      <c r="A51" s="379">
        <v>50</v>
      </c>
      <c r="B51" s="379" t="s">
        <v>199</v>
      </c>
      <c r="C51" s="379">
        <v>5.2329998</v>
      </c>
      <c r="D51" s="379">
        <v>11609</v>
      </c>
      <c r="E51" s="379">
        <v>12584</v>
      </c>
      <c r="F51" s="379">
        <v>13528</v>
      </c>
      <c r="G51" s="379">
        <v>14472</v>
      </c>
      <c r="H51" s="379">
        <v>7865</v>
      </c>
      <c r="I51" s="379">
        <v>8100</v>
      </c>
      <c r="J51" s="379">
        <v>7760</v>
      </c>
      <c r="K51" s="379">
        <v>7469</v>
      </c>
      <c r="L51" s="379">
        <v>6875</v>
      </c>
      <c r="M51" s="379">
        <v>6395</v>
      </c>
      <c r="N51" s="379">
        <v>6100</v>
      </c>
      <c r="O51" s="379">
        <v>6170</v>
      </c>
      <c r="P51" s="379">
        <v>6665</v>
      </c>
      <c r="Q51" s="379">
        <v>6415</v>
      </c>
      <c r="R51" s="379">
        <v>1479</v>
      </c>
      <c r="S51" s="379">
        <v>24787.932312391102</v>
      </c>
      <c r="T51" s="379">
        <v>7613.8</v>
      </c>
      <c r="U51" s="379">
        <f>C51</f>
        <v>5.2329998</v>
      </c>
    </row>
    <row r="52" spans="1:22" hidden="1" x14ac:dyDescent="0.25">
      <c r="A52" s="379">
        <v>51</v>
      </c>
      <c r="B52" s="379" t="s">
        <v>1513</v>
      </c>
      <c r="C52" s="379">
        <v>0.28000000000000003</v>
      </c>
      <c r="D52" s="379">
        <v>543</v>
      </c>
      <c r="E52" s="379">
        <v>589</v>
      </c>
      <c r="F52" s="379">
        <v>633</v>
      </c>
      <c r="G52" s="379">
        <v>677</v>
      </c>
      <c r="H52" s="379">
        <v>368</v>
      </c>
      <c r="I52" s="379">
        <v>368</v>
      </c>
      <c r="J52" s="379">
        <v>345</v>
      </c>
      <c r="K52" s="379">
        <v>1</v>
      </c>
      <c r="L52" s="379">
        <v>2</v>
      </c>
      <c r="M52" s="379">
        <v>3</v>
      </c>
      <c r="N52" s="379">
        <v>0</v>
      </c>
      <c r="O52" s="379">
        <v>0</v>
      </c>
      <c r="P52" s="379">
        <v>0</v>
      </c>
      <c r="Q52" s="379">
        <v>0</v>
      </c>
      <c r="R52" s="379">
        <v>37</v>
      </c>
      <c r="S52" s="379">
        <v>1478.7878802514199</v>
      </c>
      <c r="T52" s="379">
        <v>360.33333333333331</v>
      </c>
      <c r="U52" s="379">
        <f>C52</f>
        <v>0.28000000000000003</v>
      </c>
    </row>
    <row r="53" spans="1:22" hidden="1" x14ac:dyDescent="0.25">
      <c r="A53" s="379">
        <v>52</v>
      </c>
      <c r="B53" s="379" t="s">
        <v>1512</v>
      </c>
      <c r="C53" s="379">
        <v>0.29399999999999998</v>
      </c>
      <c r="D53" s="379">
        <v>861</v>
      </c>
      <c r="E53" s="379">
        <v>933</v>
      </c>
      <c r="F53" s="379">
        <v>1003</v>
      </c>
      <c r="G53" s="379">
        <v>1073</v>
      </c>
      <c r="H53" s="379">
        <v>583</v>
      </c>
      <c r="I53" s="379">
        <v>665</v>
      </c>
      <c r="J53" s="379">
        <v>380</v>
      </c>
      <c r="K53" s="379">
        <v>1</v>
      </c>
      <c r="L53" s="379">
        <v>2</v>
      </c>
      <c r="M53" s="379">
        <v>3</v>
      </c>
      <c r="N53" s="379">
        <v>0</v>
      </c>
      <c r="O53" s="379">
        <v>0</v>
      </c>
      <c r="P53" s="379">
        <v>0</v>
      </c>
      <c r="Q53" s="379">
        <v>0</v>
      </c>
      <c r="R53" s="379">
        <v>58</v>
      </c>
      <c r="S53" s="379">
        <v>1550.25198479555</v>
      </c>
      <c r="T53" s="379">
        <v>542.66666666666663</v>
      </c>
      <c r="U53" s="379">
        <f>C53</f>
        <v>0.29399999999999998</v>
      </c>
    </row>
    <row r="54" spans="1:22" hidden="1" x14ac:dyDescent="0.25"/>
    <row r="55" spans="1:22" ht="15.75" thickBot="1" x14ac:dyDescent="0.3">
      <c r="V55" s="19" t="s">
        <v>1503</v>
      </c>
    </row>
    <row r="56" spans="1:22" x14ac:dyDescent="0.25">
      <c r="F56" s="312" t="s">
        <v>42</v>
      </c>
      <c r="G56" s="393"/>
      <c r="H56" s="392"/>
      <c r="I56" s="392"/>
      <c r="J56" s="392"/>
      <c r="K56" s="391"/>
      <c r="V56" s="19" t="s">
        <v>1503</v>
      </c>
    </row>
    <row r="57" spans="1:22" x14ac:dyDescent="0.25">
      <c r="A57" s="428"/>
      <c r="B57" s="428"/>
      <c r="F57" s="390" t="s">
        <v>39</v>
      </c>
      <c r="G57" s="96">
        <v>30.072041799999994</v>
      </c>
      <c r="H57" s="146"/>
      <c r="I57" s="146"/>
      <c r="J57" s="146"/>
      <c r="K57" s="355"/>
      <c r="V57" s="19" t="s">
        <v>1503</v>
      </c>
    </row>
    <row r="58" spans="1:22" x14ac:dyDescent="0.25">
      <c r="A58" s="6" t="s">
        <v>1599</v>
      </c>
      <c r="B58" s="6" t="s">
        <v>1492</v>
      </c>
      <c r="F58" s="390" t="s">
        <v>67</v>
      </c>
      <c r="G58" s="146" t="s">
        <v>1493</v>
      </c>
      <c r="H58" s="146" t="s">
        <v>67</v>
      </c>
      <c r="I58" s="146" t="s">
        <v>1493</v>
      </c>
      <c r="J58" s="146" t="s">
        <v>1511</v>
      </c>
      <c r="K58" s="355" t="s">
        <v>1510</v>
      </c>
      <c r="V58" s="19" t="s">
        <v>1503</v>
      </c>
    </row>
    <row r="59" spans="1:22" x14ac:dyDescent="0.25">
      <c r="A59" s="379" t="s">
        <v>1509</v>
      </c>
      <c r="B59" s="89">
        <f>(U13*H13)+(U27*H27)+(U28*H28)+(U48*H48)*365*5/12</f>
        <v>2868131.5511737424</v>
      </c>
      <c r="F59" s="390" t="s">
        <v>1508</v>
      </c>
      <c r="G59" s="146">
        <f>B59/80</f>
        <v>35851.644389671783</v>
      </c>
      <c r="H59" s="146" t="s">
        <v>1507</v>
      </c>
      <c r="I59" s="146">
        <f>B59/65</f>
        <v>44125.100787288342</v>
      </c>
      <c r="J59" s="146">
        <f>I59-G59</f>
        <v>8273.4563976165591</v>
      </c>
      <c r="K59" s="389">
        <f>J59*G57</f>
        <v>248799.72661960253</v>
      </c>
      <c r="V59" s="19" t="s">
        <v>1503</v>
      </c>
    </row>
    <row r="60" spans="1:22" ht="15.75" thickBot="1" x14ac:dyDescent="0.3">
      <c r="A60" s="379" t="s">
        <v>1506</v>
      </c>
      <c r="B60" s="89">
        <f>(U13*D13)+(U27*D27)+(U28*D28)+(U48*D48)*365*5/12</f>
        <v>3949622.677987936</v>
      </c>
      <c r="F60" s="383" t="s">
        <v>1505</v>
      </c>
      <c r="G60" s="388">
        <f>B60/80</f>
        <v>49370.283474849202</v>
      </c>
      <c r="H60" s="388" t="s">
        <v>1504</v>
      </c>
      <c r="I60" s="388">
        <f>B60/65</f>
        <v>60763.425815199014</v>
      </c>
      <c r="J60" s="388">
        <f>I60-G60</f>
        <v>11393.142340349812</v>
      </c>
      <c r="K60" s="387">
        <f>J60*G57</f>
        <v>342615.0526923493</v>
      </c>
      <c r="V60" s="19" t="s">
        <v>1503</v>
      </c>
    </row>
    <row r="61" spans="1:22" x14ac:dyDescent="0.25">
      <c r="F61" s="628" t="s">
        <v>1685</v>
      </c>
      <c r="V61" s="19" t="s">
        <v>1503</v>
      </c>
    </row>
    <row r="62" spans="1:22" x14ac:dyDescent="0.25">
      <c r="A62" s="6" t="s">
        <v>1598</v>
      </c>
      <c r="B62" s="6" t="s">
        <v>1502</v>
      </c>
      <c r="C62" s="6" t="s">
        <v>1494</v>
      </c>
      <c r="D62" s="6" t="s">
        <v>65</v>
      </c>
      <c r="V62" s="19" t="s">
        <v>1503</v>
      </c>
    </row>
    <row r="63" spans="1:22" x14ac:dyDescent="0.25">
      <c r="A63" s="379" t="s">
        <v>1501</v>
      </c>
      <c r="B63" s="379">
        <f>((H13*U13)+(U27*H27)+(U28*H28)+(U48*H48))/SUM(U13,U27,U28,U48)</f>
        <v>6055.6469209654861</v>
      </c>
      <c r="C63" s="379">
        <f>B63*2</f>
        <v>12111.293841930972</v>
      </c>
      <c r="D63" s="379">
        <f>SUM(U13,U27,U28,U48)</f>
        <v>15.002651515151516</v>
      </c>
      <c r="V63" s="19" t="s">
        <v>1503</v>
      </c>
    </row>
    <row r="64" spans="1:22" x14ac:dyDescent="0.25">
      <c r="A64" s="379" t="s">
        <v>1576</v>
      </c>
      <c r="B64" s="379">
        <f>((D13*U13)+(U27*D27)+(U28*D28)+(U48*D48))/SUM(U13,U27,U28,U48)</f>
        <v>8338.78020648249</v>
      </c>
      <c r="C64" s="379">
        <f>B64*2</f>
        <v>16677.56041296498</v>
      </c>
      <c r="D64" s="379">
        <f>SUM(U13,U27,U28,U48)</f>
        <v>15.002651515151516</v>
      </c>
      <c r="V64" s="19" t="s">
        <v>1503</v>
      </c>
    </row>
    <row r="65" spans="1:22" x14ac:dyDescent="0.25">
      <c r="V65" s="19" t="s">
        <v>1503</v>
      </c>
    </row>
    <row r="66" spans="1:22" x14ac:dyDescent="0.25">
      <c r="A66" s="6" t="s">
        <v>1559</v>
      </c>
      <c r="B66" s="379">
        <f>((U13*K13)+(U27*K27)+(U28*K28)+(U48*K48))/(SUM(U13,U27,U28,U48))</f>
        <v>5375.9653003598341</v>
      </c>
      <c r="V66" s="19" t="s">
        <v>1503</v>
      </c>
    </row>
    <row r="67" spans="1:22" x14ac:dyDescent="0.25">
      <c r="A67" s="6" t="s">
        <v>1500</v>
      </c>
      <c r="B67" s="379">
        <f>B66*SUM(U13,U27,U28,U48)*5*365</f>
        <v>147193064.47489294</v>
      </c>
      <c r="V67" s="19" t="s">
        <v>1503</v>
      </c>
    </row>
    <row r="68" spans="1:22" x14ac:dyDescent="0.25">
      <c r="A68" s="6"/>
      <c r="V68" s="19" t="s">
        <v>1503</v>
      </c>
    </row>
    <row r="69" spans="1:22" x14ac:dyDescent="0.25">
      <c r="A69" s="6" t="s">
        <v>1668</v>
      </c>
      <c r="B69" s="6" t="s">
        <v>1669</v>
      </c>
      <c r="C69" s="89">
        <f>((U13*K13)+(U27*K27)+(U28*K28)+((U48-17464/5280)*K48))/(SUM(U13,U27,U28,(U48-17464/5280)))</f>
        <v>5324.1998267644367</v>
      </c>
      <c r="V69" s="19" t="s">
        <v>1503</v>
      </c>
    </row>
    <row r="70" spans="1:22" x14ac:dyDescent="0.25">
      <c r="A70" s="6" t="s">
        <v>1668</v>
      </c>
      <c r="B70" s="6" t="s">
        <v>1670</v>
      </c>
      <c r="C70" s="89">
        <f>C69*SUM(U13,U27,U28,U48)*5*365</f>
        <v>145775734.14130786</v>
      </c>
      <c r="V70" s="19" t="s">
        <v>1503</v>
      </c>
    </row>
    <row r="71" spans="1:22" x14ac:dyDescent="0.25">
      <c r="A71" s="6" t="s">
        <v>1668</v>
      </c>
      <c r="B71" s="6" t="s">
        <v>1671</v>
      </c>
      <c r="C71" s="89">
        <f>((U13*H13)+(U27*H27)+(U28*H28)+((U48-17464/5280)*H48))/(SUM(U13,U27,U28,(U48-17464/5280)))</f>
        <v>6028.9621894309312</v>
      </c>
      <c r="D71" s="428"/>
    </row>
    <row r="72" spans="1:22" x14ac:dyDescent="0.25">
      <c r="A72" s="6" t="s">
        <v>1668</v>
      </c>
      <c r="B72" s="6" t="s">
        <v>1672</v>
      </c>
      <c r="C72" s="89">
        <f>((U13*D13)+(U27*D27)+(U28*D28)+((U48-17464/5280)*D48))/(SUM(U13,U27,U28,(U48-17464/5280)))</f>
        <v>8301.9517291709144</v>
      </c>
      <c r="D72" s="428"/>
    </row>
    <row r="73" spans="1:22" x14ac:dyDescent="0.25">
      <c r="A73" s="6" t="s">
        <v>1668</v>
      </c>
      <c r="B73" s="6" t="s">
        <v>65</v>
      </c>
      <c r="C73" s="428">
        <f>(SUM(U13,U27,U28,(U48-17464/5280)))</f>
        <v>11.695075757575758</v>
      </c>
      <c r="D73" s="428"/>
    </row>
    <row r="74" spans="1:22" x14ac:dyDescent="0.25">
      <c r="A74" s="428"/>
      <c r="B74" s="428"/>
      <c r="C74" s="428"/>
      <c r="D74" s="428"/>
    </row>
  </sheetData>
  <autoFilter ref="V1:V57" xr:uid="{417A6F14-E08F-4D25-8F40-C0723B660801}">
    <filterColumn colId="0">
      <customFilters>
        <customFilter operator="notEqual" val=" "/>
      </customFilters>
    </filterColumn>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7B061-E2C3-4F19-9362-5167FCB299EA}">
  <sheetPr filterMode="1">
    <tabColor theme="1"/>
  </sheetPr>
  <dimension ref="A1:V74"/>
  <sheetViews>
    <sheetView zoomScale="85" zoomScaleNormal="85" workbookViewId="0">
      <selection activeCell="C70" sqref="A70:C74"/>
    </sheetView>
  </sheetViews>
  <sheetFormatPr defaultRowHeight="15" x14ac:dyDescent="0.25"/>
  <cols>
    <col min="1" max="1" width="34.85546875" style="379" bestFit="1" customWidth="1"/>
    <col min="2" max="2" width="45.140625" style="379" bestFit="1" customWidth="1"/>
    <col min="3" max="3" width="13.7109375" style="379" bestFit="1" customWidth="1"/>
    <col min="4" max="5" width="9.140625" style="379"/>
    <col min="6" max="6" width="32.28515625" style="379" bestFit="1" customWidth="1"/>
    <col min="7" max="7" width="11" style="379" bestFit="1" customWidth="1"/>
    <col min="8" max="8" width="19" style="379" bestFit="1" customWidth="1"/>
    <col min="9" max="10" width="12" style="379" bestFit="1" customWidth="1"/>
    <col min="11" max="11" width="14.85546875" style="379" bestFit="1" customWidth="1"/>
    <col min="12" max="16384" width="9.140625" style="379"/>
  </cols>
  <sheetData>
    <row r="1" spans="1:22" x14ac:dyDescent="0.25">
      <c r="A1" s="394" t="s">
        <v>1527</v>
      </c>
      <c r="B1" s="394" t="s">
        <v>1526</v>
      </c>
      <c r="C1" s="394" t="s">
        <v>1525</v>
      </c>
      <c r="D1" s="394" t="s">
        <v>1524</v>
      </c>
      <c r="E1" s="394" t="s">
        <v>1523</v>
      </c>
      <c r="F1" s="394" t="s">
        <v>1522</v>
      </c>
      <c r="G1" s="394" t="s">
        <v>1521</v>
      </c>
      <c r="H1" s="394">
        <v>2020</v>
      </c>
      <c r="I1" s="394">
        <v>2019</v>
      </c>
      <c r="J1" s="394">
        <v>2018</v>
      </c>
      <c r="K1" s="394">
        <v>2017</v>
      </c>
      <c r="L1" s="394">
        <v>2016</v>
      </c>
      <c r="M1" s="394">
        <v>2015</v>
      </c>
      <c r="N1" s="394">
        <v>2014</v>
      </c>
      <c r="O1" s="394">
        <v>2013</v>
      </c>
      <c r="P1" s="394">
        <v>2012</v>
      </c>
      <c r="Q1" s="394">
        <v>2011</v>
      </c>
      <c r="R1" s="394" t="s">
        <v>1520</v>
      </c>
      <c r="S1" s="394" t="s">
        <v>1519</v>
      </c>
      <c r="T1" s="394" t="s">
        <v>1518</v>
      </c>
      <c r="U1" s="394" t="s">
        <v>1517</v>
      </c>
      <c r="V1" s="394" t="s">
        <v>1528</v>
      </c>
    </row>
    <row r="2" spans="1:22" hidden="1" x14ac:dyDescent="0.25">
      <c r="A2" s="379">
        <v>1</v>
      </c>
      <c r="B2" s="379" t="s">
        <v>1513</v>
      </c>
      <c r="C2" s="379">
        <v>0.27600000000000002</v>
      </c>
      <c r="D2" s="379">
        <v>545</v>
      </c>
      <c r="E2" s="379">
        <v>590</v>
      </c>
      <c r="F2" s="379">
        <v>635</v>
      </c>
      <c r="G2" s="379">
        <v>679</v>
      </c>
      <c r="H2" s="379">
        <v>369</v>
      </c>
      <c r="I2" s="379">
        <v>421</v>
      </c>
      <c r="J2" s="379">
        <v>330</v>
      </c>
      <c r="K2" s="379">
        <v>1</v>
      </c>
      <c r="L2" s="379">
        <v>2</v>
      </c>
      <c r="M2" s="379">
        <v>3</v>
      </c>
      <c r="N2" s="379">
        <v>0</v>
      </c>
      <c r="O2" s="379">
        <v>0</v>
      </c>
      <c r="P2" s="379">
        <v>0</v>
      </c>
      <c r="Q2" s="379">
        <v>0</v>
      </c>
      <c r="R2" s="379">
        <v>37</v>
      </c>
      <c r="S2" s="379">
        <v>1456.8526819569099</v>
      </c>
      <c r="T2" s="379">
        <v>373.33333333333331</v>
      </c>
      <c r="U2" s="379">
        <f t="shared" ref="U2:U32" si="0">C2</f>
        <v>0.27600000000000002</v>
      </c>
    </row>
    <row r="3" spans="1:22" hidden="1" x14ac:dyDescent="0.25">
      <c r="A3" s="379">
        <v>2</v>
      </c>
      <c r="B3" s="379" t="s">
        <v>1515</v>
      </c>
      <c r="C3" s="379">
        <v>0.34499999999999997</v>
      </c>
      <c r="D3" s="379">
        <v>324</v>
      </c>
      <c r="E3" s="379">
        <v>347</v>
      </c>
      <c r="F3" s="379">
        <v>369</v>
      </c>
      <c r="G3" s="379">
        <v>391</v>
      </c>
      <c r="H3" s="379">
        <v>235</v>
      </c>
      <c r="I3" s="379">
        <v>235</v>
      </c>
      <c r="J3" s="379">
        <v>190</v>
      </c>
      <c r="K3" s="379">
        <v>1</v>
      </c>
      <c r="L3" s="379">
        <v>2</v>
      </c>
      <c r="M3" s="379">
        <v>3</v>
      </c>
      <c r="N3" s="379">
        <v>0</v>
      </c>
      <c r="O3" s="379">
        <v>0</v>
      </c>
      <c r="P3" s="379">
        <v>0</v>
      </c>
      <c r="Q3" s="379">
        <v>0</v>
      </c>
      <c r="R3" s="379">
        <v>24</v>
      </c>
      <c r="S3" s="379">
        <v>1817.71435771285</v>
      </c>
      <c r="T3" s="379">
        <v>220</v>
      </c>
      <c r="U3" s="379">
        <f t="shared" si="0"/>
        <v>0.34499999999999997</v>
      </c>
    </row>
    <row r="4" spans="1:22" hidden="1" x14ac:dyDescent="0.25">
      <c r="A4" s="379">
        <v>3</v>
      </c>
      <c r="B4" s="379" t="s">
        <v>199</v>
      </c>
      <c r="C4" s="379">
        <v>4.0019999000000004</v>
      </c>
      <c r="D4" s="379">
        <v>7835</v>
      </c>
      <c r="E4" s="379">
        <v>8393</v>
      </c>
      <c r="F4" s="379">
        <v>8933</v>
      </c>
      <c r="G4" s="379">
        <v>9474</v>
      </c>
      <c r="H4" s="379">
        <v>5690</v>
      </c>
      <c r="I4" s="379">
        <v>5555</v>
      </c>
      <c r="J4" s="379">
        <v>5320</v>
      </c>
      <c r="K4" s="379">
        <v>5252</v>
      </c>
      <c r="L4" s="379">
        <v>5140</v>
      </c>
      <c r="M4" s="379">
        <v>4780</v>
      </c>
      <c r="N4" s="379">
        <v>4585</v>
      </c>
      <c r="O4" s="379">
        <v>4800</v>
      </c>
      <c r="P4" s="379">
        <v>4795</v>
      </c>
      <c r="Q4" s="379">
        <v>5065</v>
      </c>
      <c r="R4" s="379">
        <v>1218</v>
      </c>
      <c r="S4" s="379">
        <v>1318.4386690956101</v>
      </c>
      <c r="T4" s="379">
        <v>5391.4</v>
      </c>
      <c r="U4" s="379">
        <f t="shared" si="0"/>
        <v>4.0019999000000004</v>
      </c>
    </row>
    <row r="5" spans="1:22" hidden="1" x14ac:dyDescent="0.25">
      <c r="A5" s="379">
        <v>4</v>
      </c>
      <c r="B5" s="379" t="s">
        <v>96</v>
      </c>
      <c r="C5" s="379">
        <v>5.9710001999999998</v>
      </c>
      <c r="D5" s="379">
        <v>8386</v>
      </c>
      <c r="E5" s="379">
        <v>8983</v>
      </c>
      <c r="F5" s="379">
        <v>9561</v>
      </c>
      <c r="G5" s="379">
        <v>10140</v>
      </c>
      <c r="H5" s="379">
        <v>6090</v>
      </c>
      <c r="I5" s="379">
        <v>5615</v>
      </c>
      <c r="J5" s="379">
        <v>5380</v>
      </c>
      <c r="K5" s="379">
        <v>5317</v>
      </c>
      <c r="L5" s="379">
        <v>5205</v>
      </c>
      <c r="M5" s="379">
        <v>4840</v>
      </c>
      <c r="N5" s="379">
        <v>4585</v>
      </c>
      <c r="O5" s="379">
        <v>4705</v>
      </c>
      <c r="P5" s="379">
        <v>5080</v>
      </c>
      <c r="Q5" s="379">
        <v>5310</v>
      </c>
      <c r="R5" s="379">
        <v>1261</v>
      </c>
      <c r="S5" s="379">
        <v>31521.254430010398</v>
      </c>
      <c r="T5" s="379">
        <v>5521.4</v>
      </c>
      <c r="U5" s="379">
        <f t="shared" si="0"/>
        <v>5.9710001999999998</v>
      </c>
    </row>
    <row r="6" spans="1:22" hidden="1" x14ac:dyDescent="0.25">
      <c r="A6" s="379">
        <v>5</v>
      </c>
      <c r="B6" s="379" t="s">
        <v>1513</v>
      </c>
      <c r="C6" s="379">
        <v>0.34799999999999998</v>
      </c>
      <c r="D6" s="379">
        <v>143</v>
      </c>
      <c r="E6" s="379">
        <v>153</v>
      </c>
      <c r="F6" s="379">
        <v>163</v>
      </c>
      <c r="G6" s="379">
        <v>173</v>
      </c>
      <c r="H6" s="379">
        <v>104</v>
      </c>
      <c r="I6" s="379">
        <v>104</v>
      </c>
      <c r="J6" s="379">
        <v>105</v>
      </c>
      <c r="K6" s="379">
        <v>1</v>
      </c>
      <c r="L6" s="379">
        <v>2</v>
      </c>
      <c r="M6" s="379">
        <v>3</v>
      </c>
      <c r="N6" s="379">
        <v>0</v>
      </c>
      <c r="O6" s="379">
        <v>0</v>
      </c>
      <c r="P6" s="379">
        <v>0</v>
      </c>
      <c r="Q6" s="379">
        <v>0</v>
      </c>
      <c r="R6" s="379">
        <v>10</v>
      </c>
      <c r="S6" s="379">
        <v>1835.38498256406</v>
      </c>
      <c r="T6" s="379">
        <v>104.33333333333333</v>
      </c>
      <c r="U6" s="379">
        <f t="shared" si="0"/>
        <v>0.34799999999999998</v>
      </c>
    </row>
    <row r="7" spans="1:22" hidden="1" x14ac:dyDescent="0.25">
      <c r="A7" s="379">
        <v>6</v>
      </c>
      <c r="B7" s="379" t="s">
        <v>1513</v>
      </c>
      <c r="C7" s="379">
        <v>0.35099999999999998</v>
      </c>
      <c r="D7" s="379">
        <v>123</v>
      </c>
      <c r="E7" s="379">
        <v>131</v>
      </c>
      <c r="F7" s="379">
        <v>140</v>
      </c>
      <c r="G7" s="379">
        <v>148</v>
      </c>
      <c r="H7" s="379">
        <v>89</v>
      </c>
      <c r="I7" s="379">
        <v>89</v>
      </c>
      <c r="J7" s="379">
        <v>75</v>
      </c>
      <c r="K7" s="379">
        <v>1</v>
      </c>
      <c r="L7" s="379">
        <v>2</v>
      </c>
      <c r="M7" s="379">
        <v>3</v>
      </c>
      <c r="N7" s="379">
        <v>0</v>
      </c>
      <c r="O7" s="379">
        <v>0</v>
      </c>
      <c r="P7" s="379">
        <v>0</v>
      </c>
      <c r="Q7" s="379">
        <v>0</v>
      </c>
      <c r="R7" s="379">
        <v>9</v>
      </c>
      <c r="S7" s="379">
        <v>1853.36616905954</v>
      </c>
      <c r="T7" s="379">
        <v>84.333333333333329</v>
      </c>
      <c r="U7" s="379">
        <f t="shared" si="0"/>
        <v>0.35099999999999998</v>
      </c>
    </row>
    <row r="8" spans="1:22" hidden="1" x14ac:dyDescent="0.25">
      <c r="A8" s="379">
        <v>7</v>
      </c>
      <c r="B8" s="379" t="s">
        <v>96</v>
      </c>
      <c r="C8" s="379">
        <v>5.2140002000000001</v>
      </c>
      <c r="D8" s="379">
        <v>11609</v>
      </c>
      <c r="E8" s="379">
        <v>12584</v>
      </c>
      <c r="F8" s="379">
        <v>13528</v>
      </c>
      <c r="G8" s="379">
        <v>14472</v>
      </c>
      <c r="H8" s="379">
        <v>7865</v>
      </c>
      <c r="I8" s="379">
        <v>8100</v>
      </c>
      <c r="J8" s="379">
        <v>7760</v>
      </c>
      <c r="K8" s="379">
        <v>7469</v>
      </c>
      <c r="L8" s="379">
        <v>6875</v>
      </c>
      <c r="M8" s="379">
        <v>6395</v>
      </c>
      <c r="N8" s="379">
        <v>6100</v>
      </c>
      <c r="O8" s="379">
        <v>6170</v>
      </c>
      <c r="P8" s="379">
        <v>6665</v>
      </c>
      <c r="Q8" s="379">
        <v>6415</v>
      </c>
      <c r="R8" s="379">
        <v>1479</v>
      </c>
      <c r="S8" s="379">
        <v>24709.707625282401</v>
      </c>
      <c r="T8" s="379">
        <v>7613.8</v>
      </c>
      <c r="U8" s="379">
        <f t="shared" si="0"/>
        <v>5.2140002000000001</v>
      </c>
    </row>
    <row r="9" spans="1:22" hidden="1" x14ac:dyDescent="0.25">
      <c r="A9" s="379">
        <v>8</v>
      </c>
      <c r="B9" s="379" t="s">
        <v>96</v>
      </c>
      <c r="C9" s="379">
        <v>4.0320001000000003</v>
      </c>
      <c r="D9" s="379">
        <v>8379</v>
      </c>
      <c r="E9" s="379">
        <v>8975</v>
      </c>
      <c r="F9" s="379">
        <v>9553</v>
      </c>
      <c r="G9" s="379">
        <v>10132</v>
      </c>
      <c r="H9" s="379">
        <v>6085</v>
      </c>
      <c r="I9" s="379">
        <v>5660</v>
      </c>
      <c r="J9" s="379">
        <v>5420</v>
      </c>
      <c r="K9" s="379">
        <v>5360</v>
      </c>
      <c r="L9" s="379">
        <v>5245</v>
      </c>
      <c r="M9" s="379">
        <v>4880</v>
      </c>
      <c r="N9" s="379">
        <v>4620</v>
      </c>
      <c r="O9" s="379">
        <v>4745</v>
      </c>
      <c r="P9" s="379">
        <v>5120</v>
      </c>
      <c r="Q9" s="379">
        <v>5355</v>
      </c>
      <c r="R9" s="379">
        <v>1272</v>
      </c>
      <c r="S9" s="379">
        <v>21288.362949504499</v>
      </c>
      <c r="T9" s="379">
        <v>5554</v>
      </c>
      <c r="U9" s="379">
        <f t="shared" si="0"/>
        <v>4.0320001000000003</v>
      </c>
    </row>
    <row r="10" spans="1:22" hidden="1" x14ac:dyDescent="0.25">
      <c r="A10" s="379">
        <v>9</v>
      </c>
      <c r="B10" s="379">
        <v>38</v>
      </c>
      <c r="C10" s="379">
        <v>5.9070001000000003</v>
      </c>
      <c r="D10" s="379">
        <v>1814</v>
      </c>
      <c r="E10" s="379">
        <v>1918</v>
      </c>
      <c r="F10" s="379">
        <v>2023</v>
      </c>
      <c r="G10" s="379">
        <v>2127</v>
      </c>
      <c r="H10" s="379">
        <v>1395</v>
      </c>
      <c r="I10" s="379">
        <v>1545</v>
      </c>
      <c r="J10" s="379">
        <v>1425</v>
      </c>
      <c r="K10" s="379">
        <v>1348</v>
      </c>
      <c r="L10" s="379">
        <v>1377</v>
      </c>
      <c r="M10" s="379">
        <v>1340</v>
      </c>
      <c r="N10" s="379">
        <v>1320</v>
      </c>
      <c r="O10" s="379">
        <v>1314</v>
      </c>
      <c r="P10" s="379">
        <v>1271</v>
      </c>
      <c r="Q10" s="379">
        <v>1160</v>
      </c>
      <c r="R10" s="379">
        <v>61</v>
      </c>
      <c r="S10" s="379">
        <v>11581.448602939399</v>
      </c>
      <c r="T10" s="379">
        <v>1418</v>
      </c>
      <c r="U10" s="379">
        <f t="shared" si="0"/>
        <v>5.9070001000000003</v>
      </c>
    </row>
    <row r="11" spans="1:22" hidden="1" x14ac:dyDescent="0.25">
      <c r="A11" s="379">
        <v>10</v>
      </c>
      <c r="B11" s="379">
        <v>38</v>
      </c>
      <c r="C11" s="379">
        <v>1.046</v>
      </c>
      <c r="D11" s="379">
        <v>3359</v>
      </c>
      <c r="E11" s="379">
        <v>3632</v>
      </c>
      <c r="F11" s="379">
        <v>3918</v>
      </c>
      <c r="G11" s="379">
        <v>4204</v>
      </c>
      <c r="H11" s="379">
        <v>2201</v>
      </c>
      <c r="I11" s="379">
        <v>2302</v>
      </c>
      <c r="J11" s="379">
        <v>2182</v>
      </c>
      <c r="K11" s="379">
        <v>1623</v>
      </c>
      <c r="L11" s="379">
        <v>1658</v>
      </c>
      <c r="M11" s="379">
        <v>1614</v>
      </c>
      <c r="N11" s="379">
        <v>1590</v>
      </c>
      <c r="O11" s="379">
        <v>1584</v>
      </c>
      <c r="P11" s="379">
        <v>1532</v>
      </c>
      <c r="Q11" s="379">
        <v>1269</v>
      </c>
      <c r="R11" s="379">
        <v>55</v>
      </c>
      <c r="S11" s="379">
        <v>1452.10633841094</v>
      </c>
      <c r="T11" s="379">
        <v>1993.2</v>
      </c>
      <c r="U11" s="379">
        <f t="shared" si="0"/>
        <v>1.046</v>
      </c>
    </row>
    <row r="12" spans="1:22" hidden="1" x14ac:dyDescent="0.25">
      <c r="A12" s="379">
        <v>11</v>
      </c>
      <c r="B12" s="379">
        <v>38</v>
      </c>
      <c r="C12" s="379">
        <v>2.2920001000000001</v>
      </c>
      <c r="D12" s="379">
        <v>6237</v>
      </c>
      <c r="E12" s="379">
        <v>6744</v>
      </c>
      <c r="F12" s="379">
        <v>7275</v>
      </c>
      <c r="G12" s="379">
        <v>7806</v>
      </c>
      <c r="H12" s="379">
        <v>4087</v>
      </c>
      <c r="I12" s="379">
        <v>4275</v>
      </c>
      <c r="J12" s="379">
        <v>4052</v>
      </c>
      <c r="K12" s="379">
        <v>3933</v>
      </c>
      <c r="L12" s="379">
        <v>3642</v>
      </c>
      <c r="M12" s="379">
        <v>3606</v>
      </c>
      <c r="N12" s="379">
        <v>3275</v>
      </c>
      <c r="O12" s="379">
        <v>3359</v>
      </c>
      <c r="P12" s="379">
        <v>3406</v>
      </c>
      <c r="Q12" s="379">
        <v>3524</v>
      </c>
      <c r="R12" s="379">
        <v>94</v>
      </c>
      <c r="S12" s="379">
        <v>2486.49356255051</v>
      </c>
      <c r="T12" s="379">
        <v>3997.8</v>
      </c>
      <c r="U12" s="379">
        <f t="shared" si="0"/>
        <v>2.2920001000000001</v>
      </c>
    </row>
    <row r="13" spans="1:22" hidden="1" x14ac:dyDescent="0.25">
      <c r="A13" s="379">
        <v>12</v>
      </c>
      <c r="B13" s="379" t="s">
        <v>199</v>
      </c>
      <c r="C13" s="379">
        <v>5.9679998999999997</v>
      </c>
      <c r="D13" s="379">
        <v>8386</v>
      </c>
      <c r="E13" s="379">
        <v>8983</v>
      </c>
      <c r="F13" s="379">
        <v>9561</v>
      </c>
      <c r="G13" s="379">
        <v>10140</v>
      </c>
      <c r="H13" s="379">
        <v>6090</v>
      </c>
      <c r="I13" s="379">
        <v>5615</v>
      </c>
      <c r="J13" s="379">
        <v>5380</v>
      </c>
      <c r="K13" s="379">
        <v>5317</v>
      </c>
      <c r="L13" s="379">
        <v>5205</v>
      </c>
      <c r="M13" s="379">
        <v>4840</v>
      </c>
      <c r="N13" s="379">
        <v>4585</v>
      </c>
      <c r="O13" s="379">
        <v>4705</v>
      </c>
      <c r="P13" s="379">
        <v>5080</v>
      </c>
      <c r="Q13" s="379">
        <v>5310</v>
      </c>
      <c r="R13" s="379">
        <v>1261</v>
      </c>
      <c r="S13" s="379">
        <v>31518.423519759199</v>
      </c>
      <c r="T13" s="379">
        <v>5521.4</v>
      </c>
      <c r="U13" s="379">
        <f t="shared" si="0"/>
        <v>5.9679998999999997</v>
      </c>
    </row>
    <row r="14" spans="1:22" hidden="1" x14ac:dyDescent="0.25">
      <c r="A14" s="379">
        <v>13</v>
      </c>
      <c r="B14" s="379" t="s">
        <v>1512</v>
      </c>
      <c r="C14" s="379">
        <v>0.315</v>
      </c>
      <c r="D14" s="379">
        <v>2613</v>
      </c>
      <c r="E14" s="379">
        <v>2832</v>
      </c>
      <c r="F14" s="379">
        <v>3044</v>
      </c>
      <c r="G14" s="379">
        <v>3257</v>
      </c>
      <c r="H14" s="379">
        <v>1770</v>
      </c>
      <c r="I14" s="379">
        <v>1770</v>
      </c>
      <c r="J14" s="379">
        <v>675</v>
      </c>
      <c r="K14" s="379">
        <v>1</v>
      </c>
      <c r="L14" s="379">
        <v>2</v>
      </c>
      <c r="M14" s="379">
        <v>3</v>
      </c>
      <c r="N14" s="379">
        <v>0</v>
      </c>
      <c r="O14" s="379">
        <v>0</v>
      </c>
      <c r="P14" s="379">
        <v>0</v>
      </c>
      <c r="Q14" s="379">
        <v>0</v>
      </c>
      <c r="R14" s="379">
        <v>177</v>
      </c>
      <c r="S14" s="379">
        <v>1664.2087774363299</v>
      </c>
      <c r="T14" s="379">
        <v>1405</v>
      </c>
      <c r="U14" s="379">
        <f t="shared" si="0"/>
        <v>0.315</v>
      </c>
    </row>
    <row r="15" spans="1:22" hidden="1" x14ac:dyDescent="0.25">
      <c r="A15" s="379">
        <v>14</v>
      </c>
      <c r="B15" s="379" t="s">
        <v>1515</v>
      </c>
      <c r="C15" s="379">
        <v>0.33100000000000002</v>
      </c>
      <c r="D15" s="379">
        <v>80</v>
      </c>
      <c r="E15" s="379">
        <v>86</v>
      </c>
      <c r="F15" s="379">
        <v>91</v>
      </c>
      <c r="G15" s="379">
        <v>97</v>
      </c>
      <c r="H15" s="379">
        <v>58</v>
      </c>
      <c r="I15" s="379">
        <v>58</v>
      </c>
      <c r="J15" s="379">
        <v>60</v>
      </c>
      <c r="K15" s="379">
        <v>1</v>
      </c>
      <c r="L15" s="379">
        <v>2</v>
      </c>
      <c r="M15" s="379">
        <v>3</v>
      </c>
      <c r="N15" s="379">
        <v>0</v>
      </c>
      <c r="O15" s="379">
        <v>0</v>
      </c>
      <c r="P15" s="379">
        <v>0</v>
      </c>
      <c r="Q15" s="379">
        <v>0</v>
      </c>
      <c r="R15" s="379">
        <v>6</v>
      </c>
      <c r="S15" s="379">
        <v>1750.95724855093</v>
      </c>
      <c r="T15" s="379">
        <v>58.666666666666664</v>
      </c>
      <c r="U15" s="379">
        <f t="shared" si="0"/>
        <v>0.33100000000000002</v>
      </c>
    </row>
    <row r="16" spans="1:22" hidden="1" x14ac:dyDescent="0.25">
      <c r="A16" s="379">
        <v>15</v>
      </c>
      <c r="B16" s="379" t="s">
        <v>1513</v>
      </c>
      <c r="C16" s="379">
        <v>0.35899999999999999</v>
      </c>
      <c r="D16" s="379">
        <v>866</v>
      </c>
      <c r="E16" s="379">
        <v>928</v>
      </c>
      <c r="F16" s="379">
        <v>988</v>
      </c>
      <c r="G16" s="379">
        <v>1047</v>
      </c>
      <c r="H16" s="379">
        <v>629</v>
      </c>
      <c r="I16" s="379">
        <v>629</v>
      </c>
      <c r="J16" s="379">
        <v>485</v>
      </c>
      <c r="K16" s="379">
        <v>1</v>
      </c>
      <c r="L16" s="379">
        <v>2</v>
      </c>
      <c r="M16" s="379">
        <v>3</v>
      </c>
      <c r="N16" s="379">
        <v>0</v>
      </c>
      <c r="O16" s="379">
        <v>0</v>
      </c>
      <c r="P16" s="379">
        <v>0</v>
      </c>
      <c r="Q16" s="379">
        <v>0</v>
      </c>
      <c r="R16" s="379">
        <v>63</v>
      </c>
      <c r="S16" s="379">
        <v>1896.3914391288299</v>
      </c>
      <c r="T16" s="379">
        <v>581</v>
      </c>
      <c r="U16" s="379">
        <f t="shared" si="0"/>
        <v>0.35899999999999999</v>
      </c>
    </row>
    <row r="17" spans="1:21" hidden="1" x14ac:dyDescent="0.25">
      <c r="A17" s="379">
        <v>16</v>
      </c>
      <c r="B17" s="379" t="s">
        <v>1514</v>
      </c>
      <c r="C17" s="379">
        <v>0.19600000000000001</v>
      </c>
      <c r="D17" s="379">
        <v>272</v>
      </c>
      <c r="E17" s="379">
        <v>294</v>
      </c>
      <c r="F17" s="379">
        <v>316</v>
      </c>
      <c r="G17" s="379">
        <v>339</v>
      </c>
      <c r="H17" s="379">
        <v>184</v>
      </c>
      <c r="I17" s="379">
        <v>210</v>
      </c>
      <c r="J17" s="379">
        <v>220</v>
      </c>
      <c r="K17" s="379">
        <v>1</v>
      </c>
      <c r="L17" s="379">
        <v>2</v>
      </c>
      <c r="M17" s="379">
        <v>3</v>
      </c>
      <c r="N17" s="379">
        <v>0</v>
      </c>
      <c r="O17" s="379">
        <v>0</v>
      </c>
      <c r="P17" s="379">
        <v>0</v>
      </c>
      <c r="Q17" s="379">
        <v>0</v>
      </c>
      <c r="R17" s="379">
        <v>18</v>
      </c>
      <c r="S17" s="379">
        <v>1034.62203237016</v>
      </c>
      <c r="T17" s="379">
        <v>204.66666666666666</v>
      </c>
      <c r="U17" s="379">
        <f t="shared" si="0"/>
        <v>0.19600000000000001</v>
      </c>
    </row>
    <row r="18" spans="1:21" hidden="1" x14ac:dyDescent="0.25">
      <c r="A18" s="379">
        <v>17</v>
      </c>
      <c r="B18" s="379">
        <v>19</v>
      </c>
      <c r="C18" s="379">
        <v>0.16800000000000001</v>
      </c>
      <c r="D18" s="379">
        <v>3452</v>
      </c>
      <c r="E18" s="379">
        <v>3732</v>
      </c>
      <c r="F18" s="379">
        <v>4026</v>
      </c>
      <c r="G18" s="379">
        <v>4320</v>
      </c>
      <c r="H18" s="379">
        <v>2262</v>
      </c>
      <c r="I18" s="379">
        <v>2101</v>
      </c>
      <c r="J18" s="379">
        <v>2090</v>
      </c>
      <c r="K18" s="379">
        <v>2010</v>
      </c>
      <c r="L18" s="379">
        <v>1746</v>
      </c>
      <c r="M18" s="379">
        <v>1679</v>
      </c>
      <c r="N18" s="379">
        <v>1930</v>
      </c>
      <c r="O18" s="379">
        <v>1907</v>
      </c>
      <c r="P18" s="379">
        <v>1744</v>
      </c>
      <c r="Q18" s="379">
        <v>1132</v>
      </c>
      <c r="R18" s="379">
        <v>201</v>
      </c>
      <c r="S18" s="379">
        <v>872.23759229185703</v>
      </c>
      <c r="T18" s="379">
        <v>2041.8</v>
      </c>
      <c r="U18" s="379">
        <f t="shared" si="0"/>
        <v>0.16800000000000001</v>
      </c>
    </row>
    <row r="19" spans="1:21" hidden="1" x14ac:dyDescent="0.25">
      <c r="A19" s="379">
        <v>18</v>
      </c>
      <c r="B19" s="379" t="s">
        <v>1512</v>
      </c>
      <c r="C19" s="379">
        <v>0.34499999999999997</v>
      </c>
      <c r="D19" s="379">
        <v>102</v>
      </c>
      <c r="E19" s="379">
        <v>109</v>
      </c>
      <c r="F19" s="379">
        <v>116</v>
      </c>
      <c r="G19" s="379">
        <v>123</v>
      </c>
      <c r="H19" s="379">
        <v>74</v>
      </c>
      <c r="I19" s="379">
        <v>74</v>
      </c>
      <c r="J19" s="379">
        <v>115</v>
      </c>
      <c r="K19" s="379">
        <v>1</v>
      </c>
      <c r="L19" s="379">
        <v>2</v>
      </c>
      <c r="M19" s="379">
        <v>3</v>
      </c>
      <c r="N19" s="379">
        <v>0</v>
      </c>
      <c r="O19" s="379">
        <v>0</v>
      </c>
      <c r="P19" s="379">
        <v>0</v>
      </c>
      <c r="Q19" s="379">
        <v>0</v>
      </c>
      <c r="R19" s="379">
        <v>7</v>
      </c>
      <c r="S19" s="379">
        <v>1818.3758756029099</v>
      </c>
      <c r="T19" s="379">
        <v>87.666666666666671</v>
      </c>
      <c r="U19" s="379">
        <f t="shared" si="0"/>
        <v>0.34499999999999997</v>
      </c>
    </row>
    <row r="20" spans="1:21" hidden="1" x14ac:dyDescent="0.25">
      <c r="A20" s="379">
        <v>19</v>
      </c>
      <c r="B20" s="379" t="s">
        <v>1514</v>
      </c>
      <c r="C20" s="379">
        <v>0.34</v>
      </c>
      <c r="D20" s="379">
        <v>65</v>
      </c>
      <c r="E20" s="379">
        <v>69</v>
      </c>
      <c r="F20" s="379">
        <v>74</v>
      </c>
      <c r="G20" s="379">
        <v>78</v>
      </c>
      <c r="H20" s="379">
        <v>47</v>
      </c>
      <c r="I20" s="379">
        <v>47</v>
      </c>
      <c r="J20" s="379">
        <v>60</v>
      </c>
      <c r="K20" s="379">
        <v>1</v>
      </c>
      <c r="L20" s="379">
        <v>2</v>
      </c>
      <c r="M20" s="379">
        <v>3</v>
      </c>
      <c r="N20" s="379">
        <v>0</v>
      </c>
      <c r="O20" s="379">
        <v>0</v>
      </c>
      <c r="P20" s="379">
        <v>0</v>
      </c>
      <c r="Q20" s="379">
        <v>0</v>
      </c>
      <c r="R20" s="379">
        <v>5</v>
      </c>
      <c r="S20" s="379">
        <v>1371.71979483072</v>
      </c>
      <c r="T20" s="379">
        <v>51.333333333333336</v>
      </c>
      <c r="U20" s="379">
        <f t="shared" si="0"/>
        <v>0.34</v>
      </c>
    </row>
    <row r="21" spans="1:21" hidden="1" x14ac:dyDescent="0.25">
      <c r="A21" s="379">
        <v>20</v>
      </c>
      <c r="B21" s="379" t="s">
        <v>1512</v>
      </c>
      <c r="C21" s="379">
        <v>0.38900000000000001</v>
      </c>
      <c r="D21" s="379">
        <v>833</v>
      </c>
      <c r="E21" s="379">
        <v>892</v>
      </c>
      <c r="F21" s="379">
        <v>950</v>
      </c>
      <c r="G21" s="379">
        <v>1007</v>
      </c>
      <c r="H21" s="379">
        <v>605</v>
      </c>
      <c r="I21" s="379">
        <v>605</v>
      </c>
      <c r="J21" s="379">
        <v>465</v>
      </c>
      <c r="K21" s="379">
        <v>1</v>
      </c>
      <c r="L21" s="379">
        <v>2</v>
      </c>
      <c r="M21" s="379">
        <v>3</v>
      </c>
      <c r="N21" s="379">
        <v>0</v>
      </c>
      <c r="O21" s="379">
        <v>0</v>
      </c>
      <c r="P21" s="379">
        <v>0</v>
      </c>
      <c r="Q21" s="379">
        <v>0</v>
      </c>
      <c r="R21" s="379">
        <v>61</v>
      </c>
      <c r="S21" s="379">
        <v>2055.84177341231</v>
      </c>
      <c r="T21" s="379">
        <v>558.33333333333337</v>
      </c>
      <c r="U21" s="379">
        <f t="shared" si="0"/>
        <v>0.38900000000000001</v>
      </c>
    </row>
    <row r="22" spans="1:21" hidden="1" x14ac:dyDescent="0.25">
      <c r="A22" s="379">
        <v>21</v>
      </c>
      <c r="B22" s="379" t="s">
        <v>1515</v>
      </c>
      <c r="C22" s="379">
        <v>0.36099999999999999</v>
      </c>
      <c r="D22" s="379">
        <v>1114</v>
      </c>
      <c r="E22" s="379">
        <v>1208</v>
      </c>
      <c r="F22" s="379">
        <v>1299</v>
      </c>
      <c r="G22" s="379">
        <v>1389</v>
      </c>
      <c r="H22" s="379">
        <v>755</v>
      </c>
      <c r="I22" s="379">
        <v>755</v>
      </c>
      <c r="J22" s="379">
        <v>500</v>
      </c>
      <c r="K22" s="379">
        <v>1</v>
      </c>
      <c r="L22" s="379">
        <v>2</v>
      </c>
      <c r="M22" s="379">
        <v>3</v>
      </c>
      <c r="N22" s="379">
        <v>0</v>
      </c>
      <c r="O22" s="379">
        <v>0</v>
      </c>
      <c r="P22" s="379">
        <v>0</v>
      </c>
      <c r="Q22" s="379">
        <v>0</v>
      </c>
      <c r="R22" s="379">
        <v>76</v>
      </c>
      <c r="S22" s="379">
        <v>1909.0368485705301</v>
      </c>
      <c r="T22" s="379">
        <v>670</v>
      </c>
      <c r="U22" s="379">
        <f t="shared" si="0"/>
        <v>0.36099999999999999</v>
      </c>
    </row>
    <row r="23" spans="1:21" hidden="1" x14ac:dyDescent="0.25">
      <c r="A23" s="379">
        <v>22</v>
      </c>
      <c r="B23" s="379" t="s">
        <v>199</v>
      </c>
      <c r="C23" s="379">
        <v>2.78</v>
      </c>
      <c r="D23" s="379">
        <v>10339</v>
      </c>
      <c r="E23" s="379">
        <v>11208</v>
      </c>
      <c r="F23" s="379">
        <v>12049</v>
      </c>
      <c r="G23" s="379">
        <v>12889</v>
      </c>
      <c r="H23" s="379">
        <v>7005</v>
      </c>
      <c r="I23" s="379">
        <v>7215</v>
      </c>
      <c r="J23" s="379">
        <v>6910</v>
      </c>
      <c r="K23" s="379">
        <v>6929</v>
      </c>
      <c r="L23" s="379">
        <v>6380</v>
      </c>
      <c r="M23" s="379">
        <v>5935</v>
      </c>
      <c r="N23" s="379">
        <v>5665</v>
      </c>
      <c r="O23" s="379">
        <v>5885</v>
      </c>
      <c r="P23" s="379">
        <v>6355</v>
      </c>
      <c r="Q23" s="379">
        <v>6585</v>
      </c>
      <c r="R23" s="379">
        <v>1317</v>
      </c>
      <c r="S23" s="379">
        <v>14679.646489574699</v>
      </c>
      <c r="T23" s="379">
        <v>6887.8</v>
      </c>
      <c r="U23" s="379">
        <f t="shared" si="0"/>
        <v>2.78</v>
      </c>
    </row>
    <row r="24" spans="1:21" hidden="1" x14ac:dyDescent="0.25">
      <c r="A24" s="379">
        <v>23</v>
      </c>
      <c r="B24" s="379" t="s">
        <v>1515</v>
      </c>
      <c r="C24" s="379">
        <v>0.40899999999999997</v>
      </c>
      <c r="D24" s="379">
        <v>1138</v>
      </c>
      <c r="E24" s="379">
        <v>1234</v>
      </c>
      <c r="F24" s="379">
        <v>1326</v>
      </c>
      <c r="G24" s="379">
        <v>1419</v>
      </c>
      <c r="H24" s="379">
        <v>771</v>
      </c>
      <c r="I24" s="379">
        <v>880</v>
      </c>
      <c r="J24" s="379">
        <v>630</v>
      </c>
      <c r="K24" s="379">
        <v>1</v>
      </c>
      <c r="L24" s="379">
        <v>2</v>
      </c>
      <c r="M24" s="379">
        <v>3</v>
      </c>
      <c r="N24" s="379">
        <v>0</v>
      </c>
      <c r="O24" s="379">
        <v>0</v>
      </c>
      <c r="P24" s="379">
        <v>0</v>
      </c>
      <c r="Q24" s="379">
        <v>0</v>
      </c>
      <c r="R24" s="379">
        <v>77</v>
      </c>
      <c r="S24" s="379">
        <v>2158.7492547656998</v>
      </c>
      <c r="T24" s="379">
        <v>760.33333333333337</v>
      </c>
      <c r="U24" s="379">
        <f t="shared" si="0"/>
        <v>0.40899999999999997</v>
      </c>
    </row>
    <row r="25" spans="1:21" hidden="1" x14ac:dyDescent="0.25">
      <c r="A25" s="379">
        <v>24</v>
      </c>
      <c r="B25" s="379" t="s">
        <v>1514</v>
      </c>
      <c r="C25" s="379">
        <v>0.29899999999999999</v>
      </c>
      <c r="D25" s="379">
        <v>624</v>
      </c>
      <c r="E25" s="379">
        <v>677</v>
      </c>
      <c r="F25" s="379">
        <v>728</v>
      </c>
      <c r="G25" s="379">
        <v>778</v>
      </c>
      <c r="H25" s="379">
        <v>423</v>
      </c>
      <c r="I25" s="379">
        <v>423</v>
      </c>
      <c r="J25" s="379">
        <v>425</v>
      </c>
      <c r="K25" s="379">
        <v>1</v>
      </c>
      <c r="L25" s="379">
        <v>2</v>
      </c>
      <c r="M25" s="379">
        <v>3</v>
      </c>
      <c r="N25" s="379">
        <v>0</v>
      </c>
      <c r="O25" s="379">
        <v>0</v>
      </c>
      <c r="P25" s="379">
        <v>0</v>
      </c>
      <c r="Q25" s="379">
        <v>0</v>
      </c>
      <c r="R25" s="379">
        <v>42</v>
      </c>
      <c r="S25" s="379">
        <v>1576.19217493734</v>
      </c>
      <c r="T25" s="379">
        <v>423.66666666666669</v>
      </c>
      <c r="U25" s="379">
        <f t="shared" si="0"/>
        <v>0.29899999999999999</v>
      </c>
    </row>
    <row r="26" spans="1:21" hidden="1" x14ac:dyDescent="0.25">
      <c r="A26" s="379">
        <v>25</v>
      </c>
      <c r="B26" s="379" t="s">
        <v>1513</v>
      </c>
      <c r="C26" s="379">
        <v>0.33500000000000002</v>
      </c>
      <c r="D26" s="379">
        <v>48</v>
      </c>
      <c r="E26" s="379">
        <v>52</v>
      </c>
      <c r="F26" s="379">
        <v>55</v>
      </c>
      <c r="G26" s="379">
        <v>58</v>
      </c>
      <c r="H26" s="379">
        <v>35</v>
      </c>
      <c r="I26" s="379">
        <v>35</v>
      </c>
      <c r="J26" s="379">
        <v>50</v>
      </c>
      <c r="K26" s="379">
        <v>1</v>
      </c>
      <c r="L26" s="379">
        <v>2</v>
      </c>
      <c r="M26" s="379">
        <v>3</v>
      </c>
      <c r="N26" s="379">
        <v>0</v>
      </c>
      <c r="O26" s="379">
        <v>0</v>
      </c>
      <c r="P26" s="379">
        <v>0</v>
      </c>
      <c r="Q26" s="379">
        <v>0</v>
      </c>
      <c r="R26" s="379">
        <v>4</v>
      </c>
      <c r="S26" s="379">
        <v>1364.99512443397</v>
      </c>
      <c r="T26" s="379">
        <v>40</v>
      </c>
      <c r="U26" s="379">
        <f t="shared" si="0"/>
        <v>0.33500000000000002</v>
      </c>
    </row>
    <row r="27" spans="1:21" hidden="1" x14ac:dyDescent="0.25">
      <c r="A27" s="379">
        <v>26</v>
      </c>
      <c r="B27" s="379" t="s">
        <v>199</v>
      </c>
      <c r="C27" s="379">
        <v>6.0270000000000001</v>
      </c>
      <c r="D27" s="379">
        <v>7925</v>
      </c>
      <c r="E27" s="379">
        <v>8489</v>
      </c>
      <c r="F27" s="379">
        <v>9035</v>
      </c>
      <c r="G27" s="379">
        <v>9582</v>
      </c>
      <c r="H27" s="379">
        <v>5755</v>
      </c>
      <c r="I27" s="379">
        <v>5620</v>
      </c>
      <c r="J27" s="379">
        <v>5380</v>
      </c>
      <c r="K27" s="379">
        <v>5311</v>
      </c>
      <c r="L27" s="379">
        <v>5200</v>
      </c>
      <c r="M27" s="379">
        <v>4835</v>
      </c>
      <c r="N27" s="379">
        <v>4635</v>
      </c>
      <c r="O27" s="379">
        <v>4760</v>
      </c>
      <c r="P27" s="379">
        <v>5140</v>
      </c>
      <c r="Q27" s="379">
        <v>5375</v>
      </c>
      <c r="R27" s="379">
        <v>1260</v>
      </c>
      <c r="S27" s="379">
        <v>31818.148762688801</v>
      </c>
      <c r="T27" s="379">
        <v>5453.2</v>
      </c>
      <c r="U27" s="379">
        <f t="shared" si="0"/>
        <v>6.0270000000000001</v>
      </c>
    </row>
    <row r="28" spans="1:21" hidden="1" x14ac:dyDescent="0.25">
      <c r="A28" s="379">
        <v>27</v>
      </c>
      <c r="B28" s="379" t="s">
        <v>199</v>
      </c>
      <c r="C28" s="379">
        <v>4.0320001000000003</v>
      </c>
      <c r="D28" s="379">
        <v>8379</v>
      </c>
      <c r="E28" s="379">
        <v>8975</v>
      </c>
      <c r="F28" s="379">
        <v>9553</v>
      </c>
      <c r="G28" s="379">
        <v>10132</v>
      </c>
      <c r="H28" s="379">
        <v>6085</v>
      </c>
      <c r="I28" s="379">
        <v>5660</v>
      </c>
      <c r="J28" s="379">
        <v>5420</v>
      </c>
      <c r="K28" s="379">
        <v>5360</v>
      </c>
      <c r="L28" s="379">
        <v>5245</v>
      </c>
      <c r="M28" s="379">
        <v>4880</v>
      </c>
      <c r="N28" s="379">
        <v>4620</v>
      </c>
      <c r="O28" s="379">
        <v>4745</v>
      </c>
      <c r="P28" s="379">
        <v>5120</v>
      </c>
      <c r="Q28" s="379">
        <v>5355</v>
      </c>
      <c r="R28" s="379">
        <v>1272</v>
      </c>
      <c r="S28" s="379">
        <v>21287.144449426101</v>
      </c>
      <c r="T28" s="379">
        <v>5554</v>
      </c>
      <c r="U28" s="379">
        <f t="shared" si="0"/>
        <v>4.0320001000000003</v>
      </c>
    </row>
    <row r="29" spans="1:21" hidden="1" x14ac:dyDescent="0.25">
      <c r="A29" s="379">
        <v>28</v>
      </c>
      <c r="B29" s="379" t="s">
        <v>96</v>
      </c>
      <c r="C29" s="379">
        <v>6.0229998</v>
      </c>
      <c r="D29" s="379">
        <v>7925</v>
      </c>
      <c r="E29" s="379">
        <v>8489</v>
      </c>
      <c r="F29" s="379">
        <v>9035</v>
      </c>
      <c r="G29" s="379">
        <v>9582</v>
      </c>
      <c r="H29" s="379">
        <v>5755</v>
      </c>
      <c r="I29" s="379">
        <v>5620</v>
      </c>
      <c r="J29" s="379">
        <v>5380</v>
      </c>
      <c r="K29" s="379">
        <v>5311</v>
      </c>
      <c r="L29" s="379">
        <v>5200</v>
      </c>
      <c r="M29" s="379">
        <v>4835</v>
      </c>
      <c r="N29" s="379">
        <v>4635</v>
      </c>
      <c r="O29" s="379">
        <v>4760</v>
      </c>
      <c r="P29" s="379">
        <v>5140</v>
      </c>
      <c r="Q29" s="379">
        <v>5375</v>
      </c>
      <c r="R29" s="379">
        <v>1260</v>
      </c>
      <c r="S29" s="379">
        <v>31817.9633797434</v>
      </c>
      <c r="T29" s="379">
        <v>5453.2</v>
      </c>
      <c r="U29" s="379">
        <f t="shared" si="0"/>
        <v>6.0229998</v>
      </c>
    </row>
    <row r="30" spans="1:21" hidden="1" x14ac:dyDescent="0.25">
      <c r="A30" s="379">
        <v>29</v>
      </c>
      <c r="B30" s="379" t="s">
        <v>199</v>
      </c>
      <c r="C30" s="379">
        <v>7.8189998000000003</v>
      </c>
      <c r="D30" s="379">
        <v>8849</v>
      </c>
      <c r="E30" s="379">
        <v>9592</v>
      </c>
      <c r="F30" s="379">
        <v>10311</v>
      </c>
      <c r="G30" s="379">
        <v>11031</v>
      </c>
      <c r="H30" s="379">
        <v>5995</v>
      </c>
      <c r="I30" s="379">
        <v>6995</v>
      </c>
      <c r="J30" s="379">
        <v>6700</v>
      </c>
      <c r="K30" s="379">
        <v>6485</v>
      </c>
      <c r="L30" s="379">
        <v>5970</v>
      </c>
      <c r="M30" s="379">
        <v>5555</v>
      </c>
      <c r="N30" s="379">
        <v>5300</v>
      </c>
      <c r="O30" s="379">
        <v>5440</v>
      </c>
      <c r="P30" s="379">
        <v>5875</v>
      </c>
      <c r="Q30" s="379">
        <v>6090</v>
      </c>
      <c r="R30" s="379">
        <v>1163</v>
      </c>
      <c r="S30" s="379">
        <v>41295.627742007797</v>
      </c>
      <c r="T30" s="379">
        <v>6429</v>
      </c>
      <c r="U30" s="379">
        <f t="shared" si="0"/>
        <v>7.8189998000000003</v>
      </c>
    </row>
    <row r="31" spans="1:21" hidden="1" x14ac:dyDescent="0.25">
      <c r="A31" s="379">
        <v>30</v>
      </c>
      <c r="B31" s="379">
        <v>38</v>
      </c>
      <c r="C31" s="379">
        <v>3.3199999</v>
      </c>
      <c r="D31" s="379">
        <v>6000</v>
      </c>
      <c r="E31" s="379">
        <v>6488</v>
      </c>
      <c r="F31" s="379">
        <v>6999</v>
      </c>
      <c r="G31" s="379">
        <v>7510</v>
      </c>
      <c r="H31" s="379">
        <v>3932</v>
      </c>
      <c r="I31" s="379">
        <v>4104</v>
      </c>
      <c r="J31" s="379">
        <v>3890</v>
      </c>
      <c r="K31" s="379">
        <v>4256</v>
      </c>
      <c r="L31" s="379">
        <v>3941</v>
      </c>
      <c r="M31" s="379">
        <v>3903</v>
      </c>
      <c r="N31" s="379">
        <v>3545</v>
      </c>
      <c r="O31" s="379">
        <v>3373</v>
      </c>
      <c r="P31" s="379">
        <v>3421</v>
      </c>
      <c r="Q31" s="379">
        <v>3883</v>
      </c>
      <c r="R31" s="379">
        <v>134</v>
      </c>
      <c r="S31" s="379">
        <v>3031.8669756475401</v>
      </c>
      <c r="T31" s="379">
        <v>4024.6</v>
      </c>
      <c r="U31" s="379">
        <f t="shared" si="0"/>
        <v>3.3199999</v>
      </c>
    </row>
    <row r="32" spans="1:21" hidden="1" x14ac:dyDescent="0.25">
      <c r="A32" s="379">
        <v>31</v>
      </c>
      <c r="B32" s="379" t="s">
        <v>1515</v>
      </c>
      <c r="C32" s="379">
        <v>0.441</v>
      </c>
      <c r="D32" s="379">
        <v>795</v>
      </c>
      <c r="E32" s="379">
        <v>851</v>
      </c>
      <c r="F32" s="379">
        <v>906</v>
      </c>
      <c r="G32" s="379">
        <v>961</v>
      </c>
      <c r="H32" s="379">
        <v>577</v>
      </c>
      <c r="I32" s="379">
        <v>577</v>
      </c>
      <c r="J32" s="379">
        <v>430</v>
      </c>
      <c r="K32" s="379">
        <v>1</v>
      </c>
      <c r="L32" s="379">
        <v>2</v>
      </c>
      <c r="M32" s="379">
        <v>3</v>
      </c>
      <c r="N32" s="379">
        <v>0</v>
      </c>
      <c r="O32" s="379">
        <v>0</v>
      </c>
      <c r="P32" s="379">
        <v>0</v>
      </c>
      <c r="Q32" s="379">
        <v>0</v>
      </c>
      <c r="R32" s="379">
        <v>58</v>
      </c>
      <c r="S32" s="379">
        <v>2327.2176885331401</v>
      </c>
      <c r="T32" s="379">
        <v>528</v>
      </c>
      <c r="U32" s="379">
        <f t="shared" si="0"/>
        <v>0.441</v>
      </c>
    </row>
    <row r="33" spans="1:22" x14ac:dyDescent="0.25">
      <c r="A33" s="19">
        <v>32</v>
      </c>
      <c r="B33" s="19" t="s">
        <v>96</v>
      </c>
      <c r="C33" s="19">
        <v>5.6079998</v>
      </c>
      <c r="D33" s="19">
        <v>8469</v>
      </c>
      <c r="E33" s="19">
        <v>9071</v>
      </c>
      <c r="F33" s="19">
        <v>9656</v>
      </c>
      <c r="G33" s="19">
        <v>10240</v>
      </c>
      <c r="H33" s="19">
        <v>6150</v>
      </c>
      <c r="I33" s="19">
        <v>5995</v>
      </c>
      <c r="J33" s="19">
        <v>5745</v>
      </c>
      <c r="K33" s="19">
        <v>5559</v>
      </c>
      <c r="L33" s="19">
        <v>5440</v>
      </c>
      <c r="M33" s="19">
        <v>5060</v>
      </c>
      <c r="N33" s="19">
        <v>4790</v>
      </c>
      <c r="O33" s="19">
        <v>4920</v>
      </c>
      <c r="P33" s="19">
        <v>5315</v>
      </c>
      <c r="Q33" s="19">
        <v>5510</v>
      </c>
      <c r="R33" s="19">
        <v>1169</v>
      </c>
      <c r="S33" s="19">
        <v>29613.297024404401</v>
      </c>
      <c r="T33" s="19">
        <f>K33</f>
        <v>5559</v>
      </c>
      <c r="U33" s="19">
        <f>C33-(15782/5280)</f>
        <v>2.6189846484848482</v>
      </c>
      <c r="V33" s="19" t="s">
        <v>1503</v>
      </c>
    </row>
    <row r="34" spans="1:22" hidden="1" x14ac:dyDescent="0.25">
      <c r="A34" s="379">
        <v>33</v>
      </c>
      <c r="B34" s="379">
        <v>19</v>
      </c>
      <c r="C34" s="379">
        <v>3.4449999</v>
      </c>
      <c r="D34" s="379">
        <v>1436</v>
      </c>
      <c r="E34" s="379">
        <v>1553</v>
      </c>
      <c r="F34" s="379">
        <v>1675</v>
      </c>
      <c r="G34" s="379">
        <v>1797</v>
      </c>
      <c r="H34" s="379">
        <v>941</v>
      </c>
      <c r="I34" s="379">
        <v>879</v>
      </c>
      <c r="J34" s="379">
        <v>786</v>
      </c>
      <c r="K34" s="379">
        <v>755</v>
      </c>
      <c r="L34" s="379">
        <v>656</v>
      </c>
      <c r="M34" s="379">
        <v>631</v>
      </c>
      <c r="N34" s="379">
        <v>725</v>
      </c>
      <c r="O34" s="379">
        <v>752</v>
      </c>
      <c r="P34" s="379">
        <v>688</v>
      </c>
      <c r="Q34" s="379">
        <v>640</v>
      </c>
      <c r="R34" s="379">
        <v>172</v>
      </c>
      <c r="S34" s="379">
        <v>1954.34366556243</v>
      </c>
      <c r="T34" s="379">
        <v>803.4</v>
      </c>
      <c r="U34" s="379">
        <f t="shared" ref="U34:U53" si="1">C34</f>
        <v>3.4449999</v>
      </c>
    </row>
    <row r="35" spans="1:22" x14ac:dyDescent="0.25">
      <c r="A35" s="19">
        <v>34</v>
      </c>
      <c r="B35" s="19" t="s">
        <v>96</v>
      </c>
      <c r="C35" s="19">
        <v>7.8179997999999999</v>
      </c>
      <c r="D35" s="19">
        <v>8849</v>
      </c>
      <c r="E35" s="19">
        <v>9592</v>
      </c>
      <c r="F35" s="19">
        <v>10311</v>
      </c>
      <c r="G35" s="19">
        <v>11031</v>
      </c>
      <c r="H35" s="19">
        <v>5995</v>
      </c>
      <c r="I35" s="19">
        <v>6995</v>
      </c>
      <c r="J35" s="19">
        <v>6700</v>
      </c>
      <c r="K35" s="19">
        <v>6485</v>
      </c>
      <c r="L35" s="19">
        <v>5970</v>
      </c>
      <c r="M35" s="19">
        <v>5555</v>
      </c>
      <c r="N35" s="19">
        <v>5300</v>
      </c>
      <c r="O35" s="19">
        <v>5440</v>
      </c>
      <c r="P35" s="19">
        <v>5875</v>
      </c>
      <c r="Q35" s="19">
        <v>6090</v>
      </c>
      <c r="R35" s="19">
        <v>1163</v>
      </c>
      <c r="S35" s="19">
        <v>41282.876815917101</v>
      </c>
      <c r="T35" s="19">
        <f>K35</f>
        <v>6485</v>
      </c>
      <c r="U35" s="19">
        <f t="shared" si="1"/>
        <v>7.8179997999999999</v>
      </c>
      <c r="V35" s="19" t="s">
        <v>1503</v>
      </c>
    </row>
    <row r="36" spans="1:22" hidden="1" x14ac:dyDescent="0.25">
      <c r="A36" s="379">
        <v>35</v>
      </c>
      <c r="B36" s="379">
        <v>81</v>
      </c>
      <c r="C36" s="379">
        <v>8.5699997000000003</v>
      </c>
      <c r="D36" s="379">
        <v>2270</v>
      </c>
      <c r="E36" s="379">
        <v>2401</v>
      </c>
      <c r="F36" s="379">
        <v>2532</v>
      </c>
      <c r="G36" s="379">
        <v>2663</v>
      </c>
      <c r="H36" s="379">
        <v>1746</v>
      </c>
      <c r="I36" s="379">
        <v>1830</v>
      </c>
      <c r="J36" s="379">
        <v>1968</v>
      </c>
      <c r="K36" s="379">
        <v>1899</v>
      </c>
      <c r="L36" s="379">
        <v>1895</v>
      </c>
      <c r="M36" s="379">
        <v>1956</v>
      </c>
      <c r="N36" s="379">
        <v>1890</v>
      </c>
      <c r="O36" s="379">
        <v>1672</v>
      </c>
      <c r="P36" s="379">
        <v>1615</v>
      </c>
      <c r="Q36" s="379">
        <v>1646</v>
      </c>
      <c r="R36" s="379">
        <v>377</v>
      </c>
      <c r="S36" s="379">
        <v>1852.8961157523299</v>
      </c>
      <c r="T36" s="379">
        <v>1867.6</v>
      </c>
      <c r="U36" s="379">
        <f t="shared" si="1"/>
        <v>8.5699997000000003</v>
      </c>
    </row>
    <row r="37" spans="1:22" hidden="1" x14ac:dyDescent="0.25">
      <c r="A37" s="379">
        <v>36</v>
      </c>
      <c r="B37" s="379" t="s">
        <v>1515</v>
      </c>
      <c r="C37" s="379">
        <v>0.307</v>
      </c>
      <c r="D37" s="379">
        <v>2087</v>
      </c>
      <c r="E37" s="379">
        <v>2262</v>
      </c>
      <c r="F37" s="379">
        <v>2432</v>
      </c>
      <c r="G37" s="379">
        <v>2602</v>
      </c>
      <c r="H37" s="379">
        <v>1414</v>
      </c>
      <c r="I37" s="379">
        <v>1414</v>
      </c>
      <c r="J37" s="379">
        <v>675</v>
      </c>
      <c r="K37" s="379">
        <v>1</v>
      </c>
      <c r="L37" s="379">
        <v>2</v>
      </c>
      <c r="M37" s="379">
        <v>3</v>
      </c>
      <c r="N37" s="379">
        <v>0</v>
      </c>
      <c r="O37" s="379">
        <v>0</v>
      </c>
      <c r="P37" s="379">
        <v>0</v>
      </c>
      <c r="Q37" s="379">
        <v>0</v>
      </c>
      <c r="R37" s="379">
        <v>141</v>
      </c>
      <c r="S37" s="379">
        <v>1619.10066808692</v>
      </c>
      <c r="T37" s="379">
        <v>1167.6666666666667</v>
      </c>
      <c r="U37" s="379">
        <f t="shared" si="1"/>
        <v>0.307</v>
      </c>
    </row>
    <row r="38" spans="1:22" hidden="1" x14ac:dyDescent="0.25">
      <c r="A38" s="379">
        <v>37</v>
      </c>
      <c r="B38" s="379">
        <v>81</v>
      </c>
      <c r="C38" s="379">
        <v>3.5120000999999998</v>
      </c>
      <c r="D38" s="379">
        <v>2514</v>
      </c>
      <c r="E38" s="379">
        <v>2659</v>
      </c>
      <c r="F38" s="379">
        <v>2804</v>
      </c>
      <c r="G38" s="379">
        <v>2949</v>
      </c>
      <c r="H38" s="379">
        <v>1934</v>
      </c>
      <c r="I38" s="379">
        <v>2027</v>
      </c>
      <c r="J38" s="379">
        <v>2180</v>
      </c>
      <c r="K38" s="379">
        <v>1999</v>
      </c>
      <c r="L38" s="379">
        <v>1995</v>
      </c>
      <c r="M38" s="379">
        <v>2003</v>
      </c>
      <c r="N38" s="379">
        <v>1935</v>
      </c>
      <c r="O38" s="379">
        <v>1655</v>
      </c>
      <c r="P38" s="379">
        <v>1599</v>
      </c>
      <c r="Q38" s="379">
        <v>1641</v>
      </c>
      <c r="R38" s="379">
        <v>369</v>
      </c>
      <c r="S38" s="379">
        <v>1858.14038503747</v>
      </c>
      <c r="T38" s="379">
        <v>2027</v>
      </c>
      <c r="U38" s="379">
        <f t="shared" si="1"/>
        <v>3.5120000999999998</v>
      </c>
    </row>
    <row r="39" spans="1:22" hidden="1" x14ac:dyDescent="0.25">
      <c r="A39" s="379">
        <v>38</v>
      </c>
      <c r="B39" s="379" t="s">
        <v>1512</v>
      </c>
      <c r="C39" s="379">
        <v>0.26600000000000001</v>
      </c>
      <c r="D39" s="379">
        <v>1187</v>
      </c>
      <c r="E39" s="379">
        <v>1286</v>
      </c>
      <c r="F39" s="379">
        <v>1383</v>
      </c>
      <c r="G39" s="379">
        <v>1479</v>
      </c>
      <c r="H39" s="379">
        <v>804</v>
      </c>
      <c r="I39" s="379">
        <v>804</v>
      </c>
      <c r="J39" s="379">
        <v>740</v>
      </c>
      <c r="K39" s="379">
        <v>1</v>
      </c>
      <c r="L39" s="379">
        <v>2</v>
      </c>
      <c r="M39" s="379">
        <v>3</v>
      </c>
      <c r="N39" s="379">
        <v>0</v>
      </c>
      <c r="O39" s="379">
        <v>0</v>
      </c>
      <c r="P39" s="379">
        <v>0</v>
      </c>
      <c r="Q39" s="379">
        <v>0</v>
      </c>
      <c r="R39" s="379">
        <v>80</v>
      </c>
      <c r="S39" s="379">
        <v>1403.5854899200499</v>
      </c>
      <c r="T39" s="379">
        <v>782.66666666666663</v>
      </c>
      <c r="U39" s="379">
        <f t="shared" si="1"/>
        <v>0.26600000000000001</v>
      </c>
    </row>
    <row r="40" spans="1:22" hidden="1" x14ac:dyDescent="0.25">
      <c r="A40" s="379">
        <v>39</v>
      </c>
      <c r="B40" s="379" t="s">
        <v>1513</v>
      </c>
      <c r="C40" s="379">
        <v>0.32400000000000001</v>
      </c>
      <c r="D40" s="379">
        <v>1088</v>
      </c>
      <c r="E40" s="379">
        <v>1179</v>
      </c>
      <c r="F40" s="379">
        <v>1268</v>
      </c>
      <c r="G40" s="379">
        <v>1356</v>
      </c>
      <c r="H40" s="379">
        <v>737</v>
      </c>
      <c r="I40" s="379">
        <v>737</v>
      </c>
      <c r="J40" s="379">
        <v>550</v>
      </c>
      <c r="K40" s="379">
        <v>1</v>
      </c>
      <c r="L40" s="379">
        <v>2</v>
      </c>
      <c r="M40" s="379">
        <v>3</v>
      </c>
      <c r="N40" s="379">
        <v>0</v>
      </c>
      <c r="O40" s="379">
        <v>0</v>
      </c>
      <c r="P40" s="379">
        <v>0</v>
      </c>
      <c r="Q40" s="379">
        <v>0</v>
      </c>
      <c r="R40" s="379">
        <v>74</v>
      </c>
      <c r="S40" s="379">
        <v>1709.57015099561</v>
      </c>
      <c r="T40" s="379">
        <v>674.66666666666663</v>
      </c>
      <c r="U40" s="379">
        <f t="shared" si="1"/>
        <v>0.32400000000000001</v>
      </c>
    </row>
    <row r="41" spans="1:22" x14ac:dyDescent="0.25">
      <c r="A41" s="19">
        <v>40</v>
      </c>
      <c r="B41" s="19" t="s">
        <v>96</v>
      </c>
      <c r="C41" s="19">
        <v>2.7920001000000001</v>
      </c>
      <c r="D41" s="19">
        <v>10339</v>
      </c>
      <c r="E41" s="19">
        <v>11208</v>
      </c>
      <c r="F41" s="19">
        <v>12049</v>
      </c>
      <c r="G41" s="19">
        <v>12889</v>
      </c>
      <c r="H41" s="19">
        <v>7005</v>
      </c>
      <c r="I41" s="19">
        <v>7215</v>
      </c>
      <c r="J41" s="19">
        <v>6910</v>
      </c>
      <c r="K41" s="19">
        <v>6929</v>
      </c>
      <c r="L41" s="19">
        <v>6380</v>
      </c>
      <c r="M41" s="19">
        <v>5935</v>
      </c>
      <c r="N41" s="19">
        <v>5665</v>
      </c>
      <c r="O41" s="19">
        <v>5885</v>
      </c>
      <c r="P41" s="19">
        <v>6355</v>
      </c>
      <c r="Q41" s="19">
        <v>6585</v>
      </c>
      <c r="R41" s="19">
        <v>1317</v>
      </c>
      <c r="S41" s="19">
        <v>14762.879778632399</v>
      </c>
      <c r="T41" s="19">
        <f>K41</f>
        <v>6929</v>
      </c>
      <c r="U41" s="19">
        <f t="shared" si="1"/>
        <v>2.7920001000000001</v>
      </c>
      <c r="V41" s="19" t="s">
        <v>1503</v>
      </c>
    </row>
    <row r="42" spans="1:22" hidden="1" x14ac:dyDescent="0.25">
      <c r="A42" s="379">
        <v>41</v>
      </c>
      <c r="B42" s="379" t="s">
        <v>1514</v>
      </c>
      <c r="C42" s="379">
        <v>0.372</v>
      </c>
      <c r="D42" s="379">
        <v>760</v>
      </c>
      <c r="E42" s="379">
        <v>814</v>
      </c>
      <c r="F42" s="379">
        <v>867</v>
      </c>
      <c r="G42" s="379">
        <v>919</v>
      </c>
      <c r="H42" s="379">
        <v>552</v>
      </c>
      <c r="I42" s="379">
        <v>552</v>
      </c>
      <c r="J42" s="379">
        <v>450</v>
      </c>
      <c r="K42" s="379">
        <v>1</v>
      </c>
      <c r="L42" s="379">
        <v>2</v>
      </c>
      <c r="M42" s="379">
        <v>3</v>
      </c>
      <c r="N42" s="379">
        <v>0</v>
      </c>
      <c r="O42" s="379">
        <v>0</v>
      </c>
      <c r="P42" s="379">
        <v>0</v>
      </c>
      <c r="Q42" s="379">
        <v>0</v>
      </c>
      <c r="R42" s="379">
        <v>55</v>
      </c>
      <c r="S42" s="379">
        <v>1959.7409566825099</v>
      </c>
      <c r="T42" s="379">
        <v>518</v>
      </c>
      <c r="U42" s="379">
        <f t="shared" si="1"/>
        <v>0.372</v>
      </c>
    </row>
    <row r="43" spans="1:22" hidden="1" x14ac:dyDescent="0.25">
      <c r="A43" s="379">
        <v>42</v>
      </c>
      <c r="B43" s="379" t="s">
        <v>1512</v>
      </c>
      <c r="C43" s="379">
        <v>0.34300000000000003</v>
      </c>
      <c r="D43" s="379">
        <v>85</v>
      </c>
      <c r="E43" s="379">
        <v>91</v>
      </c>
      <c r="F43" s="379">
        <v>97</v>
      </c>
      <c r="G43" s="379">
        <v>103</v>
      </c>
      <c r="H43" s="379">
        <v>62</v>
      </c>
      <c r="I43" s="379">
        <v>62</v>
      </c>
      <c r="J43" s="379">
        <v>53</v>
      </c>
      <c r="K43" s="379">
        <v>1</v>
      </c>
      <c r="L43" s="379">
        <v>2</v>
      </c>
      <c r="M43" s="379">
        <v>3</v>
      </c>
      <c r="N43" s="379">
        <v>0</v>
      </c>
      <c r="O43" s="379">
        <v>0</v>
      </c>
      <c r="P43" s="379">
        <v>0</v>
      </c>
      <c r="Q43" s="379">
        <v>0</v>
      </c>
      <c r="R43" s="379">
        <v>6</v>
      </c>
      <c r="S43" s="379">
        <v>1808.3765727688899</v>
      </c>
      <c r="T43" s="379">
        <v>59</v>
      </c>
      <c r="U43" s="379">
        <f t="shared" si="1"/>
        <v>0.34300000000000003</v>
      </c>
    </row>
    <row r="44" spans="1:22" hidden="1" x14ac:dyDescent="0.25">
      <c r="A44" s="379">
        <v>43</v>
      </c>
      <c r="B44" s="379" t="s">
        <v>1512</v>
      </c>
      <c r="C44" s="379">
        <v>0.34699999999999998</v>
      </c>
      <c r="D44" s="379">
        <v>329</v>
      </c>
      <c r="E44" s="379">
        <v>353</v>
      </c>
      <c r="F44" s="379">
        <v>375</v>
      </c>
      <c r="G44" s="379">
        <v>398</v>
      </c>
      <c r="H44" s="379">
        <v>239</v>
      </c>
      <c r="I44" s="379">
        <v>239</v>
      </c>
      <c r="J44" s="379">
        <v>180</v>
      </c>
      <c r="K44" s="379">
        <v>1</v>
      </c>
      <c r="L44" s="379">
        <v>2</v>
      </c>
      <c r="M44" s="379">
        <v>3</v>
      </c>
      <c r="N44" s="379">
        <v>0</v>
      </c>
      <c r="O44" s="379">
        <v>0</v>
      </c>
      <c r="P44" s="379">
        <v>0</v>
      </c>
      <c r="Q44" s="379">
        <v>0</v>
      </c>
      <c r="R44" s="379">
        <v>24</v>
      </c>
      <c r="S44" s="379">
        <v>1834.62300398306</v>
      </c>
      <c r="T44" s="379">
        <v>219.33333333333334</v>
      </c>
      <c r="U44" s="379">
        <f t="shared" si="1"/>
        <v>0.34699999999999998</v>
      </c>
    </row>
    <row r="45" spans="1:22" hidden="1" x14ac:dyDescent="0.25">
      <c r="A45" s="379">
        <v>44</v>
      </c>
      <c r="B45" s="379" t="s">
        <v>1514</v>
      </c>
      <c r="C45" s="379">
        <v>0.32700000000000001</v>
      </c>
      <c r="D45" s="379">
        <v>107</v>
      </c>
      <c r="E45" s="379">
        <v>115</v>
      </c>
      <c r="F45" s="379">
        <v>122</v>
      </c>
      <c r="G45" s="379">
        <v>130</v>
      </c>
      <c r="H45" s="379">
        <v>78</v>
      </c>
      <c r="I45" s="379">
        <v>78</v>
      </c>
      <c r="J45" s="379">
        <v>50</v>
      </c>
      <c r="K45" s="379">
        <v>1</v>
      </c>
      <c r="L45" s="379">
        <v>2</v>
      </c>
      <c r="M45" s="379">
        <v>3</v>
      </c>
      <c r="N45" s="379">
        <v>0</v>
      </c>
      <c r="O45" s="379">
        <v>0</v>
      </c>
      <c r="P45" s="379">
        <v>0</v>
      </c>
      <c r="Q45" s="379">
        <v>0</v>
      </c>
      <c r="R45" s="379">
        <v>8</v>
      </c>
      <c r="S45" s="379">
        <v>1723.8502900567</v>
      </c>
      <c r="T45" s="379">
        <v>68.666666666666671</v>
      </c>
      <c r="U45" s="379">
        <f t="shared" si="1"/>
        <v>0.32700000000000001</v>
      </c>
    </row>
    <row r="46" spans="1:22" hidden="1" x14ac:dyDescent="0.25">
      <c r="A46" s="379">
        <v>45</v>
      </c>
      <c r="B46" s="379" t="s">
        <v>1514</v>
      </c>
      <c r="C46" s="379">
        <v>0.32800000000000001</v>
      </c>
      <c r="D46" s="379">
        <v>91</v>
      </c>
      <c r="E46" s="379">
        <v>97</v>
      </c>
      <c r="F46" s="379">
        <v>104</v>
      </c>
      <c r="G46" s="379">
        <v>110</v>
      </c>
      <c r="H46" s="379">
        <v>66</v>
      </c>
      <c r="I46" s="379">
        <v>66</v>
      </c>
      <c r="J46" s="379">
        <v>80</v>
      </c>
      <c r="K46" s="379">
        <v>1</v>
      </c>
      <c r="L46" s="379">
        <v>2</v>
      </c>
      <c r="M46" s="379">
        <v>3</v>
      </c>
      <c r="N46" s="379">
        <v>0</v>
      </c>
      <c r="O46" s="379">
        <v>0</v>
      </c>
      <c r="P46" s="379">
        <v>0</v>
      </c>
      <c r="Q46" s="379">
        <v>0</v>
      </c>
      <c r="R46" s="379">
        <v>7</v>
      </c>
      <c r="S46" s="379">
        <v>1736.0389611348301</v>
      </c>
      <c r="T46" s="379">
        <v>70.666666666666671</v>
      </c>
      <c r="U46" s="379">
        <f t="shared" si="1"/>
        <v>0.32800000000000001</v>
      </c>
    </row>
    <row r="47" spans="1:22" hidden="1" x14ac:dyDescent="0.25">
      <c r="A47" s="379">
        <v>46</v>
      </c>
      <c r="B47" s="379" t="s">
        <v>96</v>
      </c>
      <c r="C47" s="379">
        <v>4.0019999000000004</v>
      </c>
      <c r="D47" s="379">
        <v>7835</v>
      </c>
      <c r="E47" s="379">
        <v>8393</v>
      </c>
      <c r="F47" s="379">
        <v>8933</v>
      </c>
      <c r="G47" s="379">
        <v>9474</v>
      </c>
      <c r="H47" s="379">
        <v>5690</v>
      </c>
      <c r="I47" s="379">
        <v>5555</v>
      </c>
      <c r="J47" s="379">
        <v>5320</v>
      </c>
      <c r="K47" s="379">
        <v>5252</v>
      </c>
      <c r="L47" s="379">
        <v>5140</v>
      </c>
      <c r="M47" s="379">
        <v>4780</v>
      </c>
      <c r="N47" s="379">
        <v>4585</v>
      </c>
      <c r="O47" s="379">
        <v>4800</v>
      </c>
      <c r="P47" s="379">
        <v>4795</v>
      </c>
      <c r="Q47" s="379">
        <v>5065</v>
      </c>
      <c r="R47" s="379">
        <v>1218</v>
      </c>
      <c r="S47" s="379">
        <v>1319.3670516458201</v>
      </c>
      <c r="T47" s="379">
        <v>5391.4</v>
      </c>
      <c r="U47" s="379">
        <f t="shared" si="1"/>
        <v>4.0019999000000004</v>
      </c>
    </row>
    <row r="48" spans="1:22" hidden="1" x14ac:dyDescent="0.25">
      <c r="A48" s="379">
        <v>47</v>
      </c>
      <c r="B48" s="379" t="s">
        <v>199</v>
      </c>
      <c r="C48" s="379">
        <v>5.6069998999999999</v>
      </c>
      <c r="D48" s="379">
        <v>8469</v>
      </c>
      <c r="E48" s="379">
        <v>9071</v>
      </c>
      <c r="F48" s="379">
        <v>9656</v>
      </c>
      <c r="G48" s="379">
        <v>10240</v>
      </c>
      <c r="H48" s="379">
        <v>6150</v>
      </c>
      <c r="I48" s="379">
        <v>5995</v>
      </c>
      <c r="J48" s="379">
        <v>5745</v>
      </c>
      <c r="K48" s="379">
        <v>5559</v>
      </c>
      <c r="L48" s="379">
        <v>5440</v>
      </c>
      <c r="M48" s="379">
        <v>5060</v>
      </c>
      <c r="N48" s="379">
        <v>4790</v>
      </c>
      <c r="O48" s="379">
        <v>4920</v>
      </c>
      <c r="P48" s="379">
        <v>5315</v>
      </c>
      <c r="Q48" s="379">
        <v>5510</v>
      </c>
      <c r="R48" s="379">
        <v>1169</v>
      </c>
      <c r="S48" s="379">
        <v>29601.156718429</v>
      </c>
      <c r="T48" s="379">
        <v>5777.8</v>
      </c>
      <c r="U48" s="379">
        <f t="shared" si="1"/>
        <v>5.6069998999999999</v>
      </c>
    </row>
    <row r="49" spans="1:22" hidden="1" x14ac:dyDescent="0.25">
      <c r="A49" s="379">
        <v>48</v>
      </c>
      <c r="B49" s="379" t="s">
        <v>1515</v>
      </c>
      <c r="C49" s="379">
        <v>0.32600000000000001</v>
      </c>
      <c r="D49" s="379">
        <v>113</v>
      </c>
      <c r="E49" s="379">
        <v>121</v>
      </c>
      <c r="F49" s="379">
        <v>129</v>
      </c>
      <c r="G49" s="379">
        <v>137</v>
      </c>
      <c r="H49" s="379">
        <v>82</v>
      </c>
      <c r="I49" s="379">
        <v>82</v>
      </c>
      <c r="J49" s="379">
        <v>125</v>
      </c>
      <c r="K49" s="379">
        <v>1</v>
      </c>
      <c r="L49" s="379">
        <v>2</v>
      </c>
      <c r="M49" s="379">
        <v>3</v>
      </c>
      <c r="N49" s="379">
        <v>0</v>
      </c>
      <c r="O49" s="379">
        <v>0</v>
      </c>
      <c r="P49" s="379">
        <v>0</v>
      </c>
      <c r="Q49" s="379">
        <v>0</v>
      </c>
      <c r="R49" s="379">
        <v>8</v>
      </c>
      <c r="S49" s="379">
        <v>1721.55757306587</v>
      </c>
      <c r="T49" s="379">
        <v>96.333333333333329</v>
      </c>
      <c r="U49" s="379">
        <f t="shared" si="1"/>
        <v>0.32600000000000001</v>
      </c>
    </row>
    <row r="50" spans="1:22" hidden="1" x14ac:dyDescent="0.25">
      <c r="A50" s="379">
        <v>49</v>
      </c>
      <c r="B50" s="379" t="s">
        <v>1514</v>
      </c>
      <c r="C50" s="379">
        <v>0.34599999999999997</v>
      </c>
      <c r="D50" s="379">
        <v>366</v>
      </c>
      <c r="E50" s="379">
        <v>397</v>
      </c>
      <c r="F50" s="379">
        <v>427</v>
      </c>
      <c r="G50" s="379">
        <v>456</v>
      </c>
      <c r="H50" s="379">
        <v>248</v>
      </c>
      <c r="I50" s="379">
        <v>248</v>
      </c>
      <c r="J50" s="379">
        <v>380</v>
      </c>
      <c r="K50" s="379">
        <v>1</v>
      </c>
      <c r="L50" s="379">
        <v>2</v>
      </c>
      <c r="M50" s="379">
        <v>3</v>
      </c>
      <c r="N50" s="379">
        <v>0</v>
      </c>
      <c r="O50" s="379">
        <v>0</v>
      </c>
      <c r="P50" s="379">
        <v>0</v>
      </c>
      <c r="Q50" s="379">
        <v>0</v>
      </c>
      <c r="R50" s="379">
        <v>25</v>
      </c>
      <c r="S50" s="379">
        <v>1827.7916649021599</v>
      </c>
      <c r="T50" s="379">
        <v>292</v>
      </c>
      <c r="U50" s="379">
        <f t="shared" si="1"/>
        <v>0.34599999999999997</v>
      </c>
    </row>
    <row r="51" spans="1:22" hidden="1" x14ac:dyDescent="0.25">
      <c r="A51" s="379">
        <v>50</v>
      </c>
      <c r="B51" s="379" t="s">
        <v>199</v>
      </c>
      <c r="C51" s="379">
        <v>5.2329998</v>
      </c>
      <c r="D51" s="379">
        <v>11609</v>
      </c>
      <c r="E51" s="379">
        <v>12584</v>
      </c>
      <c r="F51" s="379">
        <v>13528</v>
      </c>
      <c r="G51" s="379">
        <v>14472</v>
      </c>
      <c r="H51" s="379">
        <v>7865</v>
      </c>
      <c r="I51" s="379">
        <v>8100</v>
      </c>
      <c r="J51" s="379">
        <v>7760</v>
      </c>
      <c r="K51" s="379">
        <v>7469</v>
      </c>
      <c r="L51" s="379">
        <v>6875</v>
      </c>
      <c r="M51" s="379">
        <v>6395</v>
      </c>
      <c r="N51" s="379">
        <v>6100</v>
      </c>
      <c r="O51" s="379">
        <v>6170</v>
      </c>
      <c r="P51" s="379">
        <v>6665</v>
      </c>
      <c r="Q51" s="379">
        <v>6415</v>
      </c>
      <c r="R51" s="379">
        <v>1479</v>
      </c>
      <c r="S51" s="379">
        <v>24787.932312391102</v>
      </c>
      <c r="T51" s="379">
        <v>7613.8</v>
      </c>
      <c r="U51" s="379">
        <f t="shared" si="1"/>
        <v>5.2329998</v>
      </c>
    </row>
    <row r="52" spans="1:22" hidden="1" x14ac:dyDescent="0.25">
      <c r="A52" s="379">
        <v>51</v>
      </c>
      <c r="B52" s="379" t="s">
        <v>1513</v>
      </c>
      <c r="C52" s="379">
        <v>0.28000000000000003</v>
      </c>
      <c r="D52" s="379">
        <v>543</v>
      </c>
      <c r="E52" s="379">
        <v>589</v>
      </c>
      <c r="F52" s="379">
        <v>633</v>
      </c>
      <c r="G52" s="379">
        <v>677</v>
      </c>
      <c r="H52" s="379">
        <v>368</v>
      </c>
      <c r="I52" s="379">
        <v>368</v>
      </c>
      <c r="J52" s="379">
        <v>345</v>
      </c>
      <c r="K52" s="379">
        <v>1</v>
      </c>
      <c r="L52" s="379">
        <v>2</v>
      </c>
      <c r="M52" s="379">
        <v>3</v>
      </c>
      <c r="N52" s="379">
        <v>0</v>
      </c>
      <c r="O52" s="379">
        <v>0</v>
      </c>
      <c r="P52" s="379">
        <v>0</v>
      </c>
      <c r="Q52" s="379">
        <v>0</v>
      </c>
      <c r="R52" s="379">
        <v>37</v>
      </c>
      <c r="S52" s="379">
        <v>1478.7878802514199</v>
      </c>
      <c r="T52" s="379">
        <v>360.33333333333331</v>
      </c>
      <c r="U52" s="379">
        <f t="shared" si="1"/>
        <v>0.28000000000000003</v>
      </c>
    </row>
    <row r="53" spans="1:22" hidden="1" x14ac:dyDescent="0.25">
      <c r="A53" s="379">
        <v>52</v>
      </c>
      <c r="B53" s="379" t="s">
        <v>1512</v>
      </c>
      <c r="C53" s="379">
        <v>0.29399999999999998</v>
      </c>
      <c r="D53" s="379">
        <v>861</v>
      </c>
      <c r="E53" s="379">
        <v>933</v>
      </c>
      <c r="F53" s="379">
        <v>1003</v>
      </c>
      <c r="G53" s="379">
        <v>1073</v>
      </c>
      <c r="H53" s="379">
        <v>583</v>
      </c>
      <c r="I53" s="379">
        <v>665</v>
      </c>
      <c r="J53" s="379">
        <v>380</v>
      </c>
      <c r="K53" s="379">
        <v>1</v>
      </c>
      <c r="L53" s="379">
        <v>2</v>
      </c>
      <c r="M53" s="379">
        <v>3</v>
      </c>
      <c r="N53" s="379">
        <v>0</v>
      </c>
      <c r="O53" s="379">
        <v>0</v>
      </c>
      <c r="P53" s="379">
        <v>0</v>
      </c>
      <c r="Q53" s="379">
        <v>0</v>
      </c>
      <c r="R53" s="379">
        <v>58</v>
      </c>
      <c r="S53" s="379">
        <v>1550.25198479555</v>
      </c>
      <c r="T53" s="379">
        <v>542.66666666666663</v>
      </c>
      <c r="U53" s="379">
        <f t="shared" si="1"/>
        <v>0.29399999999999998</v>
      </c>
    </row>
    <row r="54" spans="1:22" x14ac:dyDescent="0.25">
      <c r="V54" s="19" t="s">
        <v>1503</v>
      </c>
    </row>
    <row r="55" spans="1:22" ht="15.75" thickBot="1" x14ac:dyDescent="0.3">
      <c r="V55" s="19" t="s">
        <v>1503</v>
      </c>
    </row>
    <row r="56" spans="1:22" x14ac:dyDescent="0.25">
      <c r="A56" s="428"/>
      <c r="B56" s="428"/>
      <c r="F56" s="312" t="s">
        <v>42</v>
      </c>
      <c r="G56" s="393"/>
      <c r="H56" s="392"/>
      <c r="I56" s="392"/>
      <c r="J56" s="392"/>
      <c r="K56" s="391"/>
      <c r="V56" s="19" t="s">
        <v>1503</v>
      </c>
    </row>
    <row r="57" spans="1:22" x14ac:dyDescent="0.25">
      <c r="A57" s="428"/>
      <c r="B57" s="428"/>
      <c r="F57" s="390" t="s">
        <v>39</v>
      </c>
      <c r="G57" s="96">
        <v>30.072041799999994</v>
      </c>
      <c r="H57" s="146"/>
      <c r="I57" s="146"/>
      <c r="J57" s="146"/>
      <c r="K57" s="355"/>
      <c r="V57" s="19" t="s">
        <v>1503</v>
      </c>
    </row>
    <row r="58" spans="1:22" x14ac:dyDescent="0.25">
      <c r="A58" s="6" t="s">
        <v>1599</v>
      </c>
      <c r="B58" s="6" t="s">
        <v>1492</v>
      </c>
      <c r="F58" s="390" t="s">
        <v>67</v>
      </c>
      <c r="G58" s="146" t="s">
        <v>1493</v>
      </c>
      <c r="H58" s="146" t="s">
        <v>67</v>
      </c>
      <c r="I58" s="146" t="s">
        <v>1493</v>
      </c>
      <c r="J58" s="146" t="s">
        <v>1511</v>
      </c>
      <c r="K58" s="355" t="s">
        <v>1510</v>
      </c>
      <c r="V58" s="19" t="s">
        <v>1503</v>
      </c>
    </row>
    <row r="59" spans="1:22" x14ac:dyDescent="0.25">
      <c r="A59" s="379" t="s">
        <v>1509</v>
      </c>
      <c r="B59" s="379">
        <f>(U33*H33)+(U35*H35)+(U41*H41)*365*5/12</f>
        <v>3037415.5209235568</v>
      </c>
      <c r="F59" s="390" t="s">
        <v>1508</v>
      </c>
      <c r="G59" s="146">
        <f>B59/80</f>
        <v>37967.694011544459</v>
      </c>
      <c r="H59" s="146" t="s">
        <v>1507</v>
      </c>
      <c r="I59" s="146">
        <f>B59/65</f>
        <v>46729.469552670103</v>
      </c>
      <c r="J59" s="146">
        <f>I59-G59</f>
        <v>8761.7755411256439</v>
      </c>
      <c r="K59" s="389">
        <f>J59*G57</f>
        <v>263484.48031494796</v>
      </c>
      <c r="V59" s="19" t="s">
        <v>1503</v>
      </c>
    </row>
    <row r="60" spans="1:22" ht="15.75" thickBot="1" x14ac:dyDescent="0.3">
      <c r="A60" s="379" t="s">
        <v>1506</v>
      </c>
      <c r="B60" s="379">
        <f>(U33*D33)+(U35*D35)+(U41*D41)*365*5/12</f>
        <v>4481473.5351238437</v>
      </c>
      <c r="F60" s="383" t="s">
        <v>1505</v>
      </c>
      <c r="G60" s="388">
        <f>B60/80</f>
        <v>56018.419189048043</v>
      </c>
      <c r="H60" s="388" t="s">
        <v>1504</v>
      </c>
      <c r="I60" s="388">
        <f>B60/65</f>
        <v>68945.746694212983</v>
      </c>
      <c r="J60" s="388">
        <f>I60-G60</f>
        <v>12927.32750516494</v>
      </c>
      <c r="K60" s="387">
        <f>J60*G57</f>
        <v>388751.13309760968</v>
      </c>
      <c r="V60" s="19" t="s">
        <v>1503</v>
      </c>
    </row>
    <row r="61" spans="1:22" x14ac:dyDescent="0.25">
      <c r="V61" s="19" t="s">
        <v>1503</v>
      </c>
    </row>
    <row r="62" spans="1:22" x14ac:dyDescent="0.25">
      <c r="A62" s="6" t="s">
        <v>1598</v>
      </c>
      <c r="B62" s="477" t="s">
        <v>1502</v>
      </c>
      <c r="C62" s="477" t="s">
        <v>1494</v>
      </c>
      <c r="D62" s="477" t="s">
        <v>65</v>
      </c>
      <c r="V62" s="19" t="s">
        <v>1503</v>
      </c>
    </row>
    <row r="63" spans="1:22" x14ac:dyDescent="0.25">
      <c r="A63" s="379" t="s">
        <v>1501</v>
      </c>
      <c r="B63" s="379">
        <f>((H33*U33)+(U35*H35)+(U41*H41))/SUM(U33,U35,U41)</f>
        <v>6238.8480980677095</v>
      </c>
      <c r="C63" s="379">
        <f>B63*2</f>
        <v>12477.696196135419</v>
      </c>
      <c r="D63" s="379">
        <f>SUM(U33,U35,U41)</f>
        <v>13.228984548484849</v>
      </c>
      <c r="V63" s="19" t="s">
        <v>1503</v>
      </c>
    </row>
    <row r="64" spans="1:22" x14ac:dyDescent="0.25">
      <c r="A64" s="379" t="s">
        <v>1576</v>
      </c>
      <c r="B64" s="379">
        <f>((D33*U33)+(U35*D35)+(U41*D41))/SUM(U33,U35,U41)</f>
        <v>9088.2372574762921</v>
      </c>
      <c r="C64" s="379">
        <f>B64*2</f>
        <v>18176.474514952584</v>
      </c>
      <c r="D64" s="379">
        <f>SUM(U33,U35,U41)</f>
        <v>13.228984548484849</v>
      </c>
      <c r="V64" s="19" t="s">
        <v>1503</v>
      </c>
    </row>
    <row r="65" spans="1:22" x14ac:dyDescent="0.25">
      <c r="V65" s="19" t="s">
        <v>1503</v>
      </c>
    </row>
    <row r="66" spans="1:22" x14ac:dyDescent="0.25">
      <c r="A66" s="6" t="s">
        <v>1643</v>
      </c>
      <c r="B66" s="379">
        <f>((U33*K33)+(U35*K35)+(U41*K41))/(SUM(U33,U35,U41))</f>
        <v>6395.3837686292591</v>
      </c>
      <c r="V66" s="19" t="s">
        <v>1503</v>
      </c>
    </row>
    <row r="67" spans="1:22" x14ac:dyDescent="0.25">
      <c r="A67" s="6" t="s">
        <v>1500</v>
      </c>
      <c r="B67" s="379">
        <f>B66*365*5*SUM(U33,U35,U41)</f>
        <v>154403090.32870975</v>
      </c>
      <c r="V67" s="19" t="s">
        <v>1503</v>
      </c>
    </row>
    <row r="68" spans="1:22" x14ac:dyDescent="0.25">
      <c r="V68" s="19" t="s">
        <v>1503</v>
      </c>
    </row>
    <row r="69" spans="1:22" x14ac:dyDescent="0.25">
      <c r="V69" s="19" t="s">
        <v>1503</v>
      </c>
    </row>
    <row r="70" spans="1:22" x14ac:dyDescent="0.25">
      <c r="A70" s="6" t="s">
        <v>1673</v>
      </c>
      <c r="B70" s="6" t="s">
        <v>1669</v>
      </c>
      <c r="C70" s="89">
        <f>((U35*K35)+(U41*K41))/(SUM(U35,U41))</f>
        <v>6601.8377055686879</v>
      </c>
    </row>
    <row r="71" spans="1:22" x14ac:dyDescent="0.25">
      <c r="A71" s="6" t="s">
        <v>1673</v>
      </c>
      <c r="B71" s="6" t="s">
        <v>1670</v>
      </c>
      <c r="C71" s="89">
        <f>C70*365*5*SUM(U33,U35,U41)</f>
        <v>159387486.42239544</v>
      </c>
    </row>
    <row r="72" spans="1:22" x14ac:dyDescent="0.25">
      <c r="A72" s="6" t="s">
        <v>1673</v>
      </c>
      <c r="B72" s="6" t="s">
        <v>1671</v>
      </c>
      <c r="C72" s="89">
        <f>((U35*H35)+(U41*H41))/(SUM(U35,U41))</f>
        <v>6260.7794653702113</v>
      </c>
    </row>
    <row r="73" spans="1:22" x14ac:dyDescent="0.25">
      <c r="A73" s="6" t="s">
        <v>1673</v>
      </c>
      <c r="B73" s="6" t="s">
        <v>1672</v>
      </c>
      <c r="C73" s="89">
        <f>((U35*D35)+(U41*D41))/(SUM(U35,U41))</f>
        <v>9241.0904984174413</v>
      </c>
    </row>
    <row r="74" spans="1:22" x14ac:dyDescent="0.25">
      <c r="A74" s="6" t="s">
        <v>1673</v>
      </c>
      <c r="B74" s="6" t="s">
        <v>65</v>
      </c>
      <c r="C74" s="536">
        <f>SUM(U35,U41)</f>
        <v>10.6099999</v>
      </c>
    </row>
  </sheetData>
  <autoFilter ref="V1:V65" xr:uid="{9827C948-78FB-4A13-89DA-70ED14575689}">
    <filterColumn colId="0">
      <customFilters>
        <customFilter operator="notEqual" val=" "/>
      </customFilters>
    </filterColumn>
  </autoFilter>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48B24-92F9-407B-BB19-84987C744A25}">
  <sheetPr filterMode="1">
    <tabColor theme="1"/>
  </sheetPr>
  <dimension ref="A1:V80"/>
  <sheetViews>
    <sheetView zoomScale="70" zoomScaleNormal="70" workbookViewId="0">
      <selection activeCell="A66" sqref="A66"/>
    </sheetView>
  </sheetViews>
  <sheetFormatPr defaultRowHeight="15" x14ac:dyDescent="0.25"/>
  <cols>
    <col min="1" max="1" width="45.85546875" style="379" bestFit="1" customWidth="1"/>
    <col min="2" max="2" width="37.85546875" style="379" bestFit="1" customWidth="1"/>
    <col min="3" max="3" width="14.85546875" style="379" bestFit="1" customWidth="1"/>
    <col min="4" max="5" width="9.140625" style="379"/>
    <col min="6" max="6" width="42.5703125" style="379" bestFit="1" customWidth="1"/>
    <col min="7" max="7" width="14.85546875" style="379" bestFit="1" customWidth="1"/>
    <col min="8" max="8" width="21.5703125" style="379" bestFit="1" customWidth="1"/>
    <col min="9" max="10" width="14.85546875" style="379" bestFit="1" customWidth="1"/>
    <col min="11" max="11" width="15.85546875" style="379" bestFit="1" customWidth="1"/>
    <col min="12" max="16384" width="9.140625" style="379"/>
  </cols>
  <sheetData>
    <row r="1" spans="1:22" x14ac:dyDescent="0.25">
      <c r="A1" s="394" t="s">
        <v>1527</v>
      </c>
      <c r="B1" s="394" t="s">
        <v>1526</v>
      </c>
      <c r="C1" s="394" t="s">
        <v>1525</v>
      </c>
      <c r="D1" s="394" t="s">
        <v>1524</v>
      </c>
      <c r="E1" s="394" t="s">
        <v>1523</v>
      </c>
      <c r="F1" s="394" t="s">
        <v>1522</v>
      </c>
      <c r="G1" s="394" t="s">
        <v>1521</v>
      </c>
      <c r="H1" s="394">
        <v>2020</v>
      </c>
      <c r="I1" s="394">
        <v>2019</v>
      </c>
      <c r="J1" s="394">
        <v>2018</v>
      </c>
      <c r="K1" s="394">
        <v>2017</v>
      </c>
      <c r="L1" s="394">
        <v>2016</v>
      </c>
      <c r="M1" s="394">
        <v>2015</v>
      </c>
      <c r="N1" s="394">
        <v>2014</v>
      </c>
      <c r="O1" s="394">
        <v>2013</v>
      </c>
      <c r="P1" s="394">
        <v>2012</v>
      </c>
      <c r="Q1" s="394">
        <v>2011</v>
      </c>
      <c r="R1" s="394" t="s">
        <v>1520</v>
      </c>
      <c r="S1" s="394" t="s">
        <v>1519</v>
      </c>
      <c r="T1" s="394" t="s">
        <v>1518</v>
      </c>
      <c r="U1" s="394" t="s">
        <v>1517</v>
      </c>
      <c r="V1" s="394" t="s">
        <v>1529</v>
      </c>
    </row>
    <row r="2" spans="1:22" hidden="1" x14ac:dyDescent="0.25">
      <c r="A2" s="379">
        <v>1</v>
      </c>
      <c r="B2" s="379" t="s">
        <v>1513</v>
      </c>
      <c r="C2" s="379">
        <v>0.27600000000000002</v>
      </c>
      <c r="D2" s="379">
        <v>545</v>
      </c>
      <c r="E2" s="379">
        <v>590</v>
      </c>
      <c r="F2" s="379">
        <v>635</v>
      </c>
      <c r="G2" s="379">
        <v>679</v>
      </c>
      <c r="H2" s="379">
        <v>369</v>
      </c>
      <c r="I2" s="379">
        <v>421</v>
      </c>
      <c r="J2" s="379">
        <v>330</v>
      </c>
      <c r="K2" s="379">
        <v>1</v>
      </c>
      <c r="L2" s="379">
        <v>2</v>
      </c>
      <c r="M2" s="379">
        <v>3</v>
      </c>
      <c r="N2" s="379">
        <v>0</v>
      </c>
      <c r="O2" s="379">
        <v>0</v>
      </c>
      <c r="P2" s="379">
        <v>0</v>
      </c>
      <c r="Q2" s="379">
        <v>0</v>
      </c>
      <c r="R2" s="379">
        <v>37</v>
      </c>
      <c r="S2" s="379">
        <v>1456.8526819569099</v>
      </c>
      <c r="T2" s="379">
        <v>373.33333333333331</v>
      </c>
      <c r="U2" s="379">
        <f t="shared" ref="U2:U47" si="0">C2</f>
        <v>0.27600000000000002</v>
      </c>
    </row>
    <row r="3" spans="1:22" hidden="1" x14ac:dyDescent="0.25">
      <c r="A3" s="379">
        <v>2</v>
      </c>
      <c r="B3" s="379" t="s">
        <v>1515</v>
      </c>
      <c r="C3" s="379">
        <v>0.34499999999999997</v>
      </c>
      <c r="D3" s="379">
        <v>324</v>
      </c>
      <c r="E3" s="379">
        <v>347</v>
      </c>
      <c r="F3" s="379">
        <v>369</v>
      </c>
      <c r="G3" s="379">
        <v>391</v>
      </c>
      <c r="H3" s="379">
        <v>235</v>
      </c>
      <c r="I3" s="379">
        <v>235</v>
      </c>
      <c r="J3" s="379">
        <v>190</v>
      </c>
      <c r="K3" s="379">
        <v>1</v>
      </c>
      <c r="L3" s="379">
        <v>2</v>
      </c>
      <c r="M3" s="379">
        <v>3</v>
      </c>
      <c r="N3" s="379">
        <v>0</v>
      </c>
      <c r="O3" s="379">
        <v>0</v>
      </c>
      <c r="P3" s="379">
        <v>0</v>
      </c>
      <c r="Q3" s="379">
        <v>0</v>
      </c>
      <c r="R3" s="379">
        <v>24</v>
      </c>
      <c r="S3" s="379">
        <v>1817.71435771285</v>
      </c>
      <c r="T3" s="379">
        <v>220</v>
      </c>
      <c r="U3" s="379">
        <f t="shared" si="0"/>
        <v>0.34499999999999997</v>
      </c>
    </row>
    <row r="4" spans="1:22" hidden="1" x14ac:dyDescent="0.25">
      <c r="A4" s="379">
        <v>3</v>
      </c>
      <c r="B4" s="379" t="s">
        <v>199</v>
      </c>
      <c r="C4" s="379">
        <v>4.0019999000000004</v>
      </c>
      <c r="D4" s="379">
        <v>7835</v>
      </c>
      <c r="E4" s="379">
        <v>8393</v>
      </c>
      <c r="F4" s="379">
        <v>8933</v>
      </c>
      <c r="G4" s="379">
        <v>9474</v>
      </c>
      <c r="H4" s="379">
        <v>5690</v>
      </c>
      <c r="I4" s="379">
        <v>5555</v>
      </c>
      <c r="J4" s="379">
        <v>5320</v>
      </c>
      <c r="K4" s="379">
        <v>5252</v>
      </c>
      <c r="L4" s="379">
        <v>5140</v>
      </c>
      <c r="M4" s="379">
        <v>4780</v>
      </c>
      <c r="N4" s="379">
        <v>4585</v>
      </c>
      <c r="O4" s="379">
        <v>4800</v>
      </c>
      <c r="P4" s="379">
        <v>4795</v>
      </c>
      <c r="Q4" s="379">
        <v>5065</v>
      </c>
      <c r="R4" s="379">
        <v>1218</v>
      </c>
      <c r="S4" s="379">
        <v>1318.4386690956101</v>
      </c>
      <c r="T4" s="379">
        <v>5391.4</v>
      </c>
      <c r="U4" s="379">
        <f t="shared" si="0"/>
        <v>4.0019999000000004</v>
      </c>
    </row>
    <row r="5" spans="1:22" hidden="1" x14ac:dyDescent="0.25">
      <c r="A5" s="379">
        <v>4</v>
      </c>
      <c r="B5" s="379" t="s">
        <v>96</v>
      </c>
      <c r="C5" s="379">
        <v>5.9710001999999998</v>
      </c>
      <c r="D5" s="379">
        <v>8386</v>
      </c>
      <c r="E5" s="379">
        <v>8983</v>
      </c>
      <c r="F5" s="379">
        <v>9561</v>
      </c>
      <c r="G5" s="379">
        <v>10140</v>
      </c>
      <c r="H5" s="379">
        <v>6090</v>
      </c>
      <c r="I5" s="379">
        <v>5615</v>
      </c>
      <c r="J5" s="379">
        <v>5380</v>
      </c>
      <c r="K5" s="379">
        <v>5317</v>
      </c>
      <c r="L5" s="379">
        <v>5205</v>
      </c>
      <c r="M5" s="379">
        <v>4840</v>
      </c>
      <c r="N5" s="379">
        <v>4585</v>
      </c>
      <c r="O5" s="379">
        <v>4705</v>
      </c>
      <c r="P5" s="379">
        <v>5080</v>
      </c>
      <c r="Q5" s="379">
        <v>5310</v>
      </c>
      <c r="R5" s="379">
        <v>1261</v>
      </c>
      <c r="S5" s="379">
        <v>31521.254430010398</v>
      </c>
      <c r="T5" s="379">
        <v>5521.4</v>
      </c>
      <c r="U5" s="379">
        <f t="shared" si="0"/>
        <v>5.9710001999999998</v>
      </c>
    </row>
    <row r="6" spans="1:22" hidden="1" x14ac:dyDescent="0.25">
      <c r="A6" s="379">
        <v>5</v>
      </c>
      <c r="B6" s="379" t="s">
        <v>1513</v>
      </c>
      <c r="C6" s="379">
        <v>0.34799999999999998</v>
      </c>
      <c r="D6" s="379">
        <v>143</v>
      </c>
      <c r="E6" s="379">
        <v>153</v>
      </c>
      <c r="F6" s="379">
        <v>163</v>
      </c>
      <c r="G6" s="379">
        <v>173</v>
      </c>
      <c r="H6" s="379">
        <v>104</v>
      </c>
      <c r="I6" s="379">
        <v>104</v>
      </c>
      <c r="J6" s="379">
        <v>105</v>
      </c>
      <c r="K6" s="379">
        <v>1</v>
      </c>
      <c r="L6" s="379">
        <v>2</v>
      </c>
      <c r="M6" s="379">
        <v>3</v>
      </c>
      <c r="N6" s="379">
        <v>0</v>
      </c>
      <c r="O6" s="379">
        <v>0</v>
      </c>
      <c r="P6" s="379">
        <v>0</v>
      </c>
      <c r="Q6" s="379">
        <v>0</v>
      </c>
      <c r="R6" s="379">
        <v>10</v>
      </c>
      <c r="S6" s="379">
        <v>1835.38498256406</v>
      </c>
      <c r="T6" s="379">
        <v>104.33333333333333</v>
      </c>
      <c r="U6" s="379">
        <f t="shared" si="0"/>
        <v>0.34799999999999998</v>
      </c>
    </row>
    <row r="7" spans="1:22" hidden="1" x14ac:dyDescent="0.25">
      <c r="A7" s="379">
        <v>6</v>
      </c>
      <c r="B7" s="379" t="s">
        <v>1513</v>
      </c>
      <c r="C7" s="379">
        <v>0.35099999999999998</v>
      </c>
      <c r="D7" s="379">
        <v>123</v>
      </c>
      <c r="E7" s="379">
        <v>131</v>
      </c>
      <c r="F7" s="379">
        <v>140</v>
      </c>
      <c r="G7" s="379">
        <v>148</v>
      </c>
      <c r="H7" s="379">
        <v>89</v>
      </c>
      <c r="I7" s="379">
        <v>89</v>
      </c>
      <c r="J7" s="379">
        <v>75</v>
      </c>
      <c r="K7" s="379">
        <v>1</v>
      </c>
      <c r="L7" s="379">
        <v>2</v>
      </c>
      <c r="M7" s="379">
        <v>3</v>
      </c>
      <c r="N7" s="379">
        <v>0</v>
      </c>
      <c r="O7" s="379">
        <v>0</v>
      </c>
      <c r="P7" s="379">
        <v>0</v>
      </c>
      <c r="Q7" s="379">
        <v>0</v>
      </c>
      <c r="R7" s="379">
        <v>9</v>
      </c>
      <c r="S7" s="379">
        <v>1853.36616905954</v>
      </c>
      <c r="T7" s="379">
        <v>84.333333333333329</v>
      </c>
      <c r="U7" s="379">
        <f t="shared" si="0"/>
        <v>0.35099999999999998</v>
      </c>
    </row>
    <row r="8" spans="1:22" hidden="1" x14ac:dyDescent="0.25">
      <c r="A8" s="379">
        <v>7</v>
      </c>
      <c r="B8" s="379" t="s">
        <v>96</v>
      </c>
      <c r="C8" s="379">
        <v>5.2140002000000001</v>
      </c>
      <c r="D8" s="379">
        <v>11609</v>
      </c>
      <c r="E8" s="379">
        <v>12584</v>
      </c>
      <c r="F8" s="379">
        <v>13528</v>
      </c>
      <c r="G8" s="379">
        <v>14472</v>
      </c>
      <c r="H8" s="379">
        <v>7865</v>
      </c>
      <c r="I8" s="379">
        <v>8100</v>
      </c>
      <c r="J8" s="379">
        <v>7760</v>
      </c>
      <c r="K8" s="379">
        <v>7469</v>
      </c>
      <c r="L8" s="379">
        <v>6875</v>
      </c>
      <c r="M8" s="379">
        <v>6395</v>
      </c>
      <c r="N8" s="379">
        <v>6100</v>
      </c>
      <c r="O8" s="379">
        <v>6170</v>
      </c>
      <c r="P8" s="379">
        <v>6665</v>
      </c>
      <c r="Q8" s="379">
        <v>6415</v>
      </c>
      <c r="R8" s="379">
        <v>1479</v>
      </c>
      <c r="S8" s="379">
        <v>24709.707625282401</v>
      </c>
      <c r="T8" s="379">
        <v>7613.8</v>
      </c>
      <c r="U8" s="379">
        <f t="shared" si="0"/>
        <v>5.2140002000000001</v>
      </c>
    </row>
    <row r="9" spans="1:22" hidden="1" x14ac:dyDescent="0.25">
      <c r="A9" s="379">
        <v>8</v>
      </c>
      <c r="B9" s="379" t="s">
        <v>96</v>
      </c>
      <c r="C9" s="379">
        <v>4.0320001000000003</v>
      </c>
      <c r="D9" s="379">
        <v>8379</v>
      </c>
      <c r="E9" s="379">
        <v>8975</v>
      </c>
      <c r="F9" s="379">
        <v>9553</v>
      </c>
      <c r="G9" s="379">
        <v>10132</v>
      </c>
      <c r="H9" s="379">
        <v>6085</v>
      </c>
      <c r="I9" s="379">
        <v>5660</v>
      </c>
      <c r="J9" s="379">
        <v>5420</v>
      </c>
      <c r="K9" s="379">
        <v>5360</v>
      </c>
      <c r="L9" s="379">
        <v>5245</v>
      </c>
      <c r="M9" s="379">
        <v>4880</v>
      </c>
      <c r="N9" s="379">
        <v>4620</v>
      </c>
      <c r="O9" s="379">
        <v>4745</v>
      </c>
      <c r="P9" s="379">
        <v>5120</v>
      </c>
      <c r="Q9" s="379">
        <v>5355</v>
      </c>
      <c r="R9" s="379">
        <v>1272</v>
      </c>
      <c r="S9" s="379">
        <v>21288.362949504499</v>
      </c>
      <c r="T9" s="379">
        <v>5554</v>
      </c>
      <c r="U9" s="379">
        <f t="shared" si="0"/>
        <v>4.0320001000000003</v>
      </c>
    </row>
    <row r="10" spans="1:22" hidden="1" x14ac:dyDescent="0.25">
      <c r="A10" s="379">
        <v>9</v>
      </c>
      <c r="B10" s="379">
        <v>38</v>
      </c>
      <c r="C10" s="379">
        <v>5.9070001000000003</v>
      </c>
      <c r="D10" s="379">
        <v>1814</v>
      </c>
      <c r="E10" s="379">
        <v>1918</v>
      </c>
      <c r="F10" s="379">
        <v>2023</v>
      </c>
      <c r="G10" s="379">
        <v>2127</v>
      </c>
      <c r="H10" s="379">
        <v>1395</v>
      </c>
      <c r="I10" s="379">
        <v>1545</v>
      </c>
      <c r="J10" s="379">
        <v>1425</v>
      </c>
      <c r="K10" s="379">
        <v>1348</v>
      </c>
      <c r="L10" s="379">
        <v>1377</v>
      </c>
      <c r="M10" s="379">
        <v>1340</v>
      </c>
      <c r="N10" s="379">
        <v>1320</v>
      </c>
      <c r="O10" s="379">
        <v>1314</v>
      </c>
      <c r="P10" s="379">
        <v>1271</v>
      </c>
      <c r="Q10" s="379">
        <v>1160</v>
      </c>
      <c r="R10" s="379">
        <v>61</v>
      </c>
      <c r="S10" s="379">
        <v>11581.448602939399</v>
      </c>
      <c r="T10" s="379">
        <v>1418</v>
      </c>
      <c r="U10" s="379">
        <f t="shared" si="0"/>
        <v>5.9070001000000003</v>
      </c>
    </row>
    <row r="11" spans="1:22" hidden="1" x14ac:dyDescent="0.25">
      <c r="A11" s="379">
        <v>10</v>
      </c>
      <c r="B11" s="379">
        <v>38</v>
      </c>
      <c r="C11" s="379">
        <v>1.046</v>
      </c>
      <c r="D11" s="379">
        <v>3359</v>
      </c>
      <c r="E11" s="379">
        <v>3632</v>
      </c>
      <c r="F11" s="379">
        <v>3918</v>
      </c>
      <c r="G11" s="379">
        <v>4204</v>
      </c>
      <c r="H11" s="379">
        <v>2201</v>
      </c>
      <c r="I11" s="379">
        <v>2302</v>
      </c>
      <c r="J11" s="379">
        <v>2182</v>
      </c>
      <c r="K11" s="379">
        <v>1623</v>
      </c>
      <c r="L11" s="379">
        <v>1658</v>
      </c>
      <c r="M11" s="379">
        <v>1614</v>
      </c>
      <c r="N11" s="379">
        <v>1590</v>
      </c>
      <c r="O11" s="379">
        <v>1584</v>
      </c>
      <c r="P11" s="379">
        <v>1532</v>
      </c>
      <c r="Q11" s="379">
        <v>1269</v>
      </c>
      <c r="R11" s="379">
        <v>55</v>
      </c>
      <c r="S11" s="379">
        <v>1452.10633841094</v>
      </c>
      <c r="T11" s="379">
        <v>1993.2</v>
      </c>
      <c r="U11" s="379">
        <f t="shared" si="0"/>
        <v>1.046</v>
      </c>
    </row>
    <row r="12" spans="1:22" hidden="1" x14ac:dyDescent="0.25">
      <c r="A12" s="379">
        <v>11</v>
      </c>
      <c r="B12" s="379">
        <v>38</v>
      </c>
      <c r="C12" s="379">
        <v>2.2920001000000001</v>
      </c>
      <c r="D12" s="379">
        <v>6237</v>
      </c>
      <c r="E12" s="379">
        <v>6744</v>
      </c>
      <c r="F12" s="379">
        <v>7275</v>
      </c>
      <c r="G12" s="379">
        <v>7806</v>
      </c>
      <c r="H12" s="379">
        <v>4087</v>
      </c>
      <c r="I12" s="379">
        <v>4275</v>
      </c>
      <c r="J12" s="379">
        <v>4052</v>
      </c>
      <c r="K12" s="379">
        <v>3933</v>
      </c>
      <c r="L12" s="379">
        <v>3642</v>
      </c>
      <c r="M12" s="379">
        <v>3606</v>
      </c>
      <c r="N12" s="379">
        <v>3275</v>
      </c>
      <c r="O12" s="379">
        <v>3359</v>
      </c>
      <c r="P12" s="379">
        <v>3406</v>
      </c>
      <c r="Q12" s="379">
        <v>3524</v>
      </c>
      <c r="R12" s="379">
        <v>94</v>
      </c>
      <c r="S12" s="379">
        <v>2486.49356255051</v>
      </c>
      <c r="T12" s="379">
        <v>3997.8</v>
      </c>
      <c r="U12" s="379">
        <f t="shared" si="0"/>
        <v>2.2920001000000001</v>
      </c>
    </row>
    <row r="13" spans="1:22" hidden="1" x14ac:dyDescent="0.25">
      <c r="A13" s="379">
        <v>12</v>
      </c>
      <c r="B13" s="379" t="s">
        <v>199</v>
      </c>
      <c r="C13" s="379">
        <v>5.9679998999999997</v>
      </c>
      <c r="D13" s="379">
        <v>8386</v>
      </c>
      <c r="E13" s="379">
        <v>8983</v>
      </c>
      <c r="F13" s="379">
        <v>9561</v>
      </c>
      <c r="G13" s="379">
        <v>10140</v>
      </c>
      <c r="H13" s="379">
        <v>6090</v>
      </c>
      <c r="I13" s="379">
        <v>5615</v>
      </c>
      <c r="J13" s="379">
        <v>5380</v>
      </c>
      <c r="K13" s="379">
        <v>5317</v>
      </c>
      <c r="L13" s="379">
        <v>5205</v>
      </c>
      <c r="M13" s="379">
        <v>4840</v>
      </c>
      <c r="N13" s="379">
        <v>4585</v>
      </c>
      <c r="O13" s="379">
        <v>4705</v>
      </c>
      <c r="P13" s="379">
        <v>5080</v>
      </c>
      <c r="Q13" s="379">
        <v>5310</v>
      </c>
      <c r="R13" s="379">
        <v>1261</v>
      </c>
      <c r="S13" s="379">
        <v>31518.423519759199</v>
      </c>
      <c r="T13" s="379">
        <v>5521.4</v>
      </c>
      <c r="U13" s="379">
        <f t="shared" si="0"/>
        <v>5.9679998999999997</v>
      </c>
    </row>
    <row r="14" spans="1:22" hidden="1" x14ac:dyDescent="0.25">
      <c r="A14" s="379">
        <v>13</v>
      </c>
      <c r="B14" s="379" t="s">
        <v>1512</v>
      </c>
      <c r="C14" s="379">
        <v>0.315</v>
      </c>
      <c r="D14" s="379">
        <v>2613</v>
      </c>
      <c r="E14" s="379">
        <v>2832</v>
      </c>
      <c r="F14" s="379">
        <v>3044</v>
      </c>
      <c r="G14" s="379">
        <v>3257</v>
      </c>
      <c r="H14" s="379">
        <v>1770</v>
      </c>
      <c r="I14" s="379">
        <v>1770</v>
      </c>
      <c r="J14" s="379">
        <v>675</v>
      </c>
      <c r="K14" s="379">
        <v>1</v>
      </c>
      <c r="L14" s="379">
        <v>2</v>
      </c>
      <c r="M14" s="379">
        <v>3</v>
      </c>
      <c r="N14" s="379">
        <v>0</v>
      </c>
      <c r="O14" s="379">
        <v>0</v>
      </c>
      <c r="P14" s="379">
        <v>0</v>
      </c>
      <c r="Q14" s="379">
        <v>0</v>
      </c>
      <c r="R14" s="379">
        <v>177</v>
      </c>
      <c r="S14" s="379">
        <v>1664.2087774363299</v>
      </c>
      <c r="T14" s="379">
        <v>1405</v>
      </c>
      <c r="U14" s="379">
        <f t="shared" si="0"/>
        <v>0.315</v>
      </c>
    </row>
    <row r="15" spans="1:22" hidden="1" x14ac:dyDescent="0.25">
      <c r="A15" s="379">
        <v>14</v>
      </c>
      <c r="B15" s="379" t="s">
        <v>1515</v>
      </c>
      <c r="C15" s="379">
        <v>0.33100000000000002</v>
      </c>
      <c r="D15" s="379">
        <v>80</v>
      </c>
      <c r="E15" s="379">
        <v>86</v>
      </c>
      <c r="F15" s="379">
        <v>91</v>
      </c>
      <c r="G15" s="379">
        <v>97</v>
      </c>
      <c r="H15" s="379">
        <v>58</v>
      </c>
      <c r="I15" s="379">
        <v>58</v>
      </c>
      <c r="J15" s="379">
        <v>60</v>
      </c>
      <c r="K15" s="379">
        <v>1</v>
      </c>
      <c r="L15" s="379">
        <v>2</v>
      </c>
      <c r="M15" s="379">
        <v>3</v>
      </c>
      <c r="N15" s="379">
        <v>0</v>
      </c>
      <c r="O15" s="379">
        <v>0</v>
      </c>
      <c r="P15" s="379">
        <v>0</v>
      </c>
      <c r="Q15" s="379">
        <v>0</v>
      </c>
      <c r="R15" s="379">
        <v>6</v>
      </c>
      <c r="S15" s="379">
        <v>1750.95724855093</v>
      </c>
      <c r="T15" s="379">
        <v>58.666666666666664</v>
      </c>
      <c r="U15" s="379">
        <f t="shared" si="0"/>
        <v>0.33100000000000002</v>
      </c>
    </row>
    <row r="16" spans="1:22" hidden="1" x14ac:dyDescent="0.25">
      <c r="A16" s="379">
        <v>15</v>
      </c>
      <c r="B16" s="379" t="s">
        <v>1513</v>
      </c>
      <c r="C16" s="379">
        <v>0.35899999999999999</v>
      </c>
      <c r="D16" s="379">
        <v>866</v>
      </c>
      <c r="E16" s="379">
        <v>928</v>
      </c>
      <c r="F16" s="379">
        <v>988</v>
      </c>
      <c r="G16" s="379">
        <v>1047</v>
      </c>
      <c r="H16" s="379">
        <v>629</v>
      </c>
      <c r="I16" s="379">
        <v>629</v>
      </c>
      <c r="J16" s="379">
        <v>485</v>
      </c>
      <c r="K16" s="379">
        <v>1</v>
      </c>
      <c r="L16" s="379">
        <v>2</v>
      </c>
      <c r="M16" s="379">
        <v>3</v>
      </c>
      <c r="N16" s="379">
        <v>0</v>
      </c>
      <c r="O16" s="379">
        <v>0</v>
      </c>
      <c r="P16" s="379">
        <v>0</v>
      </c>
      <c r="Q16" s="379">
        <v>0</v>
      </c>
      <c r="R16" s="379">
        <v>63</v>
      </c>
      <c r="S16" s="379">
        <v>1896.3914391288299</v>
      </c>
      <c r="T16" s="379">
        <v>581</v>
      </c>
      <c r="U16" s="379">
        <f t="shared" si="0"/>
        <v>0.35899999999999999</v>
      </c>
    </row>
    <row r="17" spans="1:22" hidden="1" x14ac:dyDescent="0.25">
      <c r="A17" s="379">
        <v>16</v>
      </c>
      <c r="B17" s="379" t="s">
        <v>1514</v>
      </c>
      <c r="C17" s="379">
        <v>0.19600000000000001</v>
      </c>
      <c r="D17" s="379">
        <v>272</v>
      </c>
      <c r="E17" s="379">
        <v>294</v>
      </c>
      <c r="F17" s="379">
        <v>316</v>
      </c>
      <c r="G17" s="379">
        <v>339</v>
      </c>
      <c r="H17" s="379">
        <v>184</v>
      </c>
      <c r="I17" s="379">
        <v>210</v>
      </c>
      <c r="J17" s="379">
        <v>220</v>
      </c>
      <c r="K17" s="379">
        <v>1</v>
      </c>
      <c r="L17" s="379">
        <v>2</v>
      </c>
      <c r="M17" s="379">
        <v>3</v>
      </c>
      <c r="N17" s="379">
        <v>0</v>
      </c>
      <c r="O17" s="379">
        <v>0</v>
      </c>
      <c r="P17" s="379">
        <v>0</v>
      </c>
      <c r="Q17" s="379">
        <v>0</v>
      </c>
      <c r="R17" s="379">
        <v>18</v>
      </c>
      <c r="S17" s="379">
        <v>1034.62203237016</v>
      </c>
      <c r="T17" s="379">
        <v>204.66666666666666</v>
      </c>
      <c r="U17" s="379">
        <f t="shared" si="0"/>
        <v>0.19600000000000001</v>
      </c>
    </row>
    <row r="18" spans="1:22" hidden="1" x14ac:dyDescent="0.25">
      <c r="A18" s="379">
        <v>17</v>
      </c>
      <c r="B18" s="379">
        <v>19</v>
      </c>
      <c r="C18" s="379">
        <v>0.16800000000000001</v>
      </c>
      <c r="D18" s="379">
        <v>3452</v>
      </c>
      <c r="E18" s="379">
        <v>3732</v>
      </c>
      <c r="F18" s="379">
        <v>4026</v>
      </c>
      <c r="G18" s="379">
        <v>4320</v>
      </c>
      <c r="H18" s="379">
        <v>2262</v>
      </c>
      <c r="I18" s="379">
        <v>2101</v>
      </c>
      <c r="J18" s="379">
        <v>2090</v>
      </c>
      <c r="K18" s="379">
        <v>2010</v>
      </c>
      <c r="L18" s="379">
        <v>1746</v>
      </c>
      <c r="M18" s="379">
        <v>1679</v>
      </c>
      <c r="N18" s="379">
        <v>1930</v>
      </c>
      <c r="O18" s="379">
        <v>1907</v>
      </c>
      <c r="P18" s="379">
        <v>1744</v>
      </c>
      <c r="Q18" s="379">
        <v>1132</v>
      </c>
      <c r="R18" s="379">
        <v>201</v>
      </c>
      <c r="S18" s="379">
        <v>872.23759229185703</v>
      </c>
      <c r="T18" s="379">
        <v>2041.8</v>
      </c>
      <c r="U18" s="379">
        <f t="shared" si="0"/>
        <v>0.16800000000000001</v>
      </c>
    </row>
    <row r="19" spans="1:22" hidden="1" x14ac:dyDescent="0.25">
      <c r="A19" s="379">
        <v>18</v>
      </c>
      <c r="B19" s="379" t="s">
        <v>1512</v>
      </c>
      <c r="C19" s="379">
        <v>0.34499999999999997</v>
      </c>
      <c r="D19" s="379">
        <v>102</v>
      </c>
      <c r="E19" s="379">
        <v>109</v>
      </c>
      <c r="F19" s="379">
        <v>116</v>
      </c>
      <c r="G19" s="379">
        <v>123</v>
      </c>
      <c r="H19" s="379">
        <v>74</v>
      </c>
      <c r="I19" s="379">
        <v>74</v>
      </c>
      <c r="J19" s="379">
        <v>115</v>
      </c>
      <c r="K19" s="379">
        <v>1</v>
      </c>
      <c r="L19" s="379">
        <v>2</v>
      </c>
      <c r="M19" s="379">
        <v>3</v>
      </c>
      <c r="N19" s="379">
        <v>0</v>
      </c>
      <c r="O19" s="379">
        <v>0</v>
      </c>
      <c r="P19" s="379">
        <v>0</v>
      </c>
      <c r="Q19" s="379">
        <v>0</v>
      </c>
      <c r="R19" s="379">
        <v>7</v>
      </c>
      <c r="S19" s="379">
        <v>1818.3758756029099</v>
      </c>
      <c r="T19" s="379">
        <v>87.666666666666671</v>
      </c>
      <c r="U19" s="379">
        <f t="shared" si="0"/>
        <v>0.34499999999999997</v>
      </c>
    </row>
    <row r="20" spans="1:22" hidden="1" x14ac:dyDescent="0.25">
      <c r="A20" s="379">
        <v>19</v>
      </c>
      <c r="B20" s="379" t="s">
        <v>1514</v>
      </c>
      <c r="C20" s="379">
        <v>0.34</v>
      </c>
      <c r="D20" s="379">
        <v>65</v>
      </c>
      <c r="E20" s="379">
        <v>69</v>
      </c>
      <c r="F20" s="379">
        <v>74</v>
      </c>
      <c r="G20" s="379">
        <v>78</v>
      </c>
      <c r="H20" s="379">
        <v>47</v>
      </c>
      <c r="I20" s="379">
        <v>47</v>
      </c>
      <c r="J20" s="379">
        <v>60</v>
      </c>
      <c r="K20" s="379">
        <v>1</v>
      </c>
      <c r="L20" s="379">
        <v>2</v>
      </c>
      <c r="M20" s="379">
        <v>3</v>
      </c>
      <c r="N20" s="379">
        <v>0</v>
      </c>
      <c r="O20" s="379">
        <v>0</v>
      </c>
      <c r="P20" s="379">
        <v>0</v>
      </c>
      <c r="Q20" s="379">
        <v>0</v>
      </c>
      <c r="R20" s="379">
        <v>5</v>
      </c>
      <c r="S20" s="379">
        <v>1371.71979483072</v>
      </c>
      <c r="T20" s="379">
        <v>51.333333333333336</v>
      </c>
      <c r="U20" s="379">
        <f t="shared" si="0"/>
        <v>0.34</v>
      </c>
    </row>
    <row r="21" spans="1:22" hidden="1" x14ac:dyDescent="0.25">
      <c r="A21" s="379">
        <v>20</v>
      </c>
      <c r="B21" s="379" t="s">
        <v>1512</v>
      </c>
      <c r="C21" s="379">
        <v>0.38900000000000001</v>
      </c>
      <c r="D21" s="379">
        <v>833</v>
      </c>
      <c r="E21" s="379">
        <v>892</v>
      </c>
      <c r="F21" s="379">
        <v>950</v>
      </c>
      <c r="G21" s="379">
        <v>1007</v>
      </c>
      <c r="H21" s="379">
        <v>605</v>
      </c>
      <c r="I21" s="379">
        <v>605</v>
      </c>
      <c r="J21" s="379">
        <v>465</v>
      </c>
      <c r="K21" s="379">
        <v>1</v>
      </c>
      <c r="L21" s="379">
        <v>2</v>
      </c>
      <c r="M21" s="379">
        <v>3</v>
      </c>
      <c r="N21" s="379">
        <v>0</v>
      </c>
      <c r="O21" s="379">
        <v>0</v>
      </c>
      <c r="P21" s="379">
        <v>0</v>
      </c>
      <c r="Q21" s="379">
        <v>0</v>
      </c>
      <c r="R21" s="379">
        <v>61</v>
      </c>
      <c r="S21" s="379">
        <v>2055.84177341231</v>
      </c>
      <c r="T21" s="379">
        <v>558.33333333333337</v>
      </c>
      <c r="U21" s="379">
        <f t="shared" si="0"/>
        <v>0.38900000000000001</v>
      </c>
    </row>
    <row r="22" spans="1:22" hidden="1" x14ac:dyDescent="0.25">
      <c r="A22" s="379">
        <v>21</v>
      </c>
      <c r="B22" s="379" t="s">
        <v>1515</v>
      </c>
      <c r="C22" s="379">
        <v>0.36099999999999999</v>
      </c>
      <c r="D22" s="379">
        <v>1114</v>
      </c>
      <c r="E22" s="379">
        <v>1208</v>
      </c>
      <c r="F22" s="379">
        <v>1299</v>
      </c>
      <c r="G22" s="379">
        <v>1389</v>
      </c>
      <c r="H22" s="379">
        <v>755</v>
      </c>
      <c r="I22" s="379">
        <v>755</v>
      </c>
      <c r="J22" s="379">
        <v>500</v>
      </c>
      <c r="K22" s="379">
        <v>1</v>
      </c>
      <c r="L22" s="379">
        <v>2</v>
      </c>
      <c r="M22" s="379">
        <v>3</v>
      </c>
      <c r="N22" s="379">
        <v>0</v>
      </c>
      <c r="O22" s="379">
        <v>0</v>
      </c>
      <c r="P22" s="379">
        <v>0</v>
      </c>
      <c r="Q22" s="379">
        <v>0</v>
      </c>
      <c r="R22" s="379">
        <v>76</v>
      </c>
      <c r="S22" s="379">
        <v>1909.0368485705301</v>
      </c>
      <c r="T22" s="379">
        <v>670</v>
      </c>
      <c r="U22" s="379">
        <f t="shared" si="0"/>
        <v>0.36099999999999999</v>
      </c>
    </row>
    <row r="23" spans="1:22" x14ac:dyDescent="0.25">
      <c r="A23" s="19">
        <v>22</v>
      </c>
      <c r="B23" s="19" t="s">
        <v>199</v>
      </c>
      <c r="C23" s="19">
        <v>2.78</v>
      </c>
      <c r="D23" s="19">
        <v>10339</v>
      </c>
      <c r="E23" s="19">
        <v>11208</v>
      </c>
      <c r="F23" s="19">
        <v>12049</v>
      </c>
      <c r="G23" s="19">
        <v>12889</v>
      </c>
      <c r="H23" s="19">
        <v>7005</v>
      </c>
      <c r="I23" s="19">
        <v>7215</v>
      </c>
      <c r="J23" s="19">
        <v>6910</v>
      </c>
      <c r="K23" s="19">
        <v>6929</v>
      </c>
      <c r="L23" s="19">
        <v>6380</v>
      </c>
      <c r="M23" s="19">
        <v>5935</v>
      </c>
      <c r="N23" s="19">
        <v>5665</v>
      </c>
      <c r="O23" s="19">
        <v>5885</v>
      </c>
      <c r="P23" s="19">
        <v>6355</v>
      </c>
      <c r="Q23" s="19">
        <v>6585</v>
      </c>
      <c r="R23" s="19">
        <v>1317</v>
      </c>
      <c r="S23" s="19">
        <v>14679.646489574699</v>
      </c>
      <c r="T23" s="19">
        <f>K23</f>
        <v>6929</v>
      </c>
      <c r="U23" s="19">
        <f t="shared" si="0"/>
        <v>2.78</v>
      </c>
      <c r="V23" s="19" t="s">
        <v>1503</v>
      </c>
    </row>
    <row r="24" spans="1:22" hidden="1" x14ac:dyDescent="0.25">
      <c r="A24" s="379">
        <v>23</v>
      </c>
      <c r="B24" s="379" t="s">
        <v>1515</v>
      </c>
      <c r="C24" s="379">
        <v>0.40899999999999997</v>
      </c>
      <c r="D24" s="379">
        <v>1138</v>
      </c>
      <c r="E24" s="379">
        <v>1234</v>
      </c>
      <c r="F24" s="379">
        <v>1326</v>
      </c>
      <c r="G24" s="379">
        <v>1419</v>
      </c>
      <c r="H24" s="379">
        <v>771</v>
      </c>
      <c r="I24" s="379">
        <v>880</v>
      </c>
      <c r="J24" s="379">
        <v>630</v>
      </c>
      <c r="K24" s="379">
        <v>1</v>
      </c>
      <c r="L24" s="379">
        <v>2</v>
      </c>
      <c r="M24" s="379">
        <v>3</v>
      </c>
      <c r="N24" s="379">
        <v>0</v>
      </c>
      <c r="O24" s="379">
        <v>0</v>
      </c>
      <c r="P24" s="379">
        <v>0</v>
      </c>
      <c r="Q24" s="379">
        <v>0</v>
      </c>
      <c r="R24" s="379">
        <v>77</v>
      </c>
      <c r="S24" s="379">
        <v>2158.7492547656998</v>
      </c>
      <c r="T24" s="379">
        <v>760.33333333333337</v>
      </c>
      <c r="U24" s="379">
        <f t="shared" si="0"/>
        <v>0.40899999999999997</v>
      </c>
    </row>
    <row r="25" spans="1:22" hidden="1" x14ac:dyDescent="0.25">
      <c r="A25" s="379">
        <v>24</v>
      </c>
      <c r="B25" s="379" t="s">
        <v>1514</v>
      </c>
      <c r="C25" s="379">
        <v>0.29899999999999999</v>
      </c>
      <c r="D25" s="379">
        <v>624</v>
      </c>
      <c r="E25" s="379">
        <v>677</v>
      </c>
      <c r="F25" s="379">
        <v>728</v>
      </c>
      <c r="G25" s="379">
        <v>778</v>
      </c>
      <c r="H25" s="379">
        <v>423</v>
      </c>
      <c r="I25" s="379">
        <v>423</v>
      </c>
      <c r="J25" s="379">
        <v>425</v>
      </c>
      <c r="K25" s="379">
        <v>1</v>
      </c>
      <c r="L25" s="379">
        <v>2</v>
      </c>
      <c r="M25" s="379">
        <v>3</v>
      </c>
      <c r="N25" s="379">
        <v>0</v>
      </c>
      <c r="O25" s="379">
        <v>0</v>
      </c>
      <c r="P25" s="379">
        <v>0</v>
      </c>
      <c r="Q25" s="379">
        <v>0</v>
      </c>
      <c r="R25" s="379">
        <v>42</v>
      </c>
      <c r="S25" s="379">
        <v>1576.19217493734</v>
      </c>
      <c r="T25" s="379">
        <v>423.66666666666669</v>
      </c>
      <c r="U25" s="379">
        <f t="shared" si="0"/>
        <v>0.29899999999999999</v>
      </c>
    </row>
    <row r="26" spans="1:22" hidden="1" x14ac:dyDescent="0.25">
      <c r="A26" s="379">
        <v>25</v>
      </c>
      <c r="B26" s="379" t="s">
        <v>1513</v>
      </c>
      <c r="C26" s="379">
        <v>0.33500000000000002</v>
      </c>
      <c r="D26" s="379">
        <v>48</v>
      </c>
      <c r="E26" s="379">
        <v>52</v>
      </c>
      <c r="F26" s="379">
        <v>55</v>
      </c>
      <c r="G26" s="379">
        <v>58</v>
      </c>
      <c r="H26" s="379">
        <v>35</v>
      </c>
      <c r="I26" s="379">
        <v>35</v>
      </c>
      <c r="J26" s="379">
        <v>50</v>
      </c>
      <c r="K26" s="379">
        <v>1</v>
      </c>
      <c r="L26" s="379">
        <v>2</v>
      </c>
      <c r="M26" s="379">
        <v>3</v>
      </c>
      <c r="N26" s="379">
        <v>0</v>
      </c>
      <c r="O26" s="379">
        <v>0</v>
      </c>
      <c r="P26" s="379">
        <v>0</v>
      </c>
      <c r="Q26" s="379">
        <v>0</v>
      </c>
      <c r="R26" s="379">
        <v>4</v>
      </c>
      <c r="S26" s="379">
        <v>1364.99512443397</v>
      </c>
      <c r="T26" s="379">
        <v>40</v>
      </c>
      <c r="U26" s="379">
        <f t="shared" si="0"/>
        <v>0.33500000000000002</v>
      </c>
    </row>
    <row r="27" spans="1:22" hidden="1" x14ac:dyDescent="0.25">
      <c r="A27" s="379">
        <v>26</v>
      </c>
      <c r="B27" s="379" t="s">
        <v>199</v>
      </c>
      <c r="C27" s="379">
        <v>6.0270000000000001</v>
      </c>
      <c r="D27" s="379">
        <v>7925</v>
      </c>
      <c r="E27" s="379">
        <v>8489</v>
      </c>
      <c r="F27" s="379">
        <v>9035</v>
      </c>
      <c r="G27" s="379">
        <v>9582</v>
      </c>
      <c r="H27" s="379">
        <v>5755</v>
      </c>
      <c r="I27" s="379">
        <v>5620</v>
      </c>
      <c r="J27" s="379">
        <v>5380</v>
      </c>
      <c r="K27" s="379">
        <v>5311</v>
      </c>
      <c r="L27" s="379">
        <v>5200</v>
      </c>
      <c r="M27" s="379">
        <v>4835</v>
      </c>
      <c r="N27" s="379">
        <v>4635</v>
      </c>
      <c r="O27" s="379">
        <v>4760</v>
      </c>
      <c r="P27" s="379">
        <v>5140</v>
      </c>
      <c r="Q27" s="379">
        <v>5375</v>
      </c>
      <c r="R27" s="379">
        <v>1260</v>
      </c>
      <c r="S27" s="379">
        <v>31818.148762688801</v>
      </c>
      <c r="T27" s="379">
        <v>5453.2</v>
      </c>
      <c r="U27" s="379">
        <f t="shared" si="0"/>
        <v>6.0270000000000001</v>
      </c>
    </row>
    <row r="28" spans="1:22" hidden="1" x14ac:dyDescent="0.25">
      <c r="A28" s="379">
        <v>27</v>
      </c>
      <c r="B28" s="379" t="s">
        <v>199</v>
      </c>
      <c r="C28" s="379">
        <v>4.0320001000000003</v>
      </c>
      <c r="D28" s="379">
        <v>8379</v>
      </c>
      <c r="E28" s="379">
        <v>8975</v>
      </c>
      <c r="F28" s="379">
        <v>9553</v>
      </c>
      <c r="G28" s="379">
        <v>10132</v>
      </c>
      <c r="H28" s="379">
        <v>6085</v>
      </c>
      <c r="I28" s="379">
        <v>5660</v>
      </c>
      <c r="J28" s="379">
        <v>5420</v>
      </c>
      <c r="K28" s="379">
        <v>5360</v>
      </c>
      <c r="L28" s="379">
        <v>5245</v>
      </c>
      <c r="M28" s="379">
        <v>4880</v>
      </c>
      <c r="N28" s="379">
        <v>4620</v>
      </c>
      <c r="O28" s="379">
        <v>4745</v>
      </c>
      <c r="P28" s="379">
        <v>5120</v>
      </c>
      <c r="Q28" s="379">
        <v>5355</v>
      </c>
      <c r="R28" s="379">
        <v>1272</v>
      </c>
      <c r="S28" s="379">
        <v>21287.144449426101</v>
      </c>
      <c r="T28" s="379">
        <v>5554</v>
      </c>
      <c r="U28" s="379">
        <f t="shared" si="0"/>
        <v>4.0320001000000003</v>
      </c>
    </row>
    <row r="29" spans="1:22" hidden="1" x14ac:dyDescent="0.25">
      <c r="A29" s="379">
        <v>28</v>
      </c>
      <c r="B29" s="379" t="s">
        <v>96</v>
      </c>
      <c r="C29" s="379">
        <v>6.0229998</v>
      </c>
      <c r="D29" s="379">
        <v>7925</v>
      </c>
      <c r="E29" s="379">
        <v>8489</v>
      </c>
      <c r="F29" s="379">
        <v>9035</v>
      </c>
      <c r="G29" s="379">
        <v>9582</v>
      </c>
      <c r="H29" s="379">
        <v>5755</v>
      </c>
      <c r="I29" s="379">
        <v>5620</v>
      </c>
      <c r="J29" s="379">
        <v>5380</v>
      </c>
      <c r="K29" s="379">
        <v>5311</v>
      </c>
      <c r="L29" s="379">
        <v>5200</v>
      </c>
      <c r="M29" s="379">
        <v>4835</v>
      </c>
      <c r="N29" s="379">
        <v>4635</v>
      </c>
      <c r="O29" s="379">
        <v>4760</v>
      </c>
      <c r="P29" s="379">
        <v>5140</v>
      </c>
      <c r="Q29" s="379">
        <v>5375</v>
      </c>
      <c r="R29" s="379">
        <v>1260</v>
      </c>
      <c r="S29" s="379">
        <v>31817.9633797434</v>
      </c>
      <c r="T29" s="379">
        <v>5453.2</v>
      </c>
      <c r="U29" s="379">
        <f t="shared" si="0"/>
        <v>6.0229998</v>
      </c>
    </row>
    <row r="30" spans="1:22" x14ac:dyDescent="0.25">
      <c r="A30" s="19">
        <v>29</v>
      </c>
      <c r="B30" s="19" t="s">
        <v>199</v>
      </c>
      <c r="C30" s="19">
        <v>7.8189998000000003</v>
      </c>
      <c r="D30" s="19">
        <v>8849</v>
      </c>
      <c r="E30" s="19">
        <v>9592</v>
      </c>
      <c r="F30" s="19">
        <v>10311</v>
      </c>
      <c r="G30" s="19">
        <v>11031</v>
      </c>
      <c r="H30" s="19">
        <v>5995</v>
      </c>
      <c r="I30" s="19">
        <v>6995</v>
      </c>
      <c r="J30" s="19">
        <v>6700</v>
      </c>
      <c r="K30" s="19">
        <v>6485</v>
      </c>
      <c r="L30" s="19">
        <v>5970</v>
      </c>
      <c r="M30" s="19">
        <v>5555</v>
      </c>
      <c r="N30" s="19">
        <v>5300</v>
      </c>
      <c r="O30" s="19">
        <v>5440</v>
      </c>
      <c r="P30" s="19">
        <v>5875</v>
      </c>
      <c r="Q30" s="19">
        <v>6090</v>
      </c>
      <c r="R30" s="19">
        <v>1163</v>
      </c>
      <c r="S30" s="19">
        <v>41295.627742007797</v>
      </c>
      <c r="T30" s="19">
        <f>K30</f>
        <v>6485</v>
      </c>
      <c r="U30" s="19">
        <f t="shared" si="0"/>
        <v>7.8189998000000003</v>
      </c>
      <c r="V30" s="19" t="s">
        <v>1503</v>
      </c>
    </row>
    <row r="31" spans="1:22" hidden="1" x14ac:dyDescent="0.25">
      <c r="A31" s="379">
        <v>30</v>
      </c>
      <c r="B31" s="379">
        <v>38</v>
      </c>
      <c r="C31" s="379">
        <v>3.3199999</v>
      </c>
      <c r="D31" s="379">
        <v>6000</v>
      </c>
      <c r="E31" s="379">
        <v>6488</v>
      </c>
      <c r="F31" s="379">
        <v>6999</v>
      </c>
      <c r="G31" s="379">
        <v>7510</v>
      </c>
      <c r="H31" s="379">
        <v>3932</v>
      </c>
      <c r="I31" s="379">
        <v>4104</v>
      </c>
      <c r="J31" s="379">
        <v>3890</v>
      </c>
      <c r="K31" s="379">
        <v>4256</v>
      </c>
      <c r="L31" s="379">
        <v>3941</v>
      </c>
      <c r="M31" s="379">
        <v>3903</v>
      </c>
      <c r="N31" s="379">
        <v>3545</v>
      </c>
      <c r="O31" s="379">
        <v>3373</v>
      </c>
      <c r="P31" s="379">
        <v>3421</v>
      </c>
      <c r="Q31" s="379">
        <v>3883</v>
      </c>
      <c r="R31" s="379">
        <v>134</v>
      </c>
      <c r="S31" s="379">
        <v>3031.8669756475401</v>
      </c>
      <c r="T31" s="379">
        <v>4024.6</v>
      </c>
      <c r="U31" s="379">
        <f t="shared" si="0"/>
        <v>3.3199999</v>
      </c>
    </row>
    <row r="32" spans="1:22" hidden="1" x14ac:dyDescent="0.25">
      <c r="A32" s="379">
        <v>31</v>
      </c>
      <c r="B32" s="379" t="s">
        <v>1515</v>
      </c>
      <c r="C32" s="379">
        <v>0.441</v>
      </c>
      <c r="D32" s="379">
        <v>795</v>
      </c>
      <c r="E32" s="379">
        <v>851</v>
      </c>
      <c r="F32" s="379">
        <v>906</v>
      </c>
      <c r="G32" s="379">
        <v>961</v>
      </c>
      <c r="H32" s="379">
        <v>577</v>
      </c>
      <c r="I32" s="379">
        <v>577</v>
      </c>
      <c r="J32" s="379">
        <v>430</v>
      </c>
      <c r="K32" s="379">
        <v>1</v>
      </c>
      <c r="L32" s="379">
        <v>2</v>
      </c>
      <c r="M32" s="379">
        <v>3</v>
      </c>
      <c r="N32" s="379">
        <v>0</v>
      </c>
      <c r="O32" s="379">
        <v>0</v>
      </c>
      <c r="P32" s="379">
        <v>0</v>
      </c>
      <c r="Q32" s="379">
        <v>0</v>
      </c>
      <c r="R32" s="379">
        <v>58</v>
      </c>
      <c r="S32" s="379">
        <v>2327.2176885331401</v>
      </c>
      <c r="T32" s="379">
        <v>528</v>
      </c>
      <c r="U32" s="379">
        <f t="shared" si="0"/>
        <v>0.441</v>
      </c>
    </row>
    <row r="33" spans="1:22" hidden="1" x14ac:dyDescent="0.25">
      <c r="A33" s="379">
        <v>32</v>
      </c>
      <c r="B33" s="379" t="s">
        <v>96</v>
      </c>
      <c r="C33" s="379">
        <v>5.6079998</v>
      </c>
      <c r="D33" s="379">
        <v>8469</v>
      </c>
      <c r="E33" s="379">
        <v>9071</v>
      </c>
      <c r="F33" s="379">
        <v>9656</v>
      </c>
      <c r="G33" s="379">
        <v>10240</v>
      </c>
      <c r="H33" s="379">
        <v>6150</v>
      </c>
      <c r="I33" s="379">
        <v>5995</v>
      </c>
      <c r="J33" s="379">
        <v>5745</v>
      </c>
      <c r="K33" s="379">
        <v>5559</v>
      </c>
      <c r="L33" s="379">
        <v>5440</v>
      </c>
      <c r="M33" s="379">
        <v>5060</v>
      </c>
      <c r="N33" s="379">
        <v>4790</v>
      </c>
      <c r="O33" s="379">
        <v>4920</v>
      </c>
      <c r="P33" s="379">
        <v>5315</v>
      </c>
      <c r="Q33" s="379">
        <v>5510</v>
      </c>
      <c r="R33" s="379">
        <v>1169</v>
      </c>
      <c r="S33" s="379">
        <v>29613.297024404401</v>
      </c>
      <c r="T33" s="379">
        <v>5777.8</v>
      </c>
      <c r="U33" s="379">
        <f t="shared" si="0"/>
        <v>5.6079998</v>
      </c>
    </row>
    <row r="34" spans="1:22" hidden="1" x14ac:dyDescent="0.25">
      <c r="A34" s="379">
        <v>33</v>
      </c>
      <c r="B34" s="379">
        <v>19</v>
      </c>
      <c r="C34" s="379">
        <v>3.4449999</v>
      </c>
      <c r="D34" s="379">
        <v>1436</v>
      </c>
      <c r="E34" s="379">
        <v>1553</v>
      </c>
      <c r="F34" s="379">
        <v>1675</v>
      </c>
      <c r="G34" s="379">
        <v>1797</v>
      </c>
      <c r="H34" s="379">
        <v>941</v>
      </c>
      <c r="I34" s="379">
        <v>879</v>
      </c>
      <c r="J34" s="379">
        <v>786</v>
      </c>
      <c r="K34" s="379">
        <v>755</v>
      </c>
      <c r="L34" s="379">
        <v>656</v>
      </c>
      <c r="M34" s="379">
        <v>631</v>
      </c>
      <c r="N34" s="379">
        <v>725</v>
      </c>
      <c r="O34" s="379">
        <v>752</v>
      </c>
      <c r="P34" s="379">
        <v>688</v>
      </c>
      <c r="Q34" s="379">
        <v>640</v>
      </c>
      <c r="R34" s="379">
        <v>172</v>
      </c>
      <c r="S34" s="379">
        <v>1954.34366556243</v>
      </c>
      <c r="T34" s="379">
        <v>803.4</v>
      </c>
      <c r="U34" s="379">
        <f t="shared" si="0"/>
        <v>3.4449999</v>
      </c>
    </row>
    <row r="35" spans="1:22" hidden="1" x14ac:dyDescent="0.25">
      <c r="A35" s="379">
        <v>34</v>
      </c>
      <c r="B35" s="379" t="s">
        <v>96</v>
      </c>
      <c r="C35" s="379">
        <v>7.8179997999999999</v>
      </c>
      <c r="D35" s="379">
        <v>8849</v>
      </c>
      <c r="E35" s="379">
        <v>9592</v>
      </c>
      <c r="F35" s="379">
        <v>10311</v>
      </c>
      <c r="G35" s="379">
        <v>11031</v>
      </c>
      <c r="H35" s="379">
        <v>5995</v>
      </c>
      <c r="I35" s="379">
        <v>6995</v>
      </c>
      <c r="J35" s="379">
        <v>6700</v>
      </c>
      <c r="K35" s="379">
        <v>6485</v>
      </c>
      <c r="L35" s="379">
        <v>5970</v>
      </c>
      <c r="M35" s="379">
        <v>5555</v>
      </c>
      <c r="N35" s="379">
        <v>5300</v>
      </c>
      <c r="O35" s="379">
        <v>5440</v>
      </c>
      <c r="P35" s="379">
        <v>5875</v>
      </c>
      <c r="Q35" s="379">
        <v>6090</v>
      </c>
      <c r="R35" s="379">
        <v>1163</v>
      </c>
      <c r="S35" s="379">
        <v>41282.876815917101</v>
      </c>
      <c r="T35" s="379">
        <v>6429</v>
      </c>
      <c r="U35" s="379">
        <f t="shared" si="0"/>
        <v>7.8179997999999999</v>
      </c>
    </row>
    <row r="36" spans="1:22" hidden="1" x14ac:dyDescent="0.25">
      <c r="A36" s="379">
        <v>35</v>
      </c>
      <c r="B36" s="379">
        <v>81</v>
      </c>
      <c r="C36" s="379">
        <v>8.5699997000000003</v>
      </c>
      <c r="D36" s="379">
        <v>2270</v>
      </c>
      <c r="E36" s="379">
        <v>2401</v>
      </c>
      <c r="F36" s="379">
        <v>2532</v>
      </c>
      <c r="G36" s="379">
        <v>2663</v>
      </c>
      <c r="H36" s="379">
        <v>1746</v>
      </c>
      <c r="I36" s="379">
        <v>1830</v>
      </c>
      <c r="J36" s="379">
        <v>1968</v>
      </c>
      <c r="K36" s="379">
        <v>1899</v>
      </c>
      <c r="L36" s="379">
        <v>1895</v>
      </c>
      <c r="M36" s="379">
        <v>1956</v>
      </c>
      <c r="N36" s="379">
        <v>1890</v>
      </c>
      <c r="O36" s="379">
        <v>1672</v>
      </c>
      <c r="P36" s="379">
        <v>1615</v>
      </c>
      <c r="Q36" s="379">
        <v>1646</v>
      </c>
      <c r="R36" s="379">
        <v>377</v>
      </c>
      <c r="S36" s="379">
        <v>1852.8961157523299</v>
      </c>
      <c r="T36" s="379">
        <v>1867.6</v>
      </c>
      <c r="U36" s="379">
        <f t="shared" si="0"/>
        <v>8.5699997000000003</v>
      </c>
    </row>
    <row r="37" spans="1:22" hidden="1" x14ac:dyDescent="0.25">
      <c r="A37" s="379">
        <v>36</v>
      </c>
      <c r="B37" s="379" t="s">
        <v>1515</v>
      </c>
      <c r="C37" s="379">
        <v>0.307</v>
      </c>
      <c r="D37" s="379">
        <v>2087</v>
      </c>
      <c r="E37" s="379">
        <v>2262</v>
      </c>
      <c r="F37" s="379">
        <v>2432</v>
      </c>
      <c r="G37" s="379">
        <v>2602</v>
      </c>
      <c r="H37" s="379">
        <v>1414</v>
      </c>
      <c r="I37" s="379">
        <v>1414</v>
      </c>
      <c r="J37" s="379">
        <v>675</v>
      </c>
      <c r="K37" s="379">
        <v>1</v>
      </c>
      <c r="L37" s="379">
        <v>2</v>
      </c>
      <c r="M37" s="379">
        <v>3</v>
      </c>
      <c r="N37" s="379">
        <v>0</v>
      </c>
      <c r="O37" s="379">
        <v>0</v>
      </c>
      <c r="P37" s="379">
        <v>0</v>
      </c>
      <c r="Q37" s="379">
        <v>0</v>
      </c>
      <c r="R37" s="379">
        <v>141</v>
      </c>
      <c r="S37" s="379">
        <v>1619.10066808692</v>
      </c>
      <c r="T37" s="379">
        <v>1167.6666666666667</v>
      </c>
      <c r="U37" s="379">
        <f t="shared" si="0"/>
        <v>0.307</v>
      </c>
    </row>
    <row r="38" spans="1:22" hidden="1" x14ac:dyDescent="0.25">
      <c r="A38" s="379">
        <v>37</v>
      </c>
      <c r="B38" s="379">
        <v>81</v>
      </c>
      <c r="C38" s="379">
        <v>3.5120000999999998</v>
      </c>
      <c r="D38" s="379">
        <v>2514</v>
      </c>
      <c r="E38" s="379">
        <v>2659</v>
      </c>
      <c r="F38" s="379">
        <v>2804</v>
      </c>
      <c r="G38" s="379">
        <v>2949</v>
      </c>
      <c r="H38" s="379">
        <v>1934</v>
      </c>
      <c r="I38" s="379">
        <v>2027</v>
      </c>
      <c r="J38" s="379">
        <v>2180</v>
      </c>
      <c r="K38" s="379">
        <v>1999</v>
      </c>
      <c r="L38" s="379">
        <v>1995</v>
      </c>
      <c r="M38" s="379">
        <v>2003</v>
      </c>
      <c r="N38" s="379">
        <v>1935</v>
      </c>
      <c r="O38" s="379">
        <v>1655</v>
      </c>
      <c r="P38" s="379">
        <v>1599</v>
      </c>
      <c r="Q38" s="379">
        <v>1641</v>
      </c>
      <c r="R38" s="379">
        <v>369</v>
      </c>
      <c r="S38" s="379">
        <v>1858.14038503747</v>
      </c>
      <c r="T38" s="379">
        <v>2027</v>
      </c>
      <c r="U38" s="379">
        <f t="shared" si="0"/>
        <v>3.5120000999999998</v>
      </c>
    </row>
    <row r="39" spans="1:22" hidden="1" x14ac:dyDescent="0.25">
      <c r="A39" s="379">
        <v>38</v>
      </c>
      <c r="B39" s="379" t="s">
        <v>1512</v>
      </c>
      <c r="C39" s="379">
        <v>0.26600000000000001</v>
      </c>
      <c r="D39" s="379">
        <v>1187</v>
      </c>
      <c r="E39" s="379">
        <v>1286</v>
      </c>
      <c r="F39" s="379">
        <v>1383</v>
      </c>
      <c r="G39" s="379">
        <v>1479</v>
      </c>
      <c r="H39" s="379">
        <v>804</v>
      </c>
      <c r="I39" s="379">
        <v>804</v>
      </c>
      <c r="J39" s="379">
        <v>740</v>
      </c>
      <c r="K39" s="379">
        <v>1</v>
      </c>
      <c r="L39" s="379">
        <v>2</v>
      </c>
      <c r="M39" s="379">
        <v>3</v>
      </c>
      <c r="N39" s="379">
        <v>0</v>
      </c>
      <c r="O39" s="379">
        <v>0</v>
      </c>
      <c r="P39" s="379">
        <v>0</v>
      </c>
      <c r="Q39" s="379">
        <v>0</v>
      </c>
      <c r="R39" s="379">
        <v>80</v>
      </c>
      <c r="S39" s="379">
        <v>1403.5854899200499</v>
      </c>
      <c r="T39" s="379">
        <v>782.66666666666663</v>
      </c>
      <c r="U39" s="379">
        <f t="shared" si="0"/>
        <v>0.26600000000000001</v>
      </c>
    </row>
    <row r="40" spans="1:22" hidden="1" x14ac:dyDescent="0.25">
      <c r="A40" s="379">
        <v>39</v>
      </c>
      <c r="B40" s="379" t="s">
        <v>1513</v>
      </c>
      <c r="C40" s="379">
        <v>0.32400000000000001</v>
      </c>
      <c r="D40" s="379">
        <v>1088</v>
      </c>
      <c r="E40" s="379">
        <v>1179</v>
      </c>
      <c r="F40" s="379">
        <v>1268</v>
      </c>
      <c r="G40" s="379">
        <v>1356</v>
      </c>
      <c r="H40" s="379">
        <v>737</v>
      </c>
      <c r="I40" s="379">
        <v>737</v>
      </c>
      <c r="J40" s="379">
        <v>550</v>
      </c>
      <c r="K40" s="379">
        <v>1</v>
      </c>
      <c r="L40" s="379">
        <v>2</v>
      </c>
      <c r="M40" s="379">
        <v>3</v>
      </c>
      <c r="N40" s="379">
        <v>0</v>
      </c>
      <c r="O40" s="379">
        <v>0</v>
      </c>
      <c r="P40" s="379">
        <v>0</v>
      </c>
      <c r="Q40" s="379">
        <v>0</v>
      </c>
      <c r="R40" s="379">
        <v>74</v>
      </c>
      <c r="S40" s="379">
        <v>1709.57015099561</v>
      </c>
      <c r="T40" s="379">
        <v>674.66666666666663</v>
      </c>
      <c r="U40" s="379">
        <f t="shared" si="0"/>
        <v>0.32400000000000001</v>
      </c>
    </row>
    <row r="41" spans="1:22" hidden="1" x14ac:dyDescent="0.25">
      <c r="A41" s="379">
        <v>40</v>
      </c>
      <c r="B41" s="379" t="s">
        <v>96</v>
      </c>
      <c r="C41" s="379">
        <v>2.7920001000000001</v>
      </c>
      <c r="D41" s="379">
        <v>10339</v>
      </c>
      <c r="E41" s="379">
        <v>11208</v>
      </c>
      <c r="F41" s="379">
        <v>12049</v>
      </c>
      <c r="G41" s="379">
        <v>12889</v>
      </c>
      <c r="H41" s="379">
        <v>7005</v>
      </c>
      <c r="I41" s="379">
        <v>7215</v>
      </c>
      <c r="J41" s="379">
        <v>6910</v>
      </c>
      <c r="K41" s="379">
        <v>6929</v>
      </c>
      <c r="L41" s="379">
        <v>6380</v>
      </c>
      <c r="M41" s="379">
        <v>5935</v>
      </c>
      <c r="N41" s="379">
        <v>5665</v>
      </c>
      <c r="O41" s="379">
        <v>5885</v>
      </c>
      <c r="P41" s="379">
        <v>6355</v>
      </c>
      <c r="Q41" s="379">
        <v>6585</v>
      </c>
      <c r="R41" s="379">
        <v>1317</v>
      </c>
      <c r="S41" s="379">
        <v>14762.879778632399</v>
      </c>
      <c r="T41" s="379">
        <v>6887.8</v>
      </c>
      <c r="U41" s="379">
        <f t="shared" si="0"/>
        <v>2.7920001000000001</v>
      </c>
    </row>
    <row r="42" spans="1:22" hidden="1" x14ac:dyDescent="0.25">
      <c r="A42" s="379">
        <v>41</v>
      </c>
      <c r="B42" s="379" t="s">
        <v>1514</v>
      </c>
      <c r="C42" s="379">
        <v>0.372</v>
      </c>
      <c r="D42" s="379">
        <v>760</v>
      </c>
      <c r="E42" s="379">
        <v>814</v>
      </c>
      <c r="F42" s="379">
        <v>867</v>
      </c>
      <c r="G42" s="379">
        <v>919</v>
      </c>
      <c r="H42" s="379">
        <v>552</v>
      </c>
      <c r="I42" s="379">
        <v>552</v>
      </c>
      <c r="J42" s="379">
        <v>450</v>
      </c>
      <c r="K42" s="379">
        <v>1</v>
      </c>
      <c r="L42" s="379">
        <v>2</v>
      </c>
      <c r="M42" s="379">
        <v>3</v>
      </c>
      <c r="N42" s="379">
        <v>0</v>
      </c>
      <c r="O42" s="379">
        <v>0</v>
      </c>
      <c r="P42" s="379">
        <v>0</v>
      </c>
      <c r="Q42" s="379">
        <v>0</v>
      </c>
      <c r="R42" s="379">
        <v>55</v>
      </c>
      <c r="S42" s="379">
        <v>1959.7409566825099</v>
      </c>
      <c r="T42" s="379">
        <v>518</v>
      </c>
      <c r="U42" s="379">
        <f t="shared" si="0"/>
        <v>0.372</v>
      </c>
    </row>
    <row r="43" spans="1:22" hidden="1" x14ac:dyDescent="0.25">
      <c r="A43" s="379">
        <v>42</v>
      </c>
      <c r="B43" s="379" t="s">
        <v>1512</v>
      </c>
      <c r="C43" s="379">
        <v>0.34300000000000003</v>
      </c>
      <c r="D43" s="379">
        <v>85</v>
      </c>
      <c r="E43" s="379">
        <v>91</v>
      </c>
      <c r="F43" s="379">
        <v>97</v>
      </c>
      <c r="G43" s="379">
        <v>103</v>
      </c>
      <c r="H43" s="379">
        <v>62</v>
      </c>
      <c r="I43" s="379">
        <v>62</v>
      </c>
      <c r="J43" s="379">
        <v>53</v>
      </c>
      <c r="K43" s="379">
        <v>1</v>
      </c>
      <c r="L43" s="379">
        <v>2</v>
      </c>
      <c r="M43" s="379">
        <v>3</v>
      </c>
      <c r="N43" s="379">
        <v>0</v>
      </c>
      <c r="O43" s="379">
        <v>0</v>
      </c>
      <c r="P43" s="379">
        <v>0</v>
      </c>
      <c r="Q43" s="379">
        <v>0</v>
      </c>
      <c r="R43" s="379">
        <v>6</v>
      </c>
      <c r="S43" s="379">
        <v>1808.3765727688899</v>
      </c>
      <c r="T43" s="379">
        <v>59</v>
      </c>
      <c r="U43" s="379">
        <f t="shared" si="0"/>
        <v>0.34300000000000003</v>
      </c>
    </row>
    <row r="44" spans="1:22" hidden="1" x14ac:dyDescent="0.25">
      <c r="A44" s="379">
        <v>43</v>
      </c>
      <c r="B44" s="379" t="s">
        <v>1512</v>
      </c>
      <c r="C44" s="379">
        <v>0.34699999999999998</v>
      </c>
      <c r="D44" s="379">
        <v>329</v>
      </c>
      <c r="E44" s="379">
        <v>353</v>
      </c>
      <c r="F44" s="379">
        <v>375</v>
      </c>
      <c r="G44" s="379">
        <v>398</v>
      </c>
      <c r="H44" s="379">
        <v>239</v>
      </c>
      <c r="I44" s="379">
        <v>239</v>
      </c>
      <c r="J44" s="379">
        <v>180</v>
      </c>
      <c r="K44" s="379">
        <v>1</v>
      </c>
      <c r="L44" s="379">
        <v>2</v>
      </c>
      <c r="M44" s="379">
        <v>3</v>
      </c>
      <c r="N44" s="379">
        <v>0</v>
      </c>
      <c r="O44" s="379">
        <v>0</v>
      </c>
      <c r="P44" s="379">
        <v>0</v>
      </c>
      <c r="Q44" s="379">
        <v>0</v>
      </c>
      <c r="R44" s="379">
        <v>24</v>
      </c>
      <c r="S44" s="379">
        <v>1834.62300398306</v>
      </c>
      <c r="T44" s="379">
        <v>219.33333333333334</v>
      </c>
      <c r="U44" s="379">
        <f t="shared" si="0"/>
        <v>0.34699999999999998</v>
      </c>
    </row>
    <row r="45" spans="1:22" hidden="1" x14ac:dyDescent="0.25">
      <c r="A45" s="379">
        <v>44</v>
      </c>
      <c r="B45" s="379" t="s">
        <v>1514</v>
      </c>
      <c r="C45" s="379">
        <v>0.32700000000000001</v>
      </c>
      <c r="D45" s="379">
        <v>107</v>
      </c>
      <c r="E45" s="379">
        <v>115</v>
      </c>
      <c r="F45" s="379">
        <v>122</v>
      </c>
      <c r="G45" s="379">
        <v>130</v>
      </c>
      <c r="H45" s="379">
        <v>78</v>
      </c>
      <c r="I45" s="379">
        <v>78</v>
      </c>
      <c r="J45" s="379">
        <v>50</v>
      </c>
      <c r="K45" s="379">
        <v>1</v>
      </c>
      <c r="L45" s="379">
        <v>2</v>
      </c>
      <c r="M45" s="379">
        <v>3</v>
      </c>
      <c r="N45" s="379">
        <v>0</v>
      </c>
      <c r="O45" s="379">
        <v>0</v>
      </c>
      <c r="P45" s="379">
        <v>0</v>
      </c>
      <c r="Q45" s="379">
        <v>0</v>
      </c>
      <c r="R45" s="379">
        <v>8</v>
      </c>
      <c r="S45" s="379">
        <v>1723.8502900567</v>
      </c>
      <c r="T45" s="379">
        <v>68.666666666666671</v>
      </c>
      <c r="U45" s="379">
        <f t="shared" si="0"/>
        <v>0.32700000000000001</v>
      </c>
    </row>
    <row r="46" spans="1:22" hidden="1" x14ac:dyDescent="0.25">
      <c r="A46" s="379">
        <v>45</v>
      </c>
      <c r="B46" s="379" t="s">
        <v>1514</v>
      </c>
      <c r="C46" s="379">
        <v>0.32800000000000001</v>
      </c>
      <c r="D46" s="379">
        <v>91</v>
      </c>
      <c r="E46" s="379">
        <v>97</v>
      </c>
      <c r="F46" s="379">
        <v>104</v>
      </c>
      <c r="G46" s="379">
        <v>110</v>
      </c>
      <c r="H46" s="379">
        <v>66</v>
      </c>
      <c r="I46" s="379">
        <v>66</v>
      </c>
      <c r="J46" s="379">
        <v>80</v>
      </c>
      <c r="K46" s="379">
        <v>1</v>
      </c>
      <c r="L46" s="379">
        <v>2</v>
      </c>
      <c r="M46" s="379">
        <v>3</v>
      </c>
      <c r="N46" s="379">
        <v>0</v>
      </c>
      <c r="O46" s="379">
        <v>0</v>
      </c>
      <c r="P46" s="379">
        <v>0</v>
      </c>
      <c r="Q46" s="379">
        <v>0</v>
      </c>
      <c r="R46" s="379">
        <v>7</v>
      </c>
      <c r="S46" s="379">
        <v>1736.0389611348301</v>
      </c>
      <c r="T46" s="379">
        <v>70.666666666666671</v>
      </c>
      <c r="U46" s="379">
        <f t="shared" si="0"/>
        <v>0.32800000000000001</v>
      </c>
    </row>
    <row r="47" spans="1:22" hidden="1" x14ac:dyDescent="0.25">
      <c r="A47" s="379">
        <v>46</v>
      </c>
      <c r="B47" s="379" t="s">
        <v>96</v>
      </c>
      <c r="C47" s="379">
        <v>4.0019999000000004</v>
      </c>
      <c r="D47" s="379">
        <v>7835</v>
      </c>
      <c r="E47" s="379">
        <v>8393</v>
      </c>
      <c r="F47" s="379">
        <v>8933</v>
      </c>
      <c r="G47" s="379">
        <v>9474</v>
      </c>
      <c r="H47" s="379">
        <v>5690</v>
      </c>
      <c r="I47" s="379">
        <v>5555</v>
      </c>
      <c r="J47" s="379">
        <v>5320</v>
      </c>
      <c r="K47" s="379">
        <v>5252</v>
      </c>
      <c r="L47" s="379">
        <v>5140</v>
      </c>
      <c r="M47" s="379">
        <v>4780</v>
      </c>
      <c r="N47" s="379">
        <v>4585</v>
      </c>
      <c r="O47" s="379">
        <v>4800</v>
      </c>
      <c r="P47" s="379">
        <v>4795</v>
      </c>
      <c r="Q47" s="379">
        <v>5065</v>
      </c>
      <c r="R47" s="379">
        <v>1218</v>
      </c>
      <c r="S47" s="379">
        <v>1319.3670516458201</v>
      </c>
      <c r="T47" s="379">
        <v>5391.4</v>
      </c>
      <c r="U47" s="379">
        <f t="shared" si="0"/>
        <v>4.0019999000000004</v>
      </c>
    </row>
    <row r="48" spans="1:22" x14ac:dyDescent="0.25">
      <c r="A48" s="19">
        <v>47</v>
      </c>
      <c r="B48" s="19" t="s">
        <v>199</v>
      </c>
      <c r="C48" s="19">
        <v>5.6069998999999999</v>
      </c>
      <c r="D48" s="19">
        <v>8469</v>
      </c>
      <c r="E48" s="19">
        <v>9071</v>
      </c>
      <c r="F48" s="19">
        <v>9656</v>
      </c>
      <c r="G48" s="19">
        <v>10240</v>
      </c>
      <c r="H48" s="19">
        <v>6150</v>
      </c>
      <c r="I48" s="19">
        <v>5995</v>
      </c>
      <c r="J48" s="19">
        <v>5745</v>
      </c>
      <c r="K48" s="19">
        <v>5559</v>
      </c>
      <c r="L48" s="19">
        <v>5440</v>
      </c>
      <c r="M48" s="19">
        <v>5060</v>
      </c>
      <c r="N48" s="19">
        <v>4790</v>
      </c>
      <c r="O48" s="19">
        <v>4920</v>
      </c>
      <c r="P48" s="19">
        <v>5315</v>
      </c>
      <c r="Q48" s="19">
        <v>5510</v>
      </c>
      <c r="R48" s="19">
        <v>1169</v>
      </c>
      <c r="S48" s="19">
        <v>29601.156718429</v>
      </c>
      <c r="T48" s="19">
        <f>K48</f>
        <v>5559</v>
      </c>
      <c r="U48" s="19">
        <f>C48-(15782/5280)</f>
        <v>2.6179847484848482</v>
      </c>
      <c r="V48" s="19" t="s">
        <v>1503</v>
      </c>
    </row>
    <row r="49" spans="1:22" hidden="1" x14ac:dyDescent="0.25">
      <c r="A49" s="379">
        <v>48</v>
      </c>
      <c r="B49" s="379" t="s">
        <v>1515</v>
      </c>
      <c r="C49" s="379">
        <v>0.32600000000000001</v>
      </c>
      <c r="D49" s="379">
        <v>113</v>
      </c>
      <c r="E49" s="379">
        <v>121</v>
      </c>
      <c r="F49" s="379">
        <v>129</v>
      </c>
      <c r="G49" s="379">
        <v>137</v>
      </c>
      <c r="H49" s="379">
        <v>82</v>
      </c>
      <c r="I49" s="379">
        <v>82</v>
      </c>
      <c r="J49" s="379">
        <v>125</v>
      </c>
      <c r="K49" s="379">
        <v>1</v>
      </c>
      <c r="L49" s="379">
        <v>2</v>
      </c>
      <c r="M49" s="379">
        <v>3</v>
      </c>
      <c r="N49" s="379">
        <v>0</v>
      </c>
      <c r="O49" s="379">
        <v>0</v>
      </c>
      <c r="P49" s="379">
        <v>0</v>
      </c>
      <c r="Q49" s="379">
        <v>0</v>
      </c>
      <c r="R49" s="379">
        <v>8</v>
      </c>
      <c r="S49" s="379">
        <v>1721.55757306587</v>
      </c>
      <c r="T49" s="379">
        <v>96.333333333333329</v>
      </c>
      <c r="U49" s="379">
        <f>C49</f>
        <v>0.32600000000000001</v>
      </c>
    </row>
    <row r="50" spans="1:22" hidden="1" x14ac:dyDescent="0.25">
      <c r="A50" s="379">
        <v>49</v>
      </c>
      <c r="B50" s="379" t="s">
        <v>1514</v>
      </c>
      <c r="C50" s="379">
        <v>0.34599999999999997</v>
      </c>
      <c r="D50" s="379">
        <v>366</v>
      </c>
      <c r="E50" s="379">
        <v>397</v>
      </c>
      <c r="F50" s="379">
        <v>427</v>
      </c>
      <c r="G50" s="379">
        <v>456</v>
      </c>
      <c r="H50" s="379">
        <v>248</v>
      </c>
      <c r="I50" s="379">
        <v>248</v>
      </c>
      <c r="J50" s="379">
        <v>380</v>
      </c>
      <c r="K50" s="379">
        <v>1</v>
      </c>
      <c r="L50" s="379">
        <v>2</v>
      </c>
      <c r="M50" s="379">
        <v>3</v>
      </c>
      <c r="N50" s="379">
        <v>0</v>
      </c>
      <c r="O50" s="379">
        <v>0</v>
      </c>
      <c r="P50" s="379">
        <v>0</v>
      </c>
      <c r="Q50" s="379">
        <v>0</v>
      </c>
      <c r="R50" s="379">
        <v>25</v>
      </c>
      <c r="S50" s="379">
        <v>1827.7916649021599</v>
      </c>
      <c r="T50" s="379">
        <v>292</v>
      </c>
      <c r="U50" s="379">
        <f>C50</f>
        <v>0.34599999999999997</v>
      </c>
    </row>
    <row r="51" spans="1:22" hidden="1" x14ac:dyDescent="0.25">
      <c r="A51" s="379">
        <v>50</v>
      </c>
      <c r="B51" s="379" t="s">
        <v>199</v>
      </c>
      <c r="C51" s="379">
        <v>5.2329998</v>
      </c>
      <c r="D51" s="379">
        <v>11609</v>
      </c>
      <c r="E51" s="379">
        <v>12584</v>
      </c>
      <c r="F51" s="379">
        <v>13528</v>
      </c>
      <c r="G51" s="379">
        <v>14472</v>
      </c>
      <c r="H51" s="379">
        <v>7865</v>
      </c>
      <c r="I51" s="379">
        <v>8100</v>
      </c>
      <c r="J51" s="379">
        <v>7760</v>
      </c>
      <c r="K51" s="379">
        <v>7469</v>
      </c>
      <c r="L51" s="379">
        <v>6875</v>
      </c>
      <c r="M51" s="379">
        <v>6395</v>
      </c>
      <c r="N51" s="379">
        <v>6100</v>
      </c>
      <c r="O51" s="379">
        <v>6170</v>
      </c>
      <c r="P51" s="379">
        <v>6665</v>
      </c>
      <c r="Q51" s="379">
        <v>6415</v>
      </c>
      <c r="R51" s="379">
        <v>1479</v>
      </c>
      <c r="S51" s="379">
        <v>24787.932312391102</v>
      </c>
      <c r="T51" s="379">
        <v>7613.8</v>
      </c>
      <c r="U51" s="379">
        <f>C51</f>
        <v>5.2329998</v>
      </c>
    </row>
    <row r="52" spans="1:22" hidden="1" x14ac:dyDescent="0.25">
      <c r="A52" s="379">
        <v>51</v>
      </c>
      <c r="B52" s="379" t="s">
        <v>1513</v>
      </c>
      <c r="C52" s="379">
        <v>0.28000000000000003</v>
      </c>
      <c r="D52" s="379">
        <v>543</v>
      </c>
      <c r="E52" s="379">
        <v>589</v>
      </c>
      <c r="F52" s="379">
        <v>633</v>
      </c>
      <c r="G52" s="379">
        <v>677</v>
      </c>
      <c r="H52" s="379">
        <v>368</v>
      </c>
      <c r="I52" s="379">
        <v>368</v>
      </c>
      <c r="J52" s="379">
        <v>345</v>
      </c>
      <c r="K52" s="379">
        <v>1</v>
      </c>
      <c r="L52" s="379">
        <v>2</v>
      </c>
      <c r="M52" s="379">
        <v>3</v>
      </c>
      <c r="N52" s="379">
        <v>0</v>
      </c>
      <c r="O52" s="379">
        <v>0</v>
      </c>
      <c r="P52" s="379">
        <v>0</v>
      </c>
      <c r="Q52" s="379">
        <v>0</v>
      </c>
      <c r="R52" s="379">
        <v>37</v>
      </c>
      <c r="S52" s="379">
        <v>1478.7878802514199</v>
      </c>
      <c r="T52" s="379">
        <v>360.33333333333331</v>
      </c>
      <c r="U52" s="379">
        <f>C52</f>
        <v>0.28000000000000003</v>
      </c>
    </row>
    <row r="53" spans="1:22" hidden="1" x14ac:dyDescent="0.25">
      <c r="A53" s="379">
        <v>52</v>
      </c>
      <c r="B53" s="379" t="s">
        <v>1512</v>
      </c>
      <c r="C53" s="379">
        <v>0.29399999999999998</v>
      </c>
      <c r="D53" s="379">
        <v>861</v>
      </c>
      <c r="E53" s="379">
        <v>933</v>
      </c>
      <c r="F53" s="379">
        <v>1003</v>
      </c>
      <c r="G53" s="379">
        <v>1073</v>
      </c>
      <c r="H53" s="379">
        <v>583</v>
      </c>
      <c r="I53" s="379">
        <v>665</v>
      </c>
      <c r="J53" s="379">
        <v>380</v>
      </c>
      <c r="K53" s="379">
        <v>1</v>
      </c>
      <c r="L53" s="379">
        <v>2</v>
      </c>
      <c r="M53" s="379">
        <v>3</v>
      </c>
      <c r="N53" s="379">
        <v>0</v>
      </c>
      <c r="O53" s="379">
        <v>0</v>
      </c>
      <c r="P53" s="379">
        <v>0</v>
      </c>
      <c r="Q53" s="379">
        <v>0</v>
      </c>
      <c r="R53" s="379">
        <v>58</v>
      </c>
      <c r="S53" s="379">
        <v>1550.25198479555</v>
      </c>
      <c r="T53" s="379">
        <v>542.66666666666663</v>
      </c>
      <c r="U53" s="379">
        <f>C53</f>
        <v>0.29399999999999998</v>
      </c>
    </row>
    <row r="54" spans="1:22" x14ac:dyDescent="0.25">
      <c r="V54" s="19" t="s">
        <v>1503</v>
      </c>
    </row>
    <row r="55" spans="1:22" ht="15.75" thickBot="1" x14ac:dyDescent="0.3">
      <c r="V55" s="19" t="s">
        <v>1503</v>
      </c>
    </row>
    <row r="56" spans="1:22" x14ac:dyDescent="0.25">
      <c r="F56" s="312" t="s">
        <v>42</v>
      </c>
      <c r="G56" s="393"/>
      <c r="H56" s="392"/>
      <c r="I56" s="392"/>
      <c r="J56" s="392"/>
      <c r="K56" s="391"/>
      <c r="V56" s="19" t="s">
        <v>1503</v>
      </c>
    </row>
    <row r="57" spans="1:22" x14ac:dyDescent="0.25">
      <c r="A57" s="428"/>
      <c r="B57" s="428"/>
      <c r="F57" s="390" t="s">
        <v>39</v>
      </c>
      <c r="G57" s="96">
        <v>30.072041799999994</v>
      </c>
      <c r="H57" s="146"/>
      <c r="I57" s="146"/>
      <c r="J57" s="146"/>
      <c r="K57" s="355"/>
      <c r="V57" s="19" t="s">
        <v>1503</v>
      </c>
    </row>
    <row r="58" spans="1:22" x14ac:dyDescent="0.25">
      <c r="A58" s="6" t="s">
        <v>1599</v>
      </c>
      <c r="B58" s="6" t="s">
        <v>1492</v>
      </c>
      <c r="F58" s="390" t="s">
        <v>67</v>
      </c>
      <c r="G58" s="146" t="s">
        <v>1493</v>
      </c>
      <c r="H58" s="146" t="s">
        <v>67</v>
      </c>
      <c r="I58" s="146" t="s">
        <v>1493</v>
      </c>
      <c r="J58" s="146" t="s">
        <v>1511</v>
      </c>
      <c r="K58" s="355" t="s">
        <v>1510</v>
      </c>
      <c r="V58" s="19" t="s">
        <v>1503</v>
      </c>
    </row>
    <row r="59" spans="1:22" x14ac:dyDescent="0.25">
      <c r="A59" s="379" t="s">
        <v>1509</v>
      </c>
      <c r="B59" s="89">
        <f>(U23*H23)+(U30*H30)+(U48*H48)*365*5/12</f>
        <v>2514982.663868235</v>
      </c>
      <c r="C59" s="89"/>
      <c r="D59" s="89"/>
      <c r="F59" s="390" t="s">
        <v>1508</v>
      </c>
      <c r="G59" s="146">
        <f>B59/80</f>
        <v>31437.283298352937</v>
      </c>
      <c r="H59" s="146" t="s">
        <v>1507</v>
      </c>
      <c r="I59" s="146">
        <f>B59/65</f>
        <v>38692.040982588231</v>
      </c>
      <c r="J59" s="146">
        <f>I59-G59</f>
        <v>7254.7576842352937</v>
      </c>
      <c r="K59" s="389">
        <f>J59*G57</f>
        <v>218165.3763291949</v>
      </c>
      <c r="V59" s="19" t="s">
        <v>1503</v>
      </c>
    </row>
    <row r="60" spans="1:22" ht="15.75" thickBot="1" x14ac:dyDescent="0.3">
      <c r="A60" s="379" t="s">
        <v>1506</v>
      </c>
      <c r="B60" s="89">
        <f>(U23*D23)+(U30*D30)+(U48*D48)*365*5/12</f>
        <v>3469880.7428740067</v>
      </c>
      <c r="C60" s="89"/>
      <c r="D60" s="89"/>
      <c r="F60" s="383" t="s">
        <v>1505</v>
      </c>
      <c r="G60" s="388">
        <f>B60/80</f>
        <v>43373.509285925087</v>
      </c>
      <c r="H60" s="388" t="s">
        <v>1504</v>
      </c>
      <c r="I60" s="388">
        <f>B60/65</f>
        <v>53382.780659600103</v>
      </c>
      <c r="J60" s="388">
        <f>I60-G60</f>
        <v>10009.271373675016</v>
      </c>
      <c r="K60" s="387">
        <f>J60*G57</f>
        <v>300999.22713669844</v>
      </c>
      <c r="V60" s="19" t="s">
        <v>1503</v>
      </c>
    </row>
    <row r="61" spans="1:22" x14ac:dyDescent="0.25">
      <c r="B61" s="89"/>
      <c r="C61" s="89"/>
      <c r="D61" s="89"/>
      <c r="V61" s="19" t="s">
        <v>1503</v>
      </c>
    </row>
    <row r="62" spans="1:22" x14ac:dyDescent="0.25">
      <c r="A62" s="6" t="s">
        <v>1598</v>
      </c>
      <c r="B62" s="477" t="s">
        <v>1502</v>
      </c>
      <c r="C62" s="477" t="s">
        <v>1494</v>
      </c>
      <c r="D62" s="477" t="s">
        <v>65</v>
      </c>
      <c r="V62" s="19" t="s">
        <v>1503</v>
      </c>
    </row>
    <row r="63" spans="1:22" x14ac:dyDescent="0.25">
      <c r="A63" s="379" t="s">
        <v>1501</v>
      </c>
      <c r="B63" s="89">
        <f>((H23*U23)+(U30*H30)+(U48*H48))/SUM(U23,U30,U48)</f>
        <v>6238.1407575779867</v>
      </c>
      <c r="C63" s="89">
        <f>B63*2</f>
        <v>12476.281515155973</v>
      </c>
      <c r="D63" s="89">
        <f>SUM(U23,U30,U48)</f>
        <v>13.216984548484849</v>
      </c>
      <c r="V63" s="19" t="s">
        <v>1503</v>
      </c>
    </row>
    <row r="64" spans="1:22" x14ac:dyDescent="0.25">
      <c r="A64" s="379" t="s">
        <v>1576</v>
      </c>
      <c r="B64" s="89">
        <f>((D23*U23)+(D30*U30)+(D48*U48))/SUM(U23,U30,U48)</f>
        <v>9087.130398354484</v>
      </c>
      <c r="C64" s="89">
        <f>B64*2</f>
        <v>18174.260796708968</v>
      </c>
      <c r="D64" s="89">
        <f>SUM(U23,U30,U48)</f>
        <v>13.216984548484849</v>
      </c>
      <c r="V64" s="19" t="s">
        <v>1503</v>
      </c>
    </row>
    <row r="65" spans="1:22" x14ac:dyDescent="0.25">
      <c r="B65" s="89"/>
      <c r="C65" s="89"/>
      <c r="D65" s="89"/>
      <c r="V65" s="19" t="s">
        <v>1503</v>
      </c>
    </row>
    <row r="66" spans="1:22" x14ac:dyDescent="0.25">
      <c r="A66" s="6" t="s">
        <v>1643</v>
      </c>
      <c r="B66" s="89">
        <f>((U23*K23)+(U30*K30)+(U48*K48))/SUM(U23,U30,U48)</f>
        <v>6394.9693373528689</v>
      </c>
      <c r="C66" s="89"/>
      <c r="D66" s="89"/>
      <c r="V66" s="19" t="s">
        <v>1503</v>
      </c>
    </row>
    <row r="67" spans="1:22" x14ac:dyDescent="0.25">
      <c r="A67" s="6" t="s">
        <v>1500</v>
      </c>
      <c r="B67" s="89">
        <f>B66*365*SUM(U23,U30,U48)*5</f>
        <v>154253034.92868477</v>
      </c>
      <c r="C67" s="89"/>
      <c r="D67" s="89"/>
      <c r="V67" s="19" t="s">
        <v>1503</v>
      </c>
    </row>
    <row r="68" spans="1:22" x14ac:dyDescent="0.25">
      <c r="V68" s="19" t="s">
        <v>1503</v>
      </c>
    </row>
    <row r="69" spans="1:22" x14ac:dyDescent="0.25">
      <c r="A69" s="461" t="s">
        <v>1600</v>
      </c>
      <c r="V69" s="19" t="s">
        <v>1503</v>
      </c>
    </row>
    <row r="70" spans="1:22" x14ac:dyDescent="0.25">
      <c r="A70" s="6" t="s">
        <v>1598</v>
      </c>
      <c r="B70" s="477" t="s">
        <v>1502</v>
      </c>
      <c r="C70" s="477" t="s">
        <v>1494</v>
      </c>
      <c r="D70" s="477" t="s">
        <v>65</v>
      </c>
    </row>
    <row r="72" spans="1:22" x14ac:dyDescent="0.25">
      <c r="A72" s="379" t="s">
        <v>1601</v>
      </c>
      <c r="B72" s="89">
        <f>B63</f>
        <v>6238.1407575779867</v>
      </c>
      <c r="C72" s="379">
        <f>B72*2</f>
        <v>12476.281515155973</v>
      </c>
      <c r="D72" s="89">
        <f>D63</f>
        <v>13.216984548484849</v>
      </c>
    </row>
    <row r="73" spans="1:22" x14ac:dyDescent="0.25">
      <c r="A73" s="428" t="s">
        <v>1501</v>
      </c>
      <c r="B73" s="89">
        <f t="shared" ref="B73:D74" si="1">B63</f>
        <v>6238.1407575779867</v>
      </c>
      <c r="C73" s="89">
        <f t="shared" si="1"/>
        <v>12476.281515155973</v>
      </c>
      <c r="D73" s="89">
        <f t="shared" si="1"/>
        <v>13.216984548484849</v>
      </c>
    </row>
    <row r="74" spans="1:22" x14ac:dyDescent="0.25">
      <c r="A74" s="428" t="s">
        <v>1576</v>
      </c>
      <c r="B74" s="89">
        <f t="shared" si="1"/>
        <v>9087.130398354484</v>
      </c>
      <c r="C74" s="89">
        <f t="shared" si="1"/>
        <v>18174.260796708968</v>
      </c>
      <c r="D74" s="89">
        <f t="shared" si="1"/>
        <v>13.216984548484849</v>
      </c>
    </row>
    <row r="75" spans="1:22" s="428" customFormat="1" x14ac:dyDescent="0.25">
      <c r="A75" s="428" t="s">
        <v>1601</v>
      </c>
      <c r="B75" s="89">
        <f>'05HQ - Associated Crash Data'!B66</f>
        <v>5375.9653003598341</v>
      </c>
      <c r="C75" s="89">
        <f>B75*2</f>
        <v>10751.930600719668</v>
      </c>
      <c r="D75" s="89">
        <f>'05HQ - Associated Crash Data'!D64</f>
        <v>15.002651515151516</v>
      </c>
    </row>
    <row r="76" spans="1:22" x14ac:dyDescent="0.25">
      <c r="A76" s="428" t="s">
        <v>1501</v>
      </c>
      <c r="B76" s="89">
        <f>'05HQ - Associated Crash Data'!B63</f>
        <v>6055.6469209654861</v>
      </c>
      <c r="C76" s="89">
        <f>'05HQ - Associated Crash Data'!C63</f>
        <v>12111.293841930972</v>
      </c>
      <c r="D76" s="89">
        <f>'05HQ - Associated Crash Data'!D63</f>
        <v>15.002651515151516</v>
      </c>
    </row>
    <row r="77" spans="1:22" x14ac:dyDescent="0.25">
      <c r="A77" s="428" t="s">
        <v>1576</v>
      </c>
      <c r="B77" s="89">
        <f>'05HQ - Associated Crash Data'!B64</f>
        <v>8338.78020648249</v>
      </c>
      <c r="C77" s="89">
        <f>'05HQ - Associated Crash Data'!C64</f>
        <v>16677.56041296498</v>
      </c>
      <c r="D77" s="89">
        <f>'05HQ - Associated Crash Data'!D64</f>
        <v>15.002651515151516</v>
      </c>
    </row>
    <row r="78" spans="1:22" x14ac:dyDescent="0.25">
      <c r="A78" s="379" t="s">
        <v>1602</v>
      </c>
      <c r="C78" s="89">
        <f>(C72*D72+C75*D75)/(SUM(D72,D75))</f>
        <v>11559.549782656546</v>
      </c>
      <c r="D78" s="89">
        <f>SUM(D72,D75)</f>
        <v>28.219636063636365</v>
      </c>
    </row>
    <row r="79" spans="1:22" x14ac:dyDescent="0.25">
      <c r="A79" s="379" t="s">
        <v>1488</v>
      </c>
      <c r="B79" s="379" t="s">
        <v>1495</v>
      </c>
      <c r="C79" s="89">
        <f>(C73*D73+C76*D76)/(SUM(D73,D76))</f>
        <v>12282.239931615612</v>
      </c>
      <c r="D79" s="89">
        <f>SUM(D73,D76)</f>
        <v>28.219636063636365</v>
      </c>
    </row>
    <row r="80" spans="1:22" x14ac:dyDescent="0.25">
      <c r="A80" s="428" t="s">
        <v>1489</v>
      </c>
      <c r="B80" s="379" t="s">
        <v>1495</v>
      </c>
      <c r="C80" s="89">
        <f>(C74*D74+C77*D77)/SUM(D74,D77)</f>
        <v>17378.556903530865</v>
      </c>
      <c r="D80" s="89">
        <f>SUM(D74,D77)</f>
        <v>28.219636063636365</v>
      </c>
    </row>
  </sheetData>
  <autoFilter ref="V1:V53" xr:uid="{9827C948-78FB-4A13-89DA-70ED14575689}">
    <filterColumn colId="0">
      <customFilters>
        <customFilter operator="notEqual" val=" "/>
      </customFilters>
    </filterColumn>
  </autoFilter>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906B-9D3C-4A55-BA47-8B9E0412008D}">
  <sheetPr>
    <tabColor theme="1"/>
  </sheetPr>
  <dimension ref="A1:S56"/>
  <sheetViews>
    <sheetView showGridLines="0" topLeftCell="A10" zoomScale="70" zoomScaleNormal="70" workbookViewId="0">
      <selection activeCell="B40" sqref="B40"/>
    </sheetView>
  </sheetViews>
  <sheetFormatPr defaultRowHeight="15" x14ac:dyDescent="0.25"/>
  <cols>
    <col min="1" max="1" width="18.85546875" style="152" bestFit="1" customWidth="1"/>
    <col min="2" max="2" width="17.85546875" style="152" customWidth="1"/>
    <col min="3" max="3" width="27.85546875" style="152" bestFit="1" customWidth="1"/>
    <col min="4" max="4" width="9.140625" style="152" bestFit="1" customWidth="1"/>
    <col min="5" max="5" width="15.85546875" style="152" bestFit="1" customWidth="1"/>
    <col min="6" max="6" width="10.85546875" style="152" customWidth="1"/>
    <col min="7" max="7" width="9.5703125" style="152" customWidth="1"/>
    <col min="8" max="8" width="7.140625" style="152" bestFit="1" customWidth="1"/>
    <col min="9" max="9" width="8.7109375" style="152" customWidth="1"/>
    <col min="10" max="10" width="6" style="152" customWidth="1"/>
    <col min="11" max="11" width="6.42578125" style="152" bestFit="1" customWidth="1"/>
    <col min="12" max="12" width="8" style="152" bestFit="1" customWidth="1"/>
    <col min="13" max="13" width="14" style="152" customWidth="1"/>
    <col min="14" max="14" width="11.140625" style="152" customWidth="1"/>
    <col min="15" max="15" width="12.85546875" style="152" customWidth="1"/>
    <col min="16" max="16" width="92.42578125" style="152" bestFit="1" customWidth="1"/>
    <col min="17" max="17" width="20.5703125" style="152" customWidth="1"/>
    <col min="18" max="18" width="13.42578125" style="152" bestFit="1" customWidth="1"/>
    <col min="19" max="16384" width="9.140625" style="152"/>
  </cols>
  <sheetData>
    <row r="1" spans="1:19" ht="15.75" x14ac:dyDescent="0.25">
      <c r="A1" s="787"/>
      <c r="B1" s="748"/>
      <c r="C1" s="748"/>
      <c r="D1" s="748"/>
      <c r="E1" s="748"/>
      <c r="F1" s="748"/>
      <c r="G1" s="748"/>
      <c r="H1" s="748"/>
      <c r="I1" s="748"/>
      <c r="J1" s="748"/>
      <c r="K1" s="748"/>
      <c r="L1" s="748"/>
      <c r="M1" s="748"/>
      <c r="N1" s="748"/>
      <c r="O1" s="748"/>
    </row>
    <row r="2" spans="1:19" x14ac:dyDescent="0.25">
      <c r="A2" s="788"/>
      <c r="B2" s="748"/>
      <c r="C2" s="748"/>
      <c r="D2" s="748"/>
      <c r="E2" s="748"/>
      <c r="F2" s="748"/>
      <c r="G2" s="748"/>
      <c r="H2" s="748"/>
      <c r="I2" s="748"/>
      <c r="J2" s="748"/>
      <c r="K2" s="748"/>
      <c r="L2" s="748"/>
      <c r="M2" s="748"/>
      <c r="N2" s="748"/>
      <c r="O2" s="748"/>
    </row>
    <row r="3" spans="1:19" ht="40.15" customHeight="1" x14ac:dyDescent="0.25"/>
    <row r="6" spans="1:19" x14ac:dyDescent="0.25">
      <c r="S6" s="342"/>
    </row>
    <row r="9" spans="1:19" x14ac:dyDescent="0.25">
      <c r="S9" s="342"/>
    </row>
    <row r="11" spans="1:19" x14ac:dyDescent="0.25">
      <c r="S11" s="342"/>
    </row>
    <row r="13" spans="1:19" x14ac:dyDescent="0.25">
      <c r="S13" s="163"/>
    </row>
    <row r="18" spans="19:19" ht="15" customHeight="1" x14ac:dyDescent="0.25">
      <c r="S18" s="163"/>
    </row>
    <row r="36" spans="1:18" ht="15.75" thickBot="1" x14ac:dyDescent="0.3"/>
    <row r="37" spans="1:18" ht="42" customHeight="1" thickBot="1" x14ac:dyDescent="0.3">
      <c r="A37" s="370" t="s">
        <v>1486</v>
      </c>
      <c r="B37" s="371" t="s">
        <v>1485</v>
      </c>
      <c r="C37" s="371" t="s">
        <v>1484</v>
      </c>
      <c r="D37" s="371" t="s">
        <v>1483</v>
      </c>
      <c r="E37" s="371" t="s">
        <v>1390</v>
      </c>
      <c r="F37" s="371" t="s">
        <v>1482</v>
      </c>
      <c r="G37" s="371" t="s">
        <v>1481</v>
      </c>
      <c r="H37" s="371" t="s">
        <v>1480</v>
      </c>
      <c r="I37" s="371" t="s">
        <v>1479</v>
      </c>
      <c r="J37" s="371" t="s">
        <v>1478</v>
      </c>
      <c r="K37" s="371" t="s">
        <v>1477</v>
      </c>
      <c r="L37" s="371" t="s">
        <v>1476</v>
      </c>
      <c r="M37" s="371" t="s">
        <v>1475</v>
      </c>
      <c r="N37" s="371" t="s">
        <v>1474</v>
      </c>
      <c r="O37" s="371" t="s">
        <v>1473</v>
      </c>
      <c r="P37" s="371" t="s">
        <v>1472</v>
      </c>
      <c r="Q37" s="371" t="s">
        <v>1471</v>
      </c>
      <c r="R37" s="372" t="s">
        <v>1741</v>
      </c>
    </row>
    <row r="38" spans="1:18" ht="15.75" thickTop="1" x14ac:dyDescent="0.25">
      <c r="A38" s="363" t="s">
        <v>1411</v>
      </c>
      <c r="B38" s="364">
        <v>44104125</v>
      </c>
      <c r="C38" s="365" t="s">
        <v>1469</v>
      </c>
      <c r="D38" s="365" t="s">
        <v>1407</v>
      </c>
      <c r="E38" s="365" t="s">
        <v>1436</v>
      </c>
      <c r="F38" s="366">
        <v>151.5</v>
      </c>
      <c r="G38" s="367">
        <v>1964</v>
      </c>
      <c r="H38" s="367">
        <v>6</v>
      </c>
      <c r="I38" s="367">
        <v>6</v>
      </c>
      <c r="J38" s="367">
        <v>7</v>
      </c>
      <c r="K38" s="368" t="s">
        <v>637</v>
      </c>
      <c r="L38" s="368" t="s">
        <v>1468</v>
      </c>
      <c r="M38" s="368" t="s">
        <v>1441</v>
      </c>
      <c r="N38" s="368" t="s">
        <v>1466</v>
      </c>
      <c r="O38" s="368" t="s">
        <v>566</v>
      </c>
      <c r="P38" s="365" t="s">
        <v>1470</v>
      </c>
      <c r="Q38" s="368" t="s">
        <v>1401</v>
      </c>
      <c r="R38" s="369">
        <v>10</v>
      </c>
    </row>
    <row r="39" spans="1:18" x14ac:dyDescent="0.25">
      <c r="A39" s="354" t="s">
        <v>1409</v>
      </c>
      <c r="B39" s="344">
        <v>44104126</v>
      </c>
      <c r="C39" s="343" t="s">
        <v>1469</v>
      </c>
      <c r="D39" s="343" t="s">
        <v>1407</v>
      </c>
      <c r="E39" s="343" t="s">
        <v>1436</v>
      </c>
      <c r="F39" s="345">
        <v>151.5</v>
      </c>
      <c r="G39" s="346">
        <v>1964</v>
      </c>
      <c r="H39" s="346">
        <v>6</v>
      </c>
      <c r="I39" s="346">
        <v>6</v>
      </c>
      <c r="J39" s="346">
        <v>7</v>
      </c>
      <c r="K39" s="347" t="s">
        <v>637</v>
      </c>
      <c r="L39" s="347" t="s">
        <v>1468</v>
      </c>
      <c r="M39" s="347" t="s">
        <v>1467</v>
      </c>
      <c r="N39" s="347" t="s">
        <v>1466</v>
      </c>
      <c r="O39" s="347" t="s">
        <v>566</v>
      </c>
      <c r="P39" s="343" t="s">
        <v>1465</v>
      </c>
      <c r="Q39" s="347" t="s">
        <v>1401</v>
      </c>
      <c r="R39" s="355">
        <v>10</v>
      </c>
    </row>
    <row r="40" spans="1:18" x14ac:dyDescent="0.25">
      <c r="A40" s="354" t="s">
        <v>1464</v>
      </c>
      <c r="B40" s="344">
        <v>44110125</v>
      </c>
      <c r="C40" s="343" t="s">
        <v>1415</v>
      </c>
      <c r="D40" s="343" t="s">
        <v>1407</v>
      </c>
      <c r="E40" s="343" t="s">
        <v>1436</v>
      </c>
      <c r="F40" s="345">
        <v>246.00001443569599</v>
      </c>
      <c r="G40" s="346">
        <v>1993</v>
      </c>
      <c r="H40" s="346">
        <v>7</v>
      </c>
      <c r="I40" s="346">
        <v>8</v>
      </c>
      <c r="J40" s="346">
        <v>7</v>
      </c>
      <c r="K40" s="347" t="s">
        <v>637</v>
      </c>
      <c r="L40" s="347" t="s">
        <v>1463</v>
      </c>
      <c r="M40" s="347" t="s">
        <v>637</v>
      </c>
      <c r="N40" s="347" t="s">
        <v>1462</v>
      </c>
      <c r="O40" s="347" t="s">
        <v>565</v>
      </c>
      <c r="P40" s="343" t="s">
        <v>1461</v>
      </c>
      <c r="Q40" s="347" t="s">
        <v>1460</v>
      </c>
      <c r="R40" s="355">
        <v>25</v>
      </c>
    </row>
    <row r="41" spans="1:18" x14ac:dyDescent="0.25">
      <c r="A41" s="354" t="s">
        <v>1411</v>
      </c>
      <c r="B41" s="344">
        <v>44130125</v>
      </c>
      <c r="C41" s="343" t="s">
        <v>1459</v>
      </c>
      <c r="D41" s="343" t="s">
        <v>1407</v>
      </c>
      <c r="E41" s="343" t="s">
        <v>1436</v>
      </c>
      <c r="F41" s="345">
        <v>119.00000688976399</v>
      </c>
      <c r="G41" s="346">
        <v>1964</v>
      </c>
      <c r="H41" s="346">
        <v>6</v>
      </c>
      <c r="I41" s="346">
        <v>6</v>
      </c>
      <c r="J41" s="346">
        <v>7</v>
      </c>
      <c r="K41" s="347" t="s">
        <v>637</v>
      </c>
      <c r="L41" s="347" t="s">
        <v>1458</v>
      </c>
      <c r="M41" s="347" t="s">
        <v>637</v>
      </c>
      <c r="N41" s="347" t="s">
        <v>1457</v>
      </c>
      <c r="O41" s="347" t="s">
        <v>566</v>
      </c>
      <c r="P41" s="343" t="s">
        <v>1438</v>
      </c>
      <c r="Q41" s="347" t="s">
        <v>1401</v>
      </c>
      <c r="R41" s="355">
        <v>10</v>
      </c>
    </row>
    <row r="42" spans="1:18" x14ac:dyDescent="0.25">
      <c r="A42" s="356" t="s">
        <v>1409</v>
      </c>
      <c r="B42" s="349">
        <v>44130126</v>
      </c>
      <c r="C42" s="348" t="s">
        <v>1459</v>
      </c>
      <c r="D42" s="348" t="s">
        <v>1407</v>
      </c>
      <c r="E42" s="348" t="s">
        <v>1436</v>
      </c>
      <c r="F42" s="350">
        <v>119.00000688976399</v>
      </c>
      <c r="G42" s="351">
        <v>1964</v>
      </c>
      <c r="H42" s="351">
        <v>6</v>
      </c>
      <c r="I42" s="351">
        <v>6</v>
      </c>
      <c r="J42" s="351">
        <v>7</v>
      </c>
      <c r="K42" s="352" t="s">
        <v>637</v>
      </c>
      <c r="L42" s="352" t="s">
        <v>1458</v>
      </c>
      <c r="M42" s="352" t="s">
        <v>637</v>
      </c>
      <c r="N42" s="352" t="s">
        <v>1457</v>
      </c>
      <c r="O42" s="352" t="s">
        <v>566</v>
      </c>
      <c r="P42" s="348" t="s">
        <v>1433</v>
      </c>
      <c r="Q42" s="347" t="s">
        <v>1401</v>
      </c>
      <c r="R42" s="355">
        <v>10</v>
      </c>
    </row>
    <row r="43" spans="1:18" x14ac:dyDescent="0.25">
      <c r="A43" s="354" t="s">
        <v>1456</v>
      </c>
      <c r="B43" s="344">
        <v>44150126</v>
      </c>
      <c r="C43" s="343" t="s">
        <v>1415</v>
      </c>
      <c r="D43" s="343" t="s">
        <v>1407</v>
      </c>
      <c r="E43" s="343" t="s">
        <v>1436</v>
      </c>
      <c r="F43" s="345">
        <v>254.000015419947</v>
      </c>
      <c r="G43" s="346">
        <v>1964</v>
      </c>
      <c r="H43" s="346">
        <v>4</v>
      </c>
      <c r="I43" s="346">
        <v>5</v>
      </c>
      <c r="J43" s="346">
        <v>6</v>
      </c>
      <c r="K43" s="347" t="s">
        <v>637</v>
      </c>
      <c r="L43" s="347" t="s">
        <v>1455</v>
      </c>
      <c r="M43" s="347" t="s">
        <v>637</v>
      </c>
      <c r="N43" s="347" t="s">
        <v>1454</v>
      </c>
      <c r="O43" s="347" t="s">
        <v>1431</v>
      </c>
      <c r="P43" s="343" t="s">
        <v>1453</v>
      </c>
      <c r="Q43" s="347" t="s">
        <v>1422</v>
      </c>
      <c r="R43" s="355">
        <v>5</v>
      </c>
    </row>
    <row r="44" spans="1:18" x14ac:dyDescent="0.25">
      <c r="A44" s="354" t="s">
        <v>1452</v>
      </c>
      <c r="B44" s="344">
        <v>44170126</v>
      </c>
      <c r="C44" s="343" t="s">
        <v>1415</v>
      </c>
      <c r="D44" s="343" t="s">
        <v>1407</v>
      </c>
      <c r="E44" s="343" t="s">
        <v>1436</v>
      </c>
      <c r="F44" s="345">
        <v>254.000015419947</v>
      </c>
      <c r="G44" s="346">
        <v>1964</v>
      </c>
      <c r="H44" s="346">
        <v>6</v>
      </c>
      <c r="I44" s="346">
        <v>6</v>
      </c>
      <c r="J44" s="346">
        <v>6</v>
      </c>
      <c r="K44" s="347" t="s">
        <v>637</v>
      </c>
      <c r="L44" s="347" t="s">
        <v>1451</v>
      </c>
      <c r="M44" s="347" t="s">
        <v>637</v>
      </c>
      <c r="N44" s="347" t="s">
        <v>1450</v>
      </c>
      <c r="O44" s="347" t="s">
        <v>566</v>
      </c>
      <c r="P44" s="343" t="s">
        <v>1445</v>
      </c>
      <c r="Q44" s="347" t="s">
        <v>1449</v>
      </c>
      <c r="R44" s="355">
        <v>10</v>
      </c>
    </row>
    <row r="45" spans="1:18" x14ac:dyDescent="0.25">
      <c r="A45" s="354" t="s">
        <v>1448</v>
      </c>
      <c r="B45" s="344">
        <v>44210126</v>
      </c>
      <c r="C45" s="343" t="s">
        <v>1415</v>
      </c>
      <c r="D45" s="343" t="s">
        <v>1407</v>
      </c>
      <c r="E45" s="343" t="s">
        <v>1436</v>
      </c>
      <c r="F45" s="345">
        <v>254.000015419947</v>
      </c>
      <c r="G45" s="346">
        <v>1964</v>
      </c>
      <c r="H45" s="346">
        <v>7</v>
      </c>
      <c r="I45" s="346">
        <v>6</v>
      </c>
      <c r="J45" s="346">
        <v>6</v>
      </c>
      <c r="K45" s="347" t="s">
        <v>637</v>
      </c>
      <c r="L45" s="347" t="s">
        <v>1447</v>
      </c>
      <c r="M45" s="347" t="s">
        <v>637</v>
      </c>
      <c r="N45" s="347" t="s">
        <v>1446</v>
      </c>
      <c r="O45" s="347" t="s">
        <v>566</v>
      </c>
      <c r="P45" s="343" t="s">
        <v>1445</v>
      </c>
      <c r="Q45" s="347" t="s">
        <v>1417</v>
      </c>
      <c r="R45" s="355">
        <v>15</v>
      </c>
    </row>
    <row r="46" spans="1:18" x14ac:dyDescent="0.25">
      <c r="A46" s="354" t="s">
        <v>1411</v>
      </c>
      <c r="B46" s="344">
        <v>44219125</v>
      </c>
      <c r="C46" s="343" t="s">
        <v>1442</v>
      </c>
      <c r="D46" s="343" t="s">
        <v>1407</v>
      </c>
      <c r="E46" s="343" t="s">
        <v>1436</v>
      </c>
      <c r="F46" s="345">
        <v>151.5</v>
      </c>
      <c r="G46" s="346">
        <v>1964</v>
      </c>
      <c r="H46" s="346">
        <v>6</v>
      </c>
      <c r="I46" s="346">
        <v>6</v>
      </c>
      <c r="J46" s="346">
        <v>7</v>
      </c>
      <c r="K46" s="347" t="s">
        <v>637</v>
      </c>
      <c r="L46" s="347" t="s">
        <v>1405</v>
      </c>
      <c r="M46" s="347" t="s">
        <v>1444</v>
      </c>
      <c r="N46" s="347" t="s">
        <v>1434</v>
      </c>
      <c r="O46" s="347" t="s">
        <v>566</v>
      </c>
      <c r="P46" s="343" t="s">
        <v>1443</v>
      </c>
      <c r="Q46" s="347" t="s">
        <v>1401</v>
      </c>
      <c r="R46" s="355">
        <v>10</v>
      </c>
    </row>
    <row r="47" spans="1:18" ht="26.25" x14ac:dyDescent="0.25">
      <c r="A47" s="356" t="s">
        <v>1409</v>
      </c>
      <c r="B47" s="349">
        <v>44219126</v>
      </c>
      <c r="C47" s="348" t="s">
        <v>1442</v>
      </c>
      <c r="D47" s="348" t="s">
        <v>1407</v>
      </c>
      <c r="E47" s="348" t="s">
        <v>1436</v>
      </c>
      <c r="F47" s="350">
        <v>151.5</v>
      </c>
      <c r="G47" s="351">
        <v>1964</v>
      </c>
      <c r="H47" s="351">
        <v>6</v>
      </c>
      <c r="I47" s="351">
        <v>6</v>
      </c>
      <c r="J47" s="351">
        <v>7</v>
      </c>
      <c r="K47" s="352" t="s">
        <v>637</v>
      </c>
      <c r="L47" s="352" t="s">
        <v>1405</v>
      </c>
      <c r="M47" s="352" t="s">
        <v>1441</v>
      </c>
      <c r="N47" s="352" t="s">
        <v>1434</v>
      </c>
      <c r="O47" s="352" t="s">
        <v>566</v>
      </c>
      <c r="P47" s="348" t="s">
        <v>1440</v>
      </c>
      <c r="Q47" s="347" t="s">
        <v>1422</v>
      </c>
      <c r="R47" s="355">
        <v>5</v>
      </c>
    </row>
    <row r="48" spans="1:18" x14ac:dyDescent="0.25">
      <c r="A48" s="354" t="s">
        <v>1411</v>
      </c>
      <c r="B48" s="344">
        <v>44230125</v>
      </c>
      <c r="C48" s="343" t="s">
        <v>1437</v>
      </c>
      <c r="D48" s="343" t="s">
        <v>1407</v>
      </c>
      <c r="E48" s="343" t="s">
        <v>1436</v>
      </c>
      <c r="F48" s="345">
        <v>119.00000688976399</v>
      </c>
      <c r="G48" s="346">
        <v>1964</v>
      </c>
      <c r="H48" s="346">
        <v>7</v>
      </c>
      <c r="I48" s="346">
        <v>7</v>
      </c>
      <c r="J48" s="346">
        <v>7</v>
      </c>
      <c r="K48" s="347" t="s">
        <v>637</v>
      </c>
      <c r="L48" s="347" t="s">
        <v>1439</v>
      </c>
      <c r="M48" s="347" t="s">
        <v>637</v>
      </c>
      <c r="N48" s="347" t="s">
        <v>1434</v>
      </c>
      <c r="O48" s="347" t="s">
        <v>565</v>
      </c>
      <c r="P48" s="343" t="s">
        <v>1438</v>
      </c>
      <c r="Q48" s="347" t="s">
        <v>1401</v>
      </c>
      <c r="R48" s="355">
        <v>10</v>
      </c>
    </row>
    <row r="49" spans="1:18" x14ac:dyDescent="0.25">
      <c r="A49" s="354" t="s">
        <v>1409</v>
      </c>
      <c r="B49" s="344">
        <v>44230126</v>
      </c>
      <c r="C49" s="343" t="s">
        <v>1437</v>
      </c>
      <c r="D49" s="343" t="s">
        <v>1407</v>
      </c>
      <c r="E49" s="343" t="s">
        <v>1436</v>
      </c>
      <c r="F49" s="345">
        <v>119.00000688976399</v>
      </c>
      <c r="G49" s="346">
        <v>1964</v>
      </c>
      <c r="H49" s="346">
        <v>7</v>
      </c>
      <c r="I49" s="346">
        <v>7</v>
      </c>
      <c r="J49" s="346">
        <v>7</v>
      </c>
      <c r="K49" s="347" t="s">
        <v>637</v>
      </c>
      <c r="L49" s="347" t="s">
        <v>1435</v>
      </c>
      <c r="M49" s="347" t="s">
        <v>637</v>
      </c>
      <c r="N49" s="347" t="s">
        <v>1434</v>
      </c>
      <c r="O49" s="347" t="s">
        <v>565</v>
      </c>
      <c r="P49" s="343" t="s">
        <v>1433</v>
      </c>
      <c r="Q49" s="347" t="s">
        <v>1401</v>
      </c>
      <c r="R49" s="355">
        <v>10</v>
      </c>
    </row>
    <row r="50" spans="1:18" x14ac:dyDescent="0.25">
      <c r="A50" s="354" t="s">
        <v>1411</v>
      </c>
      <c r="B50" s="353">
        <v>50020141</v>
      </c>
      <c r="C50" s="343" t="s">
        <v>1429</v>
      </c>
      <c r="D50" s="343" t="s">
        <v>1407</v>
      </c>
      <c r="E50" s="343" t="s">
        <v>1406</v>
      </c>
      <c r="F50" s="345">
        <v>189.25</v>
      </c>
      <c r="G50" s="346">
        <v>1964</v>
      </c>
      <c r="H50" s="346">
        <v>6</v>
      </c>
      <c r="I50" s="346">
        <v>4</v>
      </c>
      <c r="J50" s="346">
        <v>6</v>
      </c>
      <c r="K50" s="347" t="s">
        <v>637</v>
      </c>
      <c r="L50" s="347" t="s">
        <v>1432</v>
      </c>
      <c r="M50" s="347" t="s">
        <v>637</v>
      </c>
      <c r="N50" s="347" t="s">
        <v>1427</v>
      </c>
      <c r="O50" s="347" t="s">
        <v>1431</v>
      </c>
      <c r="P50" s="343" t="s">
        <v>1430</v>
      </c>
      <c r="Q50" s="347" t="s">
        <v>1401</v>
      </c>
      <c r="R50" s="355">
        <v>10</v>
      </c>
    </row>
    <row r="51" spans="1:18" x14ac:dyDescent="0.25">
      <c r="A51" s="354" t="s">
        <v>1409</v>
      </c>
      <c r="B51" s="344">
        <v>50020142</v>
      </c>
      <c r="C51" s="343" t="s">
        <v>1429</v>
      </c>
      <c r="D51" s="343" t="s">
        <v>1407</v>
      </c>
      <c r="E51" s="343" t="s">
        <v>1406</v>
      </c>
      <c r="F51" s="345">
        <v>189.25</v>
      </c>
      <c r="G51" s="346">
        <v>1964</v>
      </c>
      <c r="H51" s="346">
        <v>6</v>
      </c>
      <c r="I51" s="346">
        <v>6</v>
      </c>
      <c r="J51" s="346">
        <v>6</v>
      </c>
      <c r="K51" s="347" t="s">
        <v>637</v>
      </c>
      <c r="L51" s="347" t="s">
        <v>1428</v>
      </c>
      <c r="M51" s="347" t="s">
        <v>637</v>
      </c>
      <c r="N51" s="347" t="s">
        <v>1427</v>
      </c>
      <c r="O51" s="347" t="s">
        <v>566</v>
      </c>
      <c r="P51" s="343" t="s">
        <v>1402</v>
      </c>
      <c r="Q51" s="347" t="s">
        <v>1401</v>
      </c>
      <c r="R51" s="355">
        <v>10</v>
      </c>
    </row>
    <row r="52" spans="1:18" x14ac:dyDescent="0.25">
      <c r="A52" s="356" t="s">
        <v>1426</v>
      </c>
      <c r="B52" s="349">
        <v>50050164</v>
      </c>
      <c r="C52" s="348" t="s">
        <v>1415</v>
      </c>
      <c r="D52" s="348" t="s">
        <v>1407</v>
      </c>
      <c r="E52" s="348" t="s">
        <v>1406</v>
      </c>
      <c r="F52" s="350">
        <v>248.25</v>
      </c>
      <c r="G52" s="351">
        <v>1963</v>
      </c>
      <c r="H52" s="351">
        <v>5</v>
      </c>
      <c r="I52" s="351">
        <v>5</v>
      </c>
      <c r="J52" s="351">
        <v>7</v>
      </c>
      <c r="K52" s="352" t="s">
        <v>637</v>
      </c>
      <c r="L52" s="352" t="s">
        <v>1425</v>
      </c>
      <c r="M52" s="352" t="s">
        <v>637</v>
      </c>
      <c r="N52" s="352" t="s">
        <v>1424</v>
      </c>
      <c r="O52" s="352" t="s">
        <v>566</v>
      </c>
      <c r="P52" s="348" t="s">
        <v>1423</v>
      </c>
      <c r="Q52" s="347" t="s">
        <v>1422</v>
      </c>
      <c r="R52" s="355">
        <v>5</v>
      </c>
    </row>
    <row r="53" spans="1:18" x14ac:dyDescent="0.25">
      <c r="A53" s="354" t="s">
        <v>1421</v>
      </c>
      <c r="B53" s="344">
        <v>50070165</v>
      </c>
      <c r="C53" s="343" t="s">
        <v>1415</v>
      </c>
      <c r="D53" s="343" t="s">
        <v>1407</v>
      </c>
      <c r="E53" s="343" t="s">
        <v>1406</v>
      </c>
      <c r="F53" s="345">
        <v>254.000015419947</v>
      </c>
      <c r="G53" s="346">
        <v>1963</v>
      </c>
      <c r="H53" s="346">
        <v>7</v>
      </c>
      <c r="I53" s="346">
        <v>6</v>
      </c>
      <c r="J53" s="346">
        <v>6</v>
      </c>
      <c r="K53" s="347" t="s">
        <v>637</v>
      </c>
      <c r="L53" s="347" t="s">
        <v>1420</v>
      </c>
      <c r="M53" s="347" t="s">
        <v>637</v>
      </c>
      <c r="N53" s="347" t="s">
        <v>1419</v>
      </c>
      <c r="O53" s="347" t="s">
        <v>566</v>
      </c>
      <c r="P53" s="343" t="s">
        <v>1418</v>
      </c>
      <c r="Q53" s="347" t="s">
        <v>1417</v>
      </c>
      <c r="R53" s="355">
        <v>15</v>
      </c>
    </row>
    <row r="54" spans="1:18" x14ac:dyDescent="0.25">
      <c r="A54" s="354" t="s">
        <v>1416</v>
      </c>
      <c r="B54" s="344">
        <v>50090165</v>
      </c>
      <c r="C54" s="343" t="s">
        <v>1415</v>
      </c>
      <c r="D54" s="343" t="s">
        <v>1407</v>
      </c>
      <c r="E54" s="343" t="s">
        <v>1406</v>
      </c>
      <c r="F54" s="345">
        <v>254</v>
      </c>
      <c r="G54" s="346">
        <v>1963</v>
      </c>
      <c r="H54" s="346">
        <v>6</v>
      </c>
      <c r="I54" s="346">
        <v>5</v>
      </c>
      <c r="J54" s="346">
        <v>6</v>
      </c>
      <c r="K54" s="347" t="s">
        <v>637</v>
      </c>
      <c r="L54" s="347" t="s">
        <v>1414</v>
      </c>
      <c r="M54" s="347" t="s">
        <v>637</v>
      </c>
      <c r="N54" s="347" t="s">
        <v>1413</v>
      </c>
      <c r="O54" s="347" t="s">
        <v>566</v>
      </c>
      <c r="P54" s="343" t="s">
        <v>1412</v>
      </c>
      <c r="Q54" s="347" t="s">
        <v>1401</v>
      </c>
      <c r="R54" s="355">
        <v>10</v>
      </c>
    </row>
    <row r="55" spans="1:18" x14ac:dyDescent="0.25">
      <c r="A55" s="354" t="s">
        <v>1411</v>
      </c>
      <c r="B55" s="344">
        <v>50114165</v>
      </c>
      <c r="C55" s="343" t="s">
        <v>1408</v>
      </c>
      <c r="D55" s="343" t="s">
        <v>1407</v>
      </c>
      <c r="E55" s="343" t="s">
        <v>1406</v>
      </c>
      <c r="F55" s="345">
        <v>163.31299212598401</v>
      </c>
      <c r="G55" s="346">
        <v>1962</v>
      </c>
      <c r="H55" s="346">
        <v>6</v>
      </c>
      <c r="I55" s="346">
        <v>6</v>
      </c>
      <c r="J55" s="346">
        <v>6</v>
      </c>
      <c r="K55" s="347" t="s">
        <v>637</v>
      </c>
      <c r="L55" s="347" t="s">
        <v>1405</v>
      </c>
      <c r="M55" s="347" t="s">
        <v>1404</v>
      </c>
      <c r="N55" s="347" t="s">
        <v>1403</v>
      </c>
      <c r="O55" s="347" t="s">
        <v>566</v>
      </c>
      <c r="P55" s="343" t="s">
        <v>1410</v>
      </c>
      <c r="Q55" s="347" t="s">
        <v>1401</v>
      </c>
      <c r="R55" s="355">
        <v>10</v>
      </c>
    </row>
    <row r="56" spans="1:18" ht="15.75" thickBot="1" x14ac:dyDescent="0.3">
      <c r="A56" s="357" t="s">
        <v>1409</v>
      </c>
      <c r="B56" s="529">
        <v>50114166</v>
      </c>
      <c r="C56" s="358" t="s">
        <v>1408</v>
      </c>
      <c r="D56" s="358" t="s">
        <v>1407</v>
      </c>
      <c r="E56" s="358" t="s">
        <v>1406</v>
      </c>
      <c r="F56" s="359">
        <v>163.31299212598401</v>
      </c>
      <c r="G56" s="360">
        <v>1962</v>
      </c>
      <c r="H56" s="360">
        <v>6</v>
      </c>
      <c r="I56" s="360">
        <v>6</v>
      </c>
      <c r="J56" s="360">
        <v>6</v>
      </c>
      <c r="K56" s="361" t="s">
        <v>637</v>
      </c>
      <c r="L56" s="361" t="s">
        <v>1405</v>
      </c>
      <c r="M56" s="361" t="s">
        <v>1404</v>
      </c>
      <c r="N56" s="361" t="s">
        <v>1403</v>
      </c>
      <c r="O56" s="361" t="s">
        <v>566</v>
      </c>
      <c r="P56" s="358" t="s">
        <v>1402</v>
      </c>
      <c r="Q56" s="361" t="s">
        <v>1401</v>
      </c>
      <c r="R56" s="362">
        <v>10</v>
      </c>
    </row>
  </sheetData>
  <autoFilter ref="R1:R2" xr:uid="{B6BAD43E-80AB-4C75-9C93-83C2DBF96232}"/>
  <mergeCells count="2">
    <mergeCell ref="A1:O1"/>
    <mergeCell ref="A2:O2"/>
  </mergeCells>
  <pageMargins left="0.75" right="0.75" top="1" bottom="1" header="0.5" footer="0.5"/>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1D7B-B02F-4C86-9FC0-56238F53B19C}">
  <sheetPr>
    <tabColor theme="1"/>
  </sheetPr>
  <dimension ref="A1:N66"/>
  <sheetViews>
    <sheetView topLeftCell="B1" zoomScale="85" zoomScaleNormal="85" workbookViewId="0">
      <selection activeCell="B65" sqref="B65:H68"/>
    </sheetView>
  </sheetViews>
  <sheetFormatPr defaultRowHeight="12.75" x14ac:dyDescent="0.25"/>
  <cols>
    <col min="1" max="1" width="13.28515625" style="176" customWidth="1"/>
    <col min="2" max="2" width="10.85546875" style="176" bestFit="1" customWidth="1"/>
    <col min="3" max="3" width="37.85546875" style="176" customWidth="1"/>
    <col min="4" max="4" width="19" style="176" customWidth="1"/>
    <col min="5" max="5" width="16.5703125" style="176" customWidth="1"/>
    <col min="6" max="6" width="15" style="176" bestFit="1" customWidth="1"/>
    <col min="7" max="7" width="13.7109375" style="176" bestFit="1" customWidth="1"/>
    <col min="8" max="8" width="18.28515625" style="176" bestFit="1" customWidth="1"/>
    <col min="9" max="9" width="18.85546875" style="176" customWidth="1"/>
    <col min="10" max="10" width="16.28515625" style="176" bestFit="1" customWidth="1"/>
    <col min="11" max="11" width="11.5703125" style="176" customWidth="1"/>
    <col min="12" max="12" width="15.85546875" style="176" customWidth="1"/>
    <col min="13" max="13" width="16" style="176" customWidth="1"/>
    <col min="14" max="14" width="16.140625" style="176" bestFit="1" customWidth="1"/>
    <col min="15" max="16384" width="9.140625" style="176"/>
  </cols>
  <sheetData>
    <row r="1" spans="1:10" s="254" customFormat="1" ht="13.5" thickBot="1" x14ac:dyDescent="0.3">
      <c r="A1" s="256" t="s">
        <v>358</v>
      </c>
      <c r="B1" s="256" t="s">
        <v>357</v>
      </c>
      <c r="C1" s="256" t="s">
        <v>356</v>
      </c>
      <c r="D1" s="256" t="s">
        <v>355</v>
      </c>
      <c r="E1" s="256" t="s">
        <v>354</v>
      </c>
      <c r="F1" s="256" t="s">
        <v>353</v>
      </c>
      <c r="G1" s="255" t="s">
        <v>352</v>
      </c>
      <c r="H1" s="255" t="s">
        <v>351</v>
      </c>
      <c r="I1" s="255" t="s">
        <v>350</v>
      </c>
      <c r="J1" s="255" t="s">
        <v>349</v>
      </c>
    </row>
    <row r="2" spans="1:10" ht="13.5" thickTop="1" x14ac:dyDescent="0.25">
      <c r="A2" s="193" t="s">
        <v>348</v>
      </c>
      <c r="B2" s="193" t="s">
        <v>347</v>
      </c>
      <c r="C2" s="193" t="s">
        <v>346</v>
      </c>
      <c r="D2" s="253">
        <v>6.07</v>
      </c>
      <c r="E2" s="252">
        <f>C61</f>
        <v>210087.67999999999</v>
      </c>
      <c r="F2" s="251">
        <f t="shared" ref="F2:F33" si="0">E2*D2</f>
        <v>1275232.2176000001</v>
      </c>
      <c r="G2" s="244"/>
      <c r="H2" s="244"/>
      <c r="I2" s="244"/>
      <c r="J2" s="176" t="s">
        <v>345</v>
      </c>
    </row>
    <row r="3" spans="1:10" x14ac:dyDescent="0.25">
      <c r="A3" s="188" t="s">
        <v>344</v>
      </c>
      <c r="B3" s="188" t="s">
        <v>324</v>
      </c>
      <c r="C3" s="188" t="s">
        <v>343</v>
      </c>
      <c r="D3" s="250">
        <v>3.25</v>
      </c>
      <c r="E3" s="235">
        <v>350000</v>
      </c>
      <c r="F3" s="217">
        <f t="shared" si="0"/>
        <v>1137500</v>
      </c>
      <c r="G3" s="244"/>
      <c r="H3" s="244"/>
      <c r="I3" s="244"/>
      <c r="J3" s="176" t="s">
        <v>342</v>
      </c>
    </row>
    <row r="4" spans="1:10" x14ac:dyDescent="0.25">
      <c r="A4" s="249" t="s">
        <v>341</v>
      </c>
      <c r="B4" s="249" t="s">
        <v>324</v>
      </c>
      <c r="C4" s="249" t="s">
        <v>340</v>
      </c>
      <c r="D4" s="248">
        <v>5</v>
      </c>
      <c r="E4" s="235">
        <v>44000</v>
      </c>
      <c r="F4" s="217">
        <f t="shared" si="0"/>
        <v>220000</v>
      </c>
      <c r="G4" s="244"/>
      <c r="H4" s="244"/>
      <c r="I4" s="244"/>
      <c r="J4" s="176" t="s">
        <v>339</v>
      </c>
    </row>
    <row r="5" spans="1:10" x14ac:dyDescent="0.25">
      <c r="A5" s="229" t="s">
        <v>338</v>
      </c>
      <c r="B5" s="220" t="s">
        <v>337</v>
      </c>
      <c r="C5" s="221" t="s">
        <v>336</v>
      </c>
      <c r="D5" s="219">
        <v>22.919</v>
      </c>
      <c r="E5" s="235">
        <f>E61</f>
        <v>2437.1842032</v>
      </c>
      <c r="F5" s="217">
        <f t="shared" si="0"/>
        <v>55857.824753140798</v>
      </c>
      <c r="G5" s="244"/>
      <c r="H5" s="244"/>
    </row>
    <row r="6" spans="1:10" x14ac:dyDescent="0.25">
      <c r="A6" s="247" t="s">
        <v>335</v>
      </c>
      <c r="B6" s="188" t="s">
        <v>334</v>
      </c>
      <c r="C6" s="188" t="s">
        <v>333</v>
      </c>
      <c r="D6" s="219">
        <v>20823.125</v>
      </c>
      <c r="E6" s="246">
        <f>B48</f>
        <v>14.920999999999999</v>
      </c>
      <c r="F6" s="217">
        <f t="shared" si="0"/>
        <v>310701.84812499996</v>
      </c>
      <c r="G6" s="244"/>
      <c r="H6" s="244"/>
      <c r="J6" s="244" t="s">
        <v>332</v>
      </c>
    </row>
    <row r="7" spans="1:10" x14ac:dyDescent="0.2">
      <c r="A7" s="236" t="s">
        <v>331</v>
      </c>
      <c r="B7" s="236" t="s">
        <v>312</v>
      </c>
      <c r="C7" s="236" t="s">
        <v>330</v>
      </c>
      <c r="D7" s="245">
        <v>7</v>
      </c>
      <c r="E7" s="235">
        <f>E65</f>
        <v>165444.04800000001</v>
      </c>
      <c r="F7" s="217">
        <f t="shared" si="0"/>
        <v>1158108.3360000001</v>
      </c>
      <c r="G7" s="244"/>
      <c r="H7" s="244"/>
      <c r="J7" s="176" t="s">
        <v>329</v>
      </c>
    </row>
    <row r="8" spans="1:10" x14ac:dyDescent="0.25">
      <c r="A8" s="229" t="s">
        <v>328</v>
      </c>
      <c r="B8" s="183" t="s">
        <v>312</v>
      </c>
      <c r="C8" s="183" t="s">
        <v>327</v>
      </c>
      <c r="D8" s="243">
        <v>16</v>
      </c>
      <c r="E8" s="235">
        <f>E66</f>
        <v>37654.63559999998</v>
      </c>
      <c r="F8" s="217">
        <f t="shared" si="0"/>
        <v>602474.16959999967</v>
      </c>
      <c r="J8" s="176" t="s">
        <v>326</v>
      </c>
    </row>
    <row r="9" spans="1:10" x14ac:dyDescent="0.2">
      <c r="A9" s="237" t="s">
        <v>325</v>
      </c>
      <c r="B9" s="236" t="s">
        <v>324</v>
      </c>
      <c r="C9" s="236" t="s">
        <v>323</v>
      </c>
      <c r="D9" s="223">
        <v>6</v>
      </c>
      <c r="E9" s="235">
        <v>300000</v>
      </c>
      <c r="F9" s="217">
        <f t="shared" si="0"/>
        <v>1800000</v>
      </c>
    </row>
    <row r="10" spans="1:10" x14ac:dyDescent="0.25">
      <c r="A10" s="188" t="s">
        <v>322</v>
      </c>
      <c r="B10" s="188" t="s">
        <v>300</v>
      </c>
      <c r="C10" s="188" t="s">
        <v>321</v>
      </c>
      <c r="D10" s="219">
        <v>7</v>
      </c>
      <c r="E10" s="235">
        <f>D61</f>
        <v>165444.04800000001</v>
      </c>
      <c r="F10" s="217">
        <f t="shared" si="0"/>
        <v>1158108.3360000001</v>
      </c>
      <c r="J10" s="176" t="s">
        <v>320</v>
      </c>
    </row>
    <row r="11" spans="1:10" x14ac:dyDescent="0.25">
      <c r="A11" s="242" t="s">
        <v>319</v>
      </c>
      <c r="B11" s="242" t="s">
        <v>300</v>
      </c>
      <c r="C11" s="242" t="s">
        <v>318</v>
      </c>
      <c r="D11" s="241">
        <v>600</v>
      </c>
      <c r="E11" s="235">
        <f>I61</f>
        <v>1136.8369583999997</v>
      </c>
      <c r="F11" s="217">
        <f t="shared" si="0"/>
        <v>682102.17503999989</v>
      </c>
      <c r="J11" s="176" t="s">
        <v>317</v>
      </c>
    </row>
    <row r="12" spans="1:10" x14ac:dyDescent="0.2">
      <c r="A12" s="239" t="s">
        <v>316</v>
      </c>
      <c r="B12" s="239" t="s">
        <v>312</v>
      </c>
      <c r="C12" s="239" t="s">
        <v>315</v>
      </c>
      <c r="D12" s="240">
        <v>45</v>
      </c>
      <c r="E12" s="235">
        <f>H61</f>
        <v>18947.282639999998</v>
      </c>
      <c r="F12" s="217">
        <f t="shared" si="0"/>
        <v>852627.71879999992</v>
      </c>
      <c r="J12" s="176" t="s">
        <v>314</v>
      </c>
    </row>
    <row r="13" spans="1:10" x14ac:dyDescent="0.2">
      <c r="A13" s="237" t="s">
        <v>313</v>
      </c>
      <c r="B13" s="236" t="s">
        <v>312</v>
      </c>
      <c r="C13" s="236" t="s">
        <v>311</v>
      </c>
      <c r="D13" s="223">
        <v>126.304</v>
      </c>
      <c r="E13" s="235">
        <v>9500</v>
      </c>
      <c r="F13" s="217">
        <f t="shared" si="0"/>
        <v>1199888</v>
      </c>
    </row>
    <row r="14" spans="1:10" x14ac:dyDescent="0.25">
      <c r="A14" s="229" t="s">
        <v>310</v>
      </c>
      <c r="B14" s="220" t="s">
        <v>300</v>
      </c>
      <c r="C14" s="220" t="s">
        <v>309</v>
      </c>
      <c r="D14" s="219">
        <v>208.739</v>
      </c>
      <c r="E14" s="235">
        <f>L61</f>
        <v>189.47282639999997</v>
      </c>
      <c r="F14" s="217">
        <f t="shared" si="0"/>
        <v>39550.368309909594</v>
      </c>
      <c r="J14" s="176" t="s">
        <v>308</v>
      </c>
    </row>
    <row r="15" spans="1:10" x14ac:dyDescent="0.25">
      <c r="A15" s="188" t="s">
        <v>307</v>
      </c>
      <c r="B15" s="188" t="s">
        <v>300</v>
      </c>
      <c r="C15" s="188" t="s">
        <v>306</v>
      </c>
      <c r="D15" s="219">
        <v>896.88</v>
      </c>
      <c r="E15" s="235">
        <f>N61</f>
        <v>155.59618800000001</v>
      </c>
      <c r="F15" s="217">
        <f t="shared" si="0"/>
        <v>139551.10909344</v>
      </c>
      <c r="J15" s="176" t="s">
        <v>305</v>
      </c>
    </row>
    <row r="16" spans="1:10" x14ac:dyDescent="0.25">
      <c r="A16" s="229" t="s">
        <v>304</v>
      </c>
      <c r="B16" s="220" t="s">
        <v>300</v>
      </c>
      <c r="C16" s="220" t="s">
        <v>303</v>
      </c>
      <c r="D16" s="219">
        <v>602.16399999999999</v>
      </c>
      <c r="E16" s="235">
        <f>J61</f>
        <v>27.909730499999998</v>
      </c>
      <c r="F16" s="217">
        <f t="shared" si="0"/>
        <v>16806.234956802</v>
      </c>
      <c r="J16" s="176" t="s">
        <v>302</v>
      </c>
    </row>
    <row r="17" spans="1:10" x14ac:dyDescent="0.25">
      <c r="A17" s="229" t="s">
        <v>301</v>
      </c>
      <c r="B17" s="220" t="s">
        <v>300</v>
      </c>
      <c r="C17" s="220" t="s">
        <v>299</v>
      </c>
      <c r="D17" s="219">
        <v>850.47400000000005</v>
      </c>
      <c r="E17" s="235">
        <f>K61</f>
        <v>22.327784399999999</v>
      </c>
      <c r="F17" s="217">
        <f t="shared" si="0"/>
        <v>18989.200109805599</v>
      </c>
    </row>
    <row r="18" spans="1:10" x14ac:dyDescent="0.2">
      <c r="A18" s="239" t="s">
        <v>298</v>
      </c>
      <c r="B18" s="239" t="s">
        <v>295</v>
      </c>
      <c r="C18" s="239" t="s">
        <v>297</v>
      </c>
      <c r="D18" s="238">
        <v>50</v>
      </c>
      <c r="E18" s="235">
        <f>B61</f>
        <v>227594.98666666666</v>
      </c>
      <c r="F18" s="217">
        <f t="shared" si="0"/>
        <v>11379749.333333334</v>
      </c>
    </row>
    <row r="19" spans="1:10" x14ac:dyDescent="0.2">
      <c r="A19" s="237" t="s">
        <v>296</v>
      </c>
      <c r="B19" s="236" t="s">
        <v>295</v>
      </c>
      <c r="C19" s="236" t="s">
        <v>294</v>
      </c>
      <c r="D19" s="223">
        <v>59.335000000000001</v>
      </c>
      <c r="E19" s="235">
        <v>6000</v>
      </c>
      <c r="F19" s="217">
        <f t="shared" si="0"/>
        <v>356010</v>
      </c>
    </row>
    <row r="20" spans="1:10" x14ac:dyDescent="0.25">
      <c r="A20" s="229" t="s">
        <v>293</v>
      </c>
      <c r="B20" s="220" t="s">
        <v>276</v>
      </c>
      <c r="C20" s="221" t="s">
        <v>292</v>
      </c>
      <c r="D20" s="219">
        <v>9.2129999999999992</v>
      </c>
      <c r="E20" s="185">
        <f>G61</f>
        <v>102417.74400000001</v>
      </c>
      <c r="F20" s="217">
        <f t="shared" si="0"/>
        <v>943574.67547199992</v>
      </c>
    </row>
    <row r="21" spans="1:10" x14ac:dyDescent="0.25">
      <c r="A21" s="229" t="s">
        <v>291</v>
      </c>
      <c r="B21" s="220" t="s">
        <v>290</v>
      </c>
      <c r="C21" s="220" t="s">
        <v>289</v>
      </c>
      <c r="D21" s="219">
        <v>19816.819</v>
      </c>
      <c r="E21" s="226">
        <v>18</v>
      </c>
      <c r="F21" s="217">
        <f t="shared" si="0"/>
        <v>356702.74199999997</v>
      </c>
      <c r="J21" s="176" t="s">
        <v>288</v>
      </c>
    </row>
    <row r="22" spans="1:10" x14ac:dyDescent="0.25">
      <c r="A22" s="229" t="s">
        <v>287</v>
      </c>
      <c r="B22" s="220" t="s">
        <v>276</v>
      </c>
      <c r="C22" s="220" t="s">
        <v>286</v>
      </c>
      <c r="D22" s="219">
        <v>13299.57</v>
      </c>
      <c r="E22" s="226">
        <v>1</v>
      </c>
      <c r="F22" s="217">
        <f t="shared" si="0"/>
        <v>13299.57</v>
      </c>
    </row>
    <row r="23" spans="1:10" x14ac:dyDescent="0.2">
      <c r="A23" s="232" t="s">
        <v>285</v>
      </c>
      <c r="B23" s="224" t="s">
        <v>284</v>
      </c>
      <c r="C23" s="234" t="s">
        <v>283</v>
      </c>
      <c r="D23" s="223">
        <v>10.018000000000001</v>
      </c>
      <c r="E23" s="226">
        <v>157565</v>
      </c>
      <c r="F23" s="217">
        <f t="shared" si="0"/>
        <v>1578486.1700000002</v>
      </c>
      <c r="J23" s="176" t="s">
        <v>282</v>
      </c>
    </row>
    <row r="24" spans="1:10" x14ac:dyDescent="0.2">
      <c r="A24" s="232" t="s">
        <v>281</v>
      </c>
      <c r="B24" s="233" t="s">
        <v>280</v>
      </c>
      <c r="C24" s="233" t="s">
        <v>279</v>
      </c>
      <c r="D24" s="223">
        <v>378.86900000000003</v>
      </c>
      <c r="E24" s="226">
        <v>315</v>
      </c>
      <c r="F24" s="217">
        <f t="shared" si="0"/>
        <v>119343.73500000002</v>
      </c>
      <c r="J24" s="176" t="s">
        <v>278</v>
      </c>
    </row>
    <row r="25" spans="1:10" x14ac:dyDescent="0.2">
      <c r="A25" s="232" t="s">
        <v>277</v>
      </c>
      <c r="B25" s="224" t="s">
        <v>276</v>
      </c>
      <c r="C25" s="231" t="s">
        <v>275</v>
      </c>
      <c r="D25" s="223">
        <v>413.21899999999999</v>
      </c>
      <c r="E25" s="226">
        <v>315</v>
      </c>
      <c r="F25" s="217">
        <f t="shared" si="0"/>
        <v>130163.985</v>
      </c>
      <c r="J25" s="176" t="s">
        <v>274</v>
      </c>
    </row>
    <row r="26" spans="1:10" x14ac:dyDescent="0.25">
      <c r="A26" s="229" t="s">
        <v>273</v>
      </c>
      <c r="B26" s="220" t="s">
        <v>266</v>
      </c>
      <c r="C26" s="220" t="s">
        <v>272</v>
      </c>
      <c r="D26" s="219">
        <v>1000</v>
      </c>
      <c r="E26" s="230">
        <f>0.07/1000*SUM(F2:F25,F27:F33)</f>
        <v>2364.6895707535405</v>
      </c>
      <c r="F26" s="217">
        <f t="shared" si="0"/>
        <v>2364689.5707535404</v>
      </c>
    </row>
    <row r="27" spans="1:10" x14ac:dyDescent="0.25">
      <c r="A27" s="229" t="s">
        <v>271</v>
      </c>
      <c r="B27" s="220" t="s">
        <v>266</v>
      </c>
      <c r="C27" s="220" t="s">
        <v>270</v>
      </c>
      <c r="D27" s="219">
        <v>1000</v>
      </c>
      <c r="E27" s="226">
        <v>260</v>
      </c>
      <c r="F27" s="217">
        <f t="shared" si="0"/>
        <v>260000</v>
      </c>
    </row>
    <row r="28" spans="1:10" s="227" customFormat="1" x14ac:dyDescent="0.2">
      <c r="A28" s="224" t="s">
        <v>269</v>
      </c>
      <c r="B28" s="224" t="s">
        <v>266</v>
      </c>
      <c r="C28" s="224" t="s">
        <v>268</v>
      </c>
      <c r="D28" s="223">
        <v>1000</v>
      </c>
      <c r="E28" s="228">
        <v>6000</v>
      </c>
      <c r="F28" s="217">
        <f t="shared" si="0"/>
        <v>6000000</v>
      </c>
      <c r="J28" s="176"/>
    </row>
    <row r="29" spans="1:10" x14ac:dyDescent="0.2">
      <c r="A29" s="224" t="s">
        <v>267</v>
      </c>
      <c r="B29" s="224" t="s">
        <v>266</v>
      </c>
      <c r="C29" s="224" t="s">
        <v>265</v>
      </c>
      <c r="D29" s="223">
        <v>1000</v>
      </c>
      <c r="E29" s="226">
        <v>330</v>
      </c>
      <c r="F29" s="217">
        <f t="shared" si="0"/>
        <v>330000</v>
      </c>
      <c r="J29" s="176" t="s">
        <v>264</v>
      </c>
    </row>
    <row r="30" spans="1:10" x14ac:dyDescent="0.25">
      <c r="A30" s="225" t="s">
        <v>263</v>
      </c>
      <c r="B30" s="220" t="s">
        <v>262</v>
      </c>
      <c r="C30" s="220" t="s">
        <v>261</v>
      </c>
      <c r="D30" s="219">
        <v>40000</v>
      </c>
      <c r="E30" s="222">
        <v>7.5</v>
      </c>
      <c r="F30" s="217">
        <f t="shared" si="0"/>
        <v>300000</v>
      </c>
      <c r="I30" s="176" t="s">
        <v>260</v>
      </c>
    </row>
    <row r="31" spans="1:10" x14ac:dyDescent="0.2">
      <c r="A31" s="224" t="s">
        <v>259</v>
      </c>
      <c r="B31" s="224" t="s">
        <v>258</v>
      </c>
      <c r="C31" s="224" t="s">
        <v>257</v>
      </c>
      <c r="D31" s="223">
        <v>34093</v>
      </c>
      <c r="E31" s="222">
        <v>4</v>
      </c>
      <c r="F31" s="217">
        <f t="shared" si="0"/>
        <v>136372</v>
      </c>
    </row>
    <row r="32" spans="1:10" x14ac:dyDescent="0.25">
      <c r="A32" s="183" t="s">
        <v>256</v>
      </c>
      <c r="B32" s="220" t="s">
        <v>253</v>
      </c>
      <c r="C32" s="221" t="s">
        <v>255</v>
      </c>
      <c r="D32" s="219">
        <v>78673</v>
      </c>
      <c r="E32" s="218">
        <f>B48</f>
        <v>14.920999999999999</v>
      </c>
      <c r="F32" s="217">
        <f t="shared" si="0"/>
        <v>1173879.8329999999</v>
      </c>
    </row>
    <row r="33" spans="1:14" x14ac:dyDescent="0.25">
      <c r="A33" s="220" t="s">
        <v>254</v>
      </c>
      <c r="B33" s="220" t="s">
        <v>253</v>
      </c>
      <c r="C33" s="220" t="s">
        <v>252</v>
      </c>
      <c r="D33" s="219">
        <v>1810</v>
      </c>
      <c r="E33" s="218">
        <v>20</v>
      </c>
      <c r="F33" s="217">
        <f t="shared" si="0"/>
        <v>36200</v>
      </c>
    </row>
    <row r="34" spans="1:14" x14ac:dyDescent="0.25">
      <c r="A34" s="198"/>
    </row>
    <row r="35" spans="1:14" x14ac:dyDescent="0.25">
      <c r="A35" s="198"/>
      <c r="D35" s="214" t="s">
        <v>251</v>
      </c>
      <c r="F35" s="209">
        <f>SUM(F2:F33)</f>
        <v>36145969.152946971</v>
      </c>
    </row>
    <row r="36" spans="1:14" x14ac:dyDescent="0.25">
      <c r="A36" s="198"/>
      <c r="D36" s="214" t="s">
        <v>250</v>
      </c>
      <c r="E36" s="216">
        <v>0</v>
      </c>
      <c r="F36" s="209">
        <f>F35*(1+E36)</f>
        <v>36145969.152946971</v>
      </c>
    </row>
    <row r="37" spans="1:14" x14ac:dyDescent="0.25">
      <c r="A37" s="198"/>
      <c r="D37" s="176" t="s">
        <v>249</v>
      </c>
      <c r="E37" s="215">
        <v>0.02</v>
      </c>
      <c r="F37" s="209">
        <f>E37*F36</f>
        <v>722919.38305893948</v>
      </c>
    </row>
    <row r="38" spans="1:14" ht="15.75" x14ac:dyDescent="0.25">
      <c r="A38" s="198"/>
      <c r="D38" s="211" t="s">
        <v>248</v>
      </c>
      <c r="E38" s="215">
        <v>2.5000000000000001E-2</v>
      </c>
      <c r="F38" s="209">
        <f>E38*F36</f>
        <v>903649.22882367438</v>
      </c>
    </row>
    <row r="39" spans="1:14" ht="15.75" x14ac:dyDescent="0.25">
      <c r="A39" s="198"/>
      <c r="C39" s="214"/>
      <c r="D39" s="211" t="s">
        <v>247</v>
      </c>
      <c r="E39" s="213">
        <v>3.5000000000000003E-2</v>
      </c>
      <c r="F39" s="209">
        <f>E39*F36</f>
        <v>1265108.9203531442</v>
      </c>
      <c r="J39" s="209"/>
    </row>
    <row r="40" spans="1:14" ht="15.75" x14ac:dyDescent="0.25">
      <c r="A40" s="198"/>
      <c r="D40" s="211" t="s">
        <v>246</v>
      </c>
      <c r="E40" s="212">
        <v>0</v>
      </c>
      <c r="F40" s="209">
        <f>1000*E40</f>
        <v>0</v>
      </c>
    </row>
    <row r="41" spans="1:14" ht="15.75" x14ac:dyDescent="0.25">
      <c r="A41" s="198"/>
      <c r="D41" s="211" t="s">
        <v>245</v>
      </c>
      <c r="E41" s="212">
        <v>0</v>
      </c>
      <c r="F41" s="209">
        <f>1000*E41</f>
        <v>0</v>
      </c>
    </row>
    <row r="42" spans="1:14" ht="15.75" x14ac:dyDescent="0.25">
      <c r="A42" s="198" t="s">
        <v>244</v>
      </c>
      <c r="D42" s="211" t="s">
        <v>243</v>
      </c>
      <c r="F42" s="210">
        <f>SUM(F36:F41)</f>
        <v>39037646.685182735</v>
      </c>
      <c r="G42" s="176" t="s">
        <v>242</v>
      </c>
      <c r="J42" s="176" t="s">
        <v>241</v>
      </c>
      <c r="M42" s="176">
        <f>B48*2.2</f>
        <v>32.8262</v>
      </c>
    </row>
    <row r="43" spans="1:14" x14ac:dyDescent="0.25">
      <c r="A43" s="198"/>
    </row>
    <row r="44" spans="1:14" x14ac:dyDescent="0.25">
      <c r="A44" s="198"/>
      <c r="F44" s="209"/>
    </row>
    <row r="45" spans="1:14" ht="18" x14ac:dyDescent="0.25">
      <c r="A45" s="208" t="s">
        <v>240</v>
      </c>
    </row>
    <row r="46" spans="1:14" x14ac:dyDescent="0.25">
      <c r="A46" s="198"/>
    </row>
    <row r="47" spans="1:14" s="206" customFormat="1" ht="39" customHeight="1" thickBot="1" x14ac:dyDescent="0.25">
      <c r="A47" s="196" t="s">
        <v>225</v>
      </c>
      <c r="B47" s="207" t="s">
        <v>239</v>
      </c>
      <c r="C47" s="196" t="s">
        <v>238</v>
      </c>
      <c r="D47" s="196" t="s">
        <v>237</v>
      </c>
      <c r="E47" s="196" t="s">
        <v>236</v>
      </c>
      <c r="F47" s="196" t="s">
        <v>235</v>
      </c>
      <c r="G47" s="196" t="s">
        <v>234</v>
      </c>
      <c r="H47" s="196" t="s">
        <v>233</v>
      </c>
      <c r="I47" s="196" t="s">
        <v>232</v>
      </c>
      <c r="J47" s="196" t="s">
        <v>231</v>
      </c>
      <c r="K47" s="196" t="s">
        <v>230</v>
      </c>
      <c r="L47" s="196" t="s">
        <v>229</v>
      </c>
      <c r="M47" s="196" t="s">
        <v>228</v>
      </c>
      <c r="N47" s="196" t="s">
        <v>227</v>
      </c>
    </row>
    <row r="48" spans="1:14" x14ac:dyDescent="0.25">
      <c r="A48" s="204"/>
      <c r="B48" s="205">
        <v>14.920999999999999</v>
      </c>
      <c r="C48" s="204">
        <v>24</v>
      </c>
      <c r="D48" s="204">
        <v>3</v>
      </c>
      <c r="E48" s="204">
        <v>18</v>
      </c>
      <c r="F48" s="204">
        <v>16</v>
      </c>
      <c r="G48" s="204">
        <v>26</v>
      </c>
      <c r="H48" s="204">
        <v>5</v>
      </c>
      <c r="I48" s="204">
        <v>12</v>
      </c>
      <c r="J48" s="204">
        <v>1</v>
      </c>
      <c r="K48" s="204">
        <v>3</v>
      </c>
      <c r="L48" s="204">
        <v>13</v>
      </c>
      <c r="M48" s="203">
        <v>6</v>
      </c>
      <c r="N48" s="203">
        <v>2000</v>
      </c>
    </row>
    <row r="49" spans="1:14" x14ac:dyDescent="0.25">
      <c r="A49" s="201"/>
      <c r="B49" s="202">
        <v>0</v>
      </c>
      <c r="C49" s="201">
        <v>0</v>
      </c>
      <c r="D49" s="201"/>
      <c r="E49" s="201">
        <v>0</v>
      </c>
      <c r="F49" s="201">
        <v>0</v>
      </c>
      <c r="G49" s="201"/>
      <c r="H49" s="201">
        <v>0</v>
      </c>
      <c r="I49" s="201">
        <v>0</v>
      </c>
      <c r="J49" s="201">
        <v>0</v>
      </c>
      <c r="K49" s="201">
        <v>0</v>
      </c>
      <c r="L49" s="201">
        <v>0</v>
      </c>
      <c r="M49" s="200"/>
      <c r="N49" s="200"/>
    </row>
    <row r="50" spans="1:14" x14ac:dyDescent="0.25">
      <c r="A50" s="201"/>
      <c r="B50" s="202">
        <v>0</v>
      </c>
      <c r="C50" s="201">
        <v>0</v>
      </c>
      <c r="D50" s="201"/>
      <c r="E50" s="201">
        <v>0</v>
      </c>
      <c r="F50" s="201">
        <v>0</v>
      </c>
      <c r="G50" s="201"/>
      <c r="H50" s="201">
        <v>0</v>
      </c>
      <c r="I50" s="201">
        <v>0</v>
      </c>
      <c r="J50" s="201">
        <v>0</v>
      </c>
      <c r="K50" s="201">
        <v>0</v>
      </c>
      <c r="L50" s="201">
        <v>0</v>
      </c>
      <c r="M50" s="200"/>
      <c r="N50" s="200"/>
    </row>
    <row r="51" spans="1:14" x14ac:dyDescent="0.25">
      <c r="B51" s="199"/>
    </row>
    <row r="52" spans="1:14" x14ac:dyDescent="0.25">
      <c r="B52" s="198"/>
    </row>
    <row r="53" spans="1:14" x14ac:dyDescent="0.25">
      <c r="B53" s="198"/>
    </row>
    <row r="55" spans="1:14" x14ac:dyDescent="0.25">
      <c r="A55" s="197" t="s">
        <v>226</v>
      </c>
      <c r="B55" s="197"/>
      <c r="C55" s="197"/>
    </row>
    <row r="56" spans="1:14" s="194" customFormat="1" ht="13.5" thickBot="1" x14ac:dyDescent="0.25">
      <c r="A56" s="196" t="s">
        <v>225</v>
      </c>
      <c r="B56" s="195" t="s">
        <v>224</v>
      </c>
      <c r="C56" s="195" t="s">
        <v>223</v>
      </c>
      <c r="D56" s="195" t="s">
        <v>222</v>
      </c>
      <c r="E56" s="195" t="s">
        <v>221</v>
      </c>
      <c r="F56" s="195" t="s">
        <v>220</v>
      </c>
      <c r="G56" s="195" t="s">
        <v>219</v>
      </c>
      <c r="H56" s="195" t="s">
        <v>218</v>
      </c>
      <c r="I56" s="195" t="s">
        <v>217</v>
      </c>
      <c r="J56" s="195" t="s">
        <v>216</v>
      </c>
      <c r="K56" s="195" t="s">
        <v>215</v>
      </c>
      <c r="L56" s="195" t="s">
        <v>214</v>
      </c>
      <c r="M56" s="195" t="s">
        <v>213</v>
      </c>
      <c r="N56" s="195" t="s">
        <v>212</v>
      </c>
    </row>
    <row r="57" spans="1:14" x14ac:dyDescent="0.25">
      <c r="A57" s="193">
        <f>A48</f>
        <v>0</v>
      </c>
      <c r="B57" s="192">
        <f>B48*G48*5280/9</f>
        <v>227594.98666666666</v>
      </c>
      <c r="C57" s="192">
        <f>B48*C48*5280/9</f>
        <v>210087.67999999999</v>
      </c>
      <c r="D57" s="190">
        <f>(30.8*B48*E48*F48)+(30.8*B48*C48*D48)</f>
        <v>165444.04800000001</v>
      </c>
      <c r="E57" s="190">
        <f>0.012*(F57+M57)</f>
        <v>2437.1842032</v>
      </c>
      <c r="F57" s="190">
        <f>B57*H48/36*1.89</f>
        <v>59743.684000000001</v>
      </c>
      <c r="G57" s="190">
        <f>0.45*B57</f>
        <v>102417.74400000001</v>
      </c>
      <c r="H57" s="191">
        <f>32.56*(I48+J48)*B48*K48</f>
        <v>18947.282639999998</v>
      </c>
      <c r="I57" s="190">
        <f>0.06*H57</f>
        <v>1136.8369583999997</v>
      </c>
      <c r="J57" s="190">
        <f>0.1247*(I48+J48*2+1)*B48</f>
        <v>27.909730499999998</v>
      </c>
      <c r="K57" s="190">
        <f>0.1247*I48*B48</f>
        <v>22.327784399999999</v>
      </c>
      <c r="L57" s="190">
        <f>0.01*H57</f>
        <v>189.47282639999997</v>
      </c>
      <c r="M57" s="189">
        <f>B48*(I48+J48+M48)*30.8*L48+N48*B48</f>
        <v>143354.99959999998</v>
      </c>
      <c r="N57" s="184">
        <f>B48*(I48+J48+2)*0.6952</f>
        <v>155.59618800000001</v>
      </c>
    </row>
    <row r="58" spans="1:14" x14ac:dyDescent="0.25">
      <c r="A58" s="188">
        <f>A49</f>
        <v>0</v>
      </c>
      <c r="B58" s="187">
        <f>B49*G49*5280/9</f>
        <v>0</v>
      </c>
      <c r="C58" s="187">
        <f>B49*C49*5280/9</f>
        <v>0</v>
      </c>
      <c r="D58" s="185">
        <f>(30.8*B49*E49*F49)+(30.8*B49*C49*D49)</f>
        <v>0</v>
      </c>
      <c r="E58" s="185">
        <f>0.012*(F58+M58)</f>
        <v>0</v>
      </c>
      <c r="F58" s="185">
        <f>B58*H49/36*1.89</f>
        <v>0</v>
      </c>
      <c r="G58" s="185">
        <f>0.45*B58</f>
        <v>0</v>
      </c>
      <c r="H58" s="186">
        <f>32.56*(I49+J49)*B49*K49</f>
        <v>0</v>
      </c>
      <c r="I58" s="185">
        <f>0.06*H58</f>
        <v>0</v>
      </c>
      <c r="J58" s="185">
        <f>0.1247*(I49+J49*2+1)*B49</f>
        <v>0</v>
      </c>
      <c r="K58" s="185">
        <f>0.1247*I49*B49</f>
        <v>0</v>
      </c>
      <c r="L58" s="185">
        <f>0.01*H58</f>
        <v>0</v>
      </c>
      <c r="M58" s="184">
        <f>B49*(I49+J49+M49)*30.8*L49+N49*B49</f>
        <v>0</v>
      </c>
      <c r="N58" s="183">
        <f>B49*(I49+J49+2)*0.6952</f>
        <v>0</v>
      </c>
    </row>
    <row r="59" spans="1:14" x14ac:dyDescent="0.25">
      <c r="A59" s="188">
        <f>A50</f>
        <v>0</v>
      </c>
      <c r="B59" s="187">
        <f>B50*G50*5280/9</f>
        <v>0</v>
      </c>
      <c r="C59" s="187">
        <f>B50*C50*5280/9</f>
        <v>0</v>
      </c>
      <c r="D59" s="185">
        <f>(30.8*B50*E50*F50)+(30.8*B50*C50*D50)</f>
        <v>0</v>
      </c>
      <c r="E59" s="185">
        <f>0.012*(F59+M59)</f>
        <v>0</v>
      </c>
      <c r="F59" s="185">
        <f>B59*H50/36*1.89</f>
        <v>0</v>
      </c>
      <c r="G59" s="185">
        <f>0.45*B59</f>
        <v>0</v>
      </c>
      <c r="H59" s="186">
        <f>32.56*(I50+J50)*B50*K50</f>
        <v>0</v>
      </c>
      <c r="I59" s="185">
        <f>0.06*H59</f>
        <v>0</v>
      </c>
      <c r="J59" s="185">
        <f>0.1247*(I50+J50*2+1)*B50</f>
        <v>0</v>
      </c>
      <c r="K59" s="185">
        <f>0.1247*I50*B50</f>
        <v>0</v>
      </c>
      <c r="L59" s="185">
        <f>0.01*H59</f>
        <v>0</v>
      </c>
      <c r="M59" s="184">
        <f>B50*(I50+J50+M50)*30.8*L50+N50*B50</f>
        <v>0</v>
      </c>
      <c r="N59" s="183">
        <f>B50*(I50+J50+2)*0.6952</f>
        <v>0</v>
      </c>
    </row>
    <row r="61" spans="1:14" ht="13.5" thickBot="1" x14ac:dyDescent="0.3">
      <c r="A61" s="182" t="s">
        <v>211</v>
      </c>
      <c r="B61" s="181">
        <f t="shared" ref="B61:N61" si="1">SUM(B57:B60)</f>
        <v>227594.98666666666</v>
      </c>
      <c r="C61" s="181">
        <f t="shared" si="1"/>
        <v>210087.67999999999</v>
      </c>
      <c r="D61" s="181">
        <f t="shared" si="1"/>
        <v>165444.04800000001</v>
      </c>
      <c r="E61" s="181">
        <f t="shared" si="1"/>
        <v>2437.1842032</v>
      </c>
      <c r="F61" s="181">
        <f t="shared" si="1"/>
        <v>59743.684000000001</v>
      </c>
      <c r="G61" s="181">
        <f t="shared" si="1"/>
        <v>102417.74400000001</v>
      </c>
      <c r="H61" s="180">
        <f t="shared" si="1"/>
        <v>18947.282639999998</v>
      </c>
      <c r="I61" s="180">
        <f t="shared" si="1"/>
        <v>1136.8369583999997</v>
      </c>
      <c r="J61" s="180">
        <f t="shared" si="1"/>
        <v>27.909730499999998</v>
      </c>
      <c r="K61" s="180">
        <f t="shared" si="1"/>
        <v>22.327784399999999</v>
      </c>
      <c r="L61" s="180">
        <f t="shared" si="1"/>
        <v>189.47282639999997</v>
      </c>
      <c r="M61" s="180">
        <f t="shared" si="1"/>
        <v>143354.99959999998</v>
      </c>
      <c r="N61" s="180">
        <f t="shared" si="1"/>
        <v>155.59618800000001</v>
      </c>
    </row>
    <row r="62" spans="1:14" ht="13.5" thickTop="1" x14ac:dyDescent="0.25"/>
    <row r="63" spans="1:14" x14ac:dyDescent="0.25">
      <c r="D63" s="179" t="s">
        <v>210</v>
      </c>
    </row>
    <row r="64" spans="1:14" x14ac:dyDescent="0.25">
      <c r="D64" s="176" t="s">
        <v>209</v>
      </c>
      <c r="E64" s="178">
        <f>F61+M61</f>
        <v>203098.68359999999</v>
      </c>
      <c r="F64" s="177"/>
    </row>
    <row r="65" spans="4:6" x14ac:dyDescent="0.25">
      <c r="D65" s="176" t="s">
        <v>208</v>
      </c>
      <c r="E65" s="178">
        <f>D61</f>
        <v>165444.04800000001</v>
      </c>
      <c r="F65" s="177"/>
    </row>
    <row r="66" spans="4:6" x14ac:dyDescent="0.25">
      <c r="D66" s="176" t="s">
        <v>207</v>
      </c>
      <c r="E66" s="178">
        <f>E64-E65</f>
        <v>37654.63559999998</v>
      </c>
      <c r="F66" s="177"/>
    </row>
  </sheetData>
  <pageMargins left="0.25" right="0.25" top="0.5" bottom="0.5"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75B40-D2BD-4236-B8B9-3491FA8B229A}">
  <sheetPr>
    <tabColor theme="1"/>
  </sheetPr>
  <dimension ref="A1:N66"/>
  <sheetViews>
    <sheetView workbookViewId="0">
      <selection activeCell="B65" sqref="B65:H68"/>
    </sheetView>
  </sheetViews>
  <sheetFormatPr defaultRowHeight="12.75" x14ac:dyDescent="0.25"/>
  <cols>
    <col min="1" max="1" width="13.28515625" style="176" customWidth="1"/>
    <col min="2" max="2" width="10.85546875" style="176" bestFit="1" customWidth="1"/>
    <col min="3" max="3" width="37.85546875" style="176" customWidth="1"/>
    <col min="4" max="4" width="19" style="176" customWidth="1"/>
    <col min="5" max="5" width="16.5703125" style="176" customWidth="1"/>
    <col min="6" max="6" width="15" style="176" bestFit="1" customWidth="1"/>
    <col min="7" max="7" width="13.7109375" style="176" bestFit="1" customWidth="1"/>
    <col min="8" max="8" width="18.28515625" style="176" bestFit="1" customWidth="1"/>
    <col min="9" max="9" width="18.85546875" style="176" customWidth="1"/>
    <col min="10" max="10" width="16.28515625" style="176" bestFit="1" customWidth="1"/>
    <col min="11" max="11" width="11.5703125" style="176" customWidth="1"/>
    <col min="12" max="12" width="15.85546875" style="176" customWidth="1"/>
    <col min="13" max="13" width="16" style="176" customWidth="1"/>
    <col min="14" max="14" width="16.140625" style="176" bestFit="1" customWidth="1"/>
    <col min="15" max="16384" width="9.140625" style="176"/>
  </cols>
  <sheetData>
    <row r="1" spans="1:10" s="254" customFormat="1" ht="13.5" thickBot="1" x14ac:dyDescent="0.3">
      <c r="A1" s="256" t="s">
        <v>358</v>
      </c>
      <c r="B1" s="256" t="s">
        <v>357</v>
      </c>
      <c r="C1" s="256" t="s">
        <v>356</v>
      </c>
      <c r="D1" s="256" t="s">
        <v>355</v>
      </c>
      <c r="E1" s="256" t="s">
        <v>354</v>
      </c>
      <c r="F1" s="256" t="s">
        <v>353</v>
      </c>
      <c r="G1" s="255" t="s">
        <v>352</v>
      </c>
      <c r="H1" s="255" t="s">
        <v>351</v>
      </c>
      <c r="I1" s="255" t="s">
        <v>350</v>
      </c>
      <c r="J1" s="255" t="s">
        <v>349</v>
      </c>
    </row>
    <row r="2" spans="1:10" ht="13.5" thickTop="1" x14ac:dyDescent="0.25">
      <c r="A2" s="193" t="s">
        <v>348</v>
      </c>
      <c r="B2" s="193" t="s">
        <v>347</v>
      </c>
      <c r="C2" s="193" t="s">
        <v>346</v>
      </c>
      <c r="D2" s="253">
        <v>6.07</v>
      </c>
      <c r="E2" s="252">
        <f>C61</f>
        <v>183603.19999999998</v>
      </c>
      <c r="F2" s="251">
        <f t="shared" ref="F2:F33" si="0">E2*D2</f>
        <v>1114471.4239999999</v>
      </c>
      <c r="G2" s="244"/>
      <c r="H2" s="244"/>
      <c r="I2" s="244"/>
      <c r="J2" s="176" t="s">
        <v>365</v>
      </c>
    </row>
    <row r="3" spans="1:10" x14ac:dyDescent="0.25">
      <c r="A3" s="188" t="s">
        <v>344</v>
      </c>
      <c r="B3" s="188" t="s">
        <v>324</v>
      </c>
      <c r="C3" s="188" t="s">
        <v>343</v>
      </c>
      <c r="D3" s="250">
        <v>3.25</v>
      </c>
      <c r="E3" s="235">
        <v>325000</v>
      </c>
      <c r="F3" s="217">
        <f t="shared" si="0"/>
        <v>1056250</v>
      </c>
      <c r="G3" s="244"/>
      <c r="H3" s="244"/>
      <c r="I3" s="244"/>
      <c r="J3" s="176" t="s">
        <v>364</v>
      </c>
    </row>
    <row r="4" spans="1:10" x14ac:dyDescent="0.25">
      <c r="A4" s="249" t="s">
        <v>341</v>
      </c>
      <c r="B4" s="249" t="s">
        <v>324</v>
      </c>
      <c r="C4" s="249" t="s">
        <v>340</v>
      </c>
      <c r="D4" s="248">
        <v>5</v>
      </c>
      <c r="E4" s="235">
        <v>36000</v>
      </c>
      <c r="F4" s="217">
        <f t="shared" si="0"/>
        <v>180000</v>
      </c>
      <c r="G4" s="244"/>
      <c r="H4" s="244"/>
      <c r="I4" s="244"/>
      <c r="J4" s="176" t="s">
        <v>363</v>
      </c>
    </row>
    <row r="5" spans="1:10" x14ac:dyDescent="0.25">
      <c r="A5" s="229" t="s">
        <v>338</v>
      </c>
      <c r="B5" s="220" t="s">
        <v>337</v>
      </c>
      <c r="C5" s="221" t="s">
        <v>336</v>
      </c>
      <c r="D5" s="219">
        <v>22.919</v>
      </c>
      <c r="E5" s="235">
        <f>E61</f>
        <v>2129.9431679999998</v>
      </c>
      <c r="F5" s="217">
        <f t="shared" si="0"/>
        <v>48816.167467391999</v>
      </c>
      <c r="G5" s="244"/>
      <c r="H5" s="244"/>
    </row>
    <row r="6" spans="1:10" x14ac:dyDescent="0.25">
      <c r="A6" s="247" t="s">
        <v>335</v>
      </c>
      <c r="B6" s="188" t="s">
        <v>334</v>
      </c>
      <c r="C6" s="188" t="s">
        <v>333</v>
      </c>
      <c r="D6" s="219">
        <v>20823.125</v>
      </c>
      <c r="E6" s="246">
        <f>B48</f>
        <v>13.04</v>
      </c>
      <c r="F6" s="217">
        <f t="shared" si="0"/>
        <v>271533.55</v>
      </c>
      <c r="G6" s="244"/>
      <c r="H6" s="244"/>
      <c r="J6" s="244" t="s">
        <v>332</v>
      </c>
    </row>
    <row r="7" spans="1:10" x14ac:dyDescent="0.2">
      <c r="A7" s="236" t="s">
        <v>331</v>
      </c>
      <c r="B7" s="236" t="s">
        <v>312</v>
      </c>
      <c r="C7" s="236" t="s">
        <v>330</v>
      </c>
      <c r="D7" s="245">
        <v>7</v>
      </c>
      <c r="E7" s="235">
        <f>E65</f>
        <v>144587.52000000002</v>
      </c>
      <c r="F7" s="217">
        <f t="shared" si="0"/>
        <v>1012112.6400000001</v>
      </c>
      <c r="G7" s="244"/>
      <c r="H7" s="244"/>
      <c r="J7" s="176" t="s">
        <v>329</v>
      </c>
    </row>
    <row r="8" spans="1:10" x14ac:dyDescent="0.25">
      <c r="A8" s="229" t="s">
        <v>328</v>
      </c>
      <c r="B8" s="183" t="s">
        <v>312</v>
      </c>
      <c r="C8" s="183" t="s">
        <v>327</v>
      </c>
      <c r="D8" s="243">
        <v>16</v>
      </c>
      <c r="E8" s="235">
        <f>E66</f>
        <v>32907.743999999948</v>
      </c>
      <c r="F8" s="217">
        <f t="shared" si="0"/>
        <v>526523.90399999917</v>
      </c>
      <c r="J8" s="176" t="s">
        <v>326</v>
      </c>
    </row>
    <row r="9" spans="1:10" x14ac:dyDescent="0.2">
      <c r="A9" s="237" t="s">
        <v>325</v>
      </c>
      <c r="B9" s="236" t="s">
        <v>324</v>
      </c>
      <c r="C9" s="236" t="s">
        <v>323</v>
      </c>
      <c r="D9" s="223">
        <v>6</v>
      </c>
      <c r="E9" s="235">
        <f>I9*B48</f>
        <v>259924.83221476508</v>
      </c>
      <c r="F9" s="217">
        <f t="shared" si="0"/>
        <v>1559548.9932885906</v>
      </c>
      <c r="I9" s="176">
        <f>297000/14.9</f>
        <v>19932.885906040268</v>
      </c>
    </row>
    <row r="10" spans="1:10" x14ac:dyDescent="0.25">
      <c r="A10" s="188" t="s">
        <v>322</v>
      </c>
      <c r="B10" s="188" t="s">
        <v>300</v>
      </c>
      <c r="C10" s="188" t="s">
        <v>321</v>
      </c>
      <c r="D10" s="219">
        <v>7</v>
      </c>
      <c r="E10" s="235">
        <f>D61</f>
        <v>144587.52000000002</v>
      </c>
      <c r="F10" s="217">
        <f t="shared" si="0"/>
        <v>1012112.6400000001</v>
      </c>
      <c r="J10" s="176" t="s">
        <v>320</v>
      </c>
    </row>
    <row r="11" spans="1:10" x14ac:dyDescent="0.25">
      <c r="A11" s="242" t="s">
        <v>319</v>
      </c>
      <c r="B11" s="242" t="s">
        <v>300</v>
      </c>
      <c r="C11" s="242" t="s">
        <v>318</v>
      </c>
      <c r="D11" s="241">
        <v>600</v>
      </c>
      <c r="E11" s="235">
        <f>I61</f>
        <v>993.52281600000015</v>
      </c>
      <c r="F11" s="217">
        <f t="shared" si="0"/>
        <v>596113.68960000004</v>
      </c>
      <c r="J11" s="176" t="s">
        <v>317</v>
      </c>
    </row>
    <row r="12" spans="1:10" x14ac:dyDescent="0.2">
      <c r="A12" s="239" t="s">
        <v>316</v>
      </c>
      <c r="B12" s="239" t="s">
        <v>312</v>
      </c>
      <c r="C12" s="239" t="s">
        <v>315</v>
      </c>
      <c r="D12" s="240">
        <v>45</v>
      </c>
      <c r="E12" s="235">
        <f>H61</f>
        <v>16558.713600000003</v>
      </c>
      <c r="F12" s="217">
        <f t="shared" si="0"/>
        <v>745142.11200000008</v>
      </c>
      <c r="J12" s="176" t="s">
        <v>314</v>
      </c>
    </row>
    <row r="13" spans="1:10" x14ac:dyDescent="0.2">
      <c r="A13" s="237" t="s">
        <v>313</v>
      </c>
      <c r="B13" s="236" t="s">
        <v>312</v>
      </c>
      <c r="C13" s="236" t="s">
        <v>311</v>
      </c>
      <c r="D13" s="223">
        <v>126.304</v>
      </c>
      <c r="E13" s="235">
        <v>8600</v>
      </c>
      <c r="F13" s="217">
        <f t="shared" si="0"/>
        <v>1086214.3999999999</v>
      </c>
    </row>
    <row r="14" spans="1:10" x14ac:dyDescent="0.25">
      <c r="A14" s="229" t="s">
        <v>310</v>
      </c>
      <c r="B14" s="220" t="s">
        <v>300</v>
      </c>
      <c r="C14" s="220" t="s">
        <v>309</v>
      </c>
      <c r="D14" s="219">
        <v>208.739</v>
      </c>
      <c r="E14" s="235">
        <f>L61</f>
        <v>165.58713600000004</v>
      </c>
      <c r="F14" s="217">
        <f t="shared" si="0"/>
        <v>34564.493181504011</v>
      </c>
      <c r="J14" s="176" t="s">
        <v>308</v>
      </c>
    </row>
    <row r="15" spans="1:10" x14ac:dyDescent="0.25">
      <c r="A15" s="188" t="s">
        <v>307</v>
      </c>
      <c r="B15" s="188" t="s">
        <v>300</v>
      </c>
      <c r="C15" s="188" t="s">
        <v>306</v>
      </c>
      <c r="D15" s="219">
        <v>896.88</v>
      </c>
      <c r="E15" s="235">
        <f>N61</f>
        <v>135.98112</v>
      </c>
      <c r="F15" s="217">
        <f t="shared" si="0"/>
        <v>121958.7469056</v>
      </c>
      <c r="J15" s="176" t="s">
        <v>305</v>
      </c>
    </row>
    <row r="16" spans="1:10" x14ac:dyDescent="0.25">
      <c r="A16" s="229" t="s">
        <v>304</v>
      </c>
      <c r="B16" s="220" t="s">
        <v>300</v>
      </c>
      <c r="C16" s="220" t="s">
        <v>303</v>
      </c>
      <c r="D16" s="219">
        <v>602.16399999999999</v>
      </c>
      <c r="E16" s="235">
        <f>J61</f>
        <v>24.39132</v>
      </c>
      <c r="F16" s="217">
        <f t="shared" si="0"/>
        <v>14687.574816480001</v>
      </c>
      <c r="J16" s="176" t="s">
        <v>302</v>
      </c>
    </row>
    <row r="17" spans="1:13" x14ac:dyDescent="0.25">
      <c r="A17" s="229" t="s">
        <v>301</v>
      </c>
      <c r="B17" s="220" t="s">
        <v>300</v>
      </c>
      <c r="C17" s="220" t="s">
        <v>299</v>
      </c>
      <c r="D17" s="219">
        <v>850.47400000000005</v>
      </c>
      <c r="E17" s="235">
        <f>K61</f>
        <v>19.513055999999999</v>
      </c>
      <c r="F17" s="217">
        <f t="shared" si="0"/>
        <v>16595.346788544</v>
      </c>
    </row>
    <row r="18" spans="1:13" x14ac:dyDescent="0.2">
      <c r="A18" s="239" t="s">
        <v>298</v>
      </c>
      <c r="B18" s="239" t="s">
        <v>295</v>
      </c>
      <c r="C18" s="239" t="s">
        <v>297</v>
      </c>
      <c r="D18" s="238">
        <v>48</v>
      </c>
      <c r="E18" s="235">
        <f>B61</f>
        <v>198903.46666666665</v>
      </c>
      <c r="F18" s="217">
        <f t="shared" si="0"/>
        <v>9547366.3999999985</v>
      </c>
    </row>
    <row r="19" spans="1:13" x14ac:dyDescent="0.2">
      <c r="A19" s="237" t="s">
        <v>296</v>
      </c>
      <c r="B19" s="236" t="s">
        <v>295</v>
      </c>
      <c r="C19" s="236" t="s">
        <v>294</v>
      </c>
      <c r="D19" s="223">
        <v>59.335000000000001</v>
      </c>
      <c r="E19" s="235">
        <v>6000</v>
      </c>
      <c r="F19" s="217">
        <f t="shared" si="0"/>
        <v>356010</v>
      </c>
    </row>
    <row r="20" spans="1:13" x14ac:dyDescent="0.25">
      <c r="A20" s="229" t="s">
        <v>293</v>
      </c>
      <c r="B20" s="220" t="s">
        <v>276</v>
      </c>
      <c r="C20" s="221" t="s">
        <v>292</v>
      </c>
      <c r="D20" s="219">
        <v>9.2129999999999992</v>
      </c>
      <c r="E20" s="185">
        <f>G61</f>
        <v>89506.559999999998</v>
      </c>
      <c r="F20" s="217">
        <f t="shared" si="0"/>
        <v>824623.93727999995</v>
      </c>
    </row>
    <row r="21" spans="1:13" x14ac:dyDescent="0.25">
      <c r="A21" s="229" t="s">
        <v>291</v>
      </c>
      <c r="B21" s="220" t="s">
        <v>290</v>
      </c>
      <c r="C21" s="220" t="s">
        <v>289</v>
      </c>
      <c r="D21" s="219">
        <v>19816.819</v>
      </c>
      <c r="E21" s="226">
        <v>18</v>
      </c>
      <c r="F21" s="217">
        <f t="shared" si="0"/>
        <v>356702.74199999997</v>
      </c>
      <c r="J21" s="176" t="s">
        <v>362</v>
      </c>
    </row>
    <row r="22" spans="1:13" x14ac:dyDescent="0.25">
      <c r="A22" s="229" t="s">
        <v>287</v>
      </c>
      <c r="B22" s="220" t="s">
        <v>276</v>
      </c>
      <c r="C22" s="220" t="s">
        <v>286</v>
      </c>
      <c r="D22" s="219">
        <v>13299.57</v>
      </c>
      <c r="E22" s="226">
        <v>1</v>
      </c>
      <c r="F22" s="217">
        <f t="shared" si="0"/>
        <v>13299.57</v>
      </c>
    </row>
    <row r="23" spans="1:13" x14ac:dyDescent="0.2">
      <c r="A23" s="232" t="s">
        <v>285</v>
      </c>
      <c r="B23" s="224" t="s">
        <v>284</v>
      </c>
      <c r="C23" s="234" t="s">
        <v>283</v>
      </c>
      <c r="D23" s="223">
        <v>10.018000000000001</v>
      </c>
      <c r="E23" s="226">
        <v>137280</v>
      </c>
      <c r="F23" s="217">
        <f t="shared" si="0"/>
        <v>1375271.04</v>
      </c>
      <c r="J23" s="176" t="s">
        <v>282</v>
      </c>
      <c r="M23" s="176">
        <f>13*5280*2</f>
        <v>137280</v>
      </c>
    </row>
    <row r="24" spans="1:13" x14ac:dyDescent="0.2">
      <c r="A24" s="232" t="s">
        <v>281</v>
      </c>
      <c r="B24" s="233" t="s">
        <v>280</v>
      </c>
      <c r="C24" s="233" t="s">
        <v>279</v>
      </c>
      <c r="D24" s="223">
        <v>378.86900000000003</v>
      </c>
      <c r="E24" s="226">
        <v>274</v>
      </c>
      <c r="F24" s="217">
        <f t="shared" si="0"/>
        <v>103810.10600000001</v>
      </c>
      <c r="J24" s="176" t="s">
        <v>278</v>
      </c>
      <c r="M24" s="176">
        <f>M23/500</f>
        <v>274.56</v>
      </c>
    </row>
    <row r="25" spans="1:13" x14ac:dyDescent="0.2">
      <c r="A25" s="232" t="s">
        <v>277</v>
      </c>
      <c r="B25" s="224" t="s">
        <v>276</v>
      </c>
      <c r="C25" s="231" t="s">
        <v>275</v>
      </c>
      <c r="D25" s="223">
        <v>413.21899999999999</v>
      </c>
      <c r="E25" s="226">
        <v>274</v>
      </c>
      <c r="F25" s="217">
        <f t="shared" si="0"/>
        <v>113222.00599999999</v>
      </c>
      <c r="J25" s="176" t="s">
        <v>274</v>
      </c>
    </row>
    <row r="26" spans="1:13" x14ac:dyDescent="0.25">
      <c r="A26" s="229" t="s">
        <v>273</v>
      </c>
      <c r="B26" s="220" t="s">
        <v>266</v>
      </c>
      <c r="C26" s="220" t="s">
        <v>272</v>
      </c>
      <c r="D26" s="219">
        <v>1000</v>
      </c>
      <c r="E26" s="230">
        <f>0.07/1000*SUM(F2:F25,F27:F33)</f>
        <v>1991.3388882329675</v>
      </c>
      <c r="F26" s="217">
        <f t="shared" si="0"/>
        <v>1991338.8882329676</v>
      </c>
    </row>
    <row r="27" spans="1:13" x14ac:dyDescent="0.25">
      <c r="A27" s="229" t="s">
        <v>271</v>
      </c>
      <c r="B27" s="220" t="s">
        <v>266</v>
      </c>
      <c r="C27" s="220" t="s">
        <v>270</v>
      </c>
      <c r="D27" s="219">
        <v>1000</v>
      </c>
      <c r="E27" s="226">
        <v>260</v>
      </c>
      <c r="F27" s="217">
        <f t="shared" si="0"/>
        <v>260000</v>
      </c>
    </row>
    <row r="28" spans="1:13" s="227" customFormat="1" x14ac:dyDescent="0.2">
      <c r="A28" s="224" t="s">
        <v>269</v>
      </c>
      <c r="B28" s="224" t="s">
        <v>266</v>
      </c>
      <c r="C28" s="224" t="s">
        <v>268</v>
      </c>
      <c r="D28" s="223">
        <v>1000</v>
      </c>
      <c r="E28" s="228">
        <v>4500</v>
      </c>
      <c r="F28" s="217">
        <f t="shared" si="0"/>
        <v>4500000</v>
      </c>
      <c r="J28" s="176" t="s">
        <v>361</v>
      </c>
    </row>
    <row r="29" spans="1:13" x14ac:dyDescent="0.2">
      <c r="A29" s="224" t="s">
        <v>267</v>
      </c>
      <c r="B29" s="224" t="s">
        <v>266</v>
      </c>
      <c r="C29" s="224" t="s">
        <v>265</v>
      </c>
      <c r="D29" s="223">
        <v>1000</v>
      </c>
      <c r="E29" s="226">
        <v>0</v>
      </c>
      <c r="F29" s="217">
        <f t="shared" si="0"/>
        <v>0</v>
      </c>
      <c r="J29" s="257" t="s">
        <v>360</v>
      </c>
    </row>
    <row r="30" spans="1:13" x14ac:dyDescent="0.25">
      <c r="A30" s="225" t="s">
        <v>263</v>
      </c>
      <c r="B30" s="220" t="s">
        <v>262</v>
      </c>
      <c r="C30" s="220" t="s">
        <v>261</v>
      </c>
      <c r="D30" s="219">
        <v>40000</v>
      </c>
      <c r="E30" s="222">
        <v>7.5</v>
      </c>
      <c r="F30" s="217">
        <f t="shared" si="0"/>
        <v>300000</v>
      </c>
      <c r="I30" s="176" t="s">
        <v>260</v>
      </c>
    </row>
    <row r="31" spans="1:13" x14ac:dyDescent="0.2">
      <c r="A31" s="224" t="s">
        <v>259</v>
      </c>
      <c r="B31" s="224" t="s">
        <v>258</v>
      </c>
      <c r="C31" s="224" t="s">
        <v>257</v>
      </c>
      <c r="D31" s="223">
        <v>34093</v>
      </c>
      <c r="E31" s="222">
        <v>7</v>
      </c>
      <c r="F31" s="217">
        <f t="shared" si="0"/>
        <v>238651</v>
      </c>
    </row>
    <row r="32" spans="1:13" x14ac:dyDescent="0.25">
      <c r="A32" s="183" t="s">
        <v>256</v>
      </c>
      <c r="B32" s="220" t="s">
        <v>253</v>
      </c>
      <c r="C32" s="221" t="s">
        <v>255</v>
      </c>
      <c r="D32" s="219">
        <v>78673</v>
      </c>
      <c r="E32" s="218">
        <f>B48</f>
        <v>13.04</v>
      </c>
      <c r="F32" s="217">
        <f t="shared" si="0"/>
        <v>1025895.9199999999</v>
      </c>
    </row>
    <row r="33" spans="1:14" x14ac:dyDescent="0.25">
      <c r="A33" s="220" t="s">
        <v>254</v>
      </c>
      <c r="B33" s="220" t="s">
        <v>253</v>
      </c>
      <c r="C33" s="220" t="s">
        <v>252</v>
      </c>
      <c r="D33" s="219">
        <v>1810</v>
      </c>
      <c r="E33" s="218">
        <v>20</v>
      </c>
      <c r="F33" s="217">
        <f t="shared" si="0"/>
        <v>36200</v>
      </c>
    </row>
    <row r="34" spans="1:14" x14ac:dyDescent="0.25">
      <c r="A34" s="198"/>
    </row>
    <row r="35" spans="1:14" x14ac:dyDescent="0.25">
      <c r="A35" s="198"/>
      <c r="D35" s="214" t="s">
        <v>251</v>
      </c>
      <c r="F35" s="209">
        <f>SUM(F2:F33)</f>
        <v>30439037.291561075</v>
      </c>
    </row>
    <row r="36" spans="1:14" x14ac:dyDescent="0.25">
      <c r="A36" s="198"/>
      <c r="D36" s="214" t="s">
        <v>250</v>
      </c>
      <c r="E36" s="216">
        <v>0</v>
      </c>
      <c r="F36" s="209">
        <f>F35*(1+E36)</f>
        <v>30439037.291561075</v>
      </c>
    </row>
    <row r="37" spans="1:14" x14ac:dyDescent="0.25">
      <c r="A37" s="198"/>
      <c r="D37" s="176" t="s">
        <v>249</v>
      </c>
      <c r="E37" s="215">
        <v>0.03</v>
      </c>
      <c r="F37" s="209">
        <f>E37*F36</f>
        <v>913171.11874683225</v>
      </c>
    </row>
    <row r="38" spans="1:14" ht="15.75" x14ac:dyDescent="0.25">
      <c r="A38" s="198"/>
      <c r="D38" s="211" t="s">
        <v>248</v>
      </c>
      <c r="E38" s="215">
        <v>2.5000000000000001E-2</v>
      </c>
      <c r="F38" s="209">
        <f>E38*F36</f>
        <v>760975.93228902691</v>
      </c>
    </row>
    <row r="39" spans="1:14" ht="15.75" x14ac:dyDescent="0.25">
      <c r="A39" s="198"/>
      <c r="C39" s="214"/>
      <c r="D39" s="211" t="s">
        <v>247</v>
      </c>
      <c r="E39" s="213">
        <v>3.5000000000000003E-2</v>
      </c>
      <c r="F39" s="209">
        <f>E39*F36</f>
        <v>1065366.3052046378</v>
      </c>
      <c r="J39" s="209"/>
    </row>
    <row r="40" spans="1:14" ht="15.75" x14ac:dyDescent="0.25">
      <c r="A40" s="198"/>
      <c r="D40" s="211" t="s">
        <v>246</v>
      </c>
      <c r="E40" s="212">
        <v>0</v>
      </c>
      <c r="F40" s="209">
        <f>1000*E40</f>
        <v>0</v>
      </c>
    </row>
    <row r="41" spans="1:14" ht="15.75" x14ac:dyDescent="0.25">
      <c r="A41" s="198"/>
      <c r="D41" s="211" t="s">
        <v>245</v>
      </c>
      <c r="E41" s="212">
        <v>0</v>
      </c>
      <c r="F41" s="209">
        <f>1000*E41</f>
        <v>0</v>
      </c>
    </row>
    <row r="42" spans="1:14" ht="15.75" x14ac:dyDescent="0.25">
      <c r="A42" s="198" t="s">
        <v>244</v>
      </c>
      <c r="D42" s="211" t="s">
        <v>243</v>
      </c>
      <c r="F42" s="210">
        <f>SUM(F36:F41)</f>
        <v>33178550.647801571</v>
      </c>
      <c r="G42" s="176" t="s">
        <v>242</v>
      </c>
      <c r="H42" s="176" t="s">
        <v>359</v>
      </c>
      <c r="K42" s="176">
        <f>B48*2.2</f>
        <v>28.687999999999999</v>
      </c>
      <c r="L42" s="176">
        <f>K42+4.5</f>
        <v>33.188000000000002</v>
      </c>
    </row>
    <row r="43" spans="1:14" x14ac:dyDescent="0.25">
      <c r="A43" s="198"/>
    </row>
    <row r="44" spans="1:14" x14ac:dyDescent="0.25">
      <c r="A44" s="198"/>
      <c r="F44" s="209"/>
    </row>
    <row r="45" spans="1:14" ht="18" x14ac:dyDescent="0.25">
      <c r="A45" s="208" t="s">
        <v>240</v>
      </c>
    </row>
    <row r="46" spans="1:14" x14ac:dyDescent="0.25">
      <c r="A46" s="198"/>
    </row>
    <row r="47" spans="1:14" s="206" customFormat="1" ht="39" customHeight="1" thickBot="1" x14ac:dyDescent="0.25">
      <c r="A47" s="196" t="s">
        <v>225</v>
      </c>
      <c r="B47" s="207" t="s">
        <v>239</v>
      </c>
      <c r="C47" s="196" t="s">
        <v>238</v>
      </c>
      <c r="D47" s="196" t="s">
        <v>237</v>
      </c>
      <c r="E47" s="196" t="s">
        <v>236</v>
      </c>
      <c r="F47" s="196" t="s">
        <v>235</v>
      </c>
      <c r="G47" s="196" t="s">
        <v>234</v>
      </c>
      <c r="H47" s="196" t="s">
        <v>233</v>
      </c>
      <c r="I47" s="196" t="s">
        <v>232</v>
      </c>
      <c r="J47" s="196" t="s">
        <v>231</v>
      </c>
      <c r="K47" s="196" t="s">
        <v>230</v>
      </c>
      <c r="L47" s="196" t="s">
        <v>229</v>
      </c>
      <c r="M47" s="196" t="s">
        <v>228</v>
      </c>
      <c r="N47" s="196" t="s">
        <v>227</v>
      </c>
    </row>
    <row r="48" spans="1:14" x14ac:dyDescent="0.25">
      <c r="A48" s="204"/>
      <c r="B48" s="205">
        <v>13.04</v>
      </c>
      <c r="C48" s="204">
        <v>24</v>
      </c>
      <c r="D48" s="204">
        <v>3</v>
      </c>
      <c r="E48" s="204">
        <v>18</v>
      </c>
      <c r="F48" s="204">
        <v>16</v>
      </c>
      <c r="G48" s="204">
        <v>26</v>
      </c>
      <c r="H48" s="204">
        <v>5</v>
      </c>
      <c r="I48" s="204">
        <v>12</v>
      </c>
      <c r="J48" s="204">
        <v>1</v>
      </c>
      <c r="K48" s="204">
        <v>3</v>
      </c>
      <c r="L48" s="204">
        <v>13</v>
      </c>
      <c r="M48" s="203">
        <v>6</v>
      </c>
      <c r="N48" s="203">
        <v>2000</v>
      </c>
    </row>
    <row r="49" spans="1:14" x14ac:dyDescent="0.25">
      <c r="A49" s="201"/>
      <c r="B49" s="202">
        <v>0</v>
      </c>
      <c r="C49" s="201">
        <v>0</v>
      </c>
      <c r="D49" s="201"/>
      <c r="E49" s="201">
        <v>0</v>
      </c>
      <c r="F49" s="201">
        <v>0</v>
      </c>
      <c r="G49" s="201"/>
      <c r="H49" s="201">
        <v>0</v>
      </c>
      <c r="I49" s="201">
        <v>0</v>
      </c>
      <c r="J49" s="201">
        <v>0</v>
      </c>
      <c r="K49" s="201">
        <v>0</v>
      </c>
      <c r="L49" s="201">
        <v>0</v>
      </c>
      <c r="M49" s="200"/>
      <c r="N49" s="200"/>
    </row>
    <row r="50" spans="1:14" x14ac:dyDescent="0.25">
      <c r="A50" s="201"/>
      <c r="B50" s="202">
        <v>0</v>
      </c>
      <c r="C50" s="201">
        <v>0</v>
      </c>
      <c r="D50" s="201"/>
      <c r="E50" s="201">
        <v>0</v>
      </c>
      <c r="F50" s="201">
        <v>0</v>
      </c>
      <c r="G50" s="201"/>
      <c r="H50" s="201">
        <v>0</v>
      </c>
      <c r="I50" s="201">
        <v>0</v>
      </c>
      <c r="J50" s="201">
        <v>0</v>
      </c>
      <c r="K50" s="201">
        <v>0</v>
      </c>
      <c r="L50" s="201">
        <v>0</v>
      </c>
      <c r="M50" s="200"/>
      <c r="N50" s="200"/>
    </row>
    <row r="51" spans="1:14" x14ac:dyDescent="0.25">
      <c r="B51" s="199"/>
    </row>
    <row r="52" spans="1:14" x14ac:dyDescent="0.25">
      <c r="B52" s="198"/>
    </row>
    <row r="53" spans="1:14" x14ac:dyDescent="0.25">
      <c r="B53" s="198"/>
    </row>
    <row r="55" spans="1:14" x14ac:dyDescent="0.25">
      <c r="A55" s="197" t="s">
        <v>226</v>
      </c>
      <c r="B55" s="197"/>
      <c r="C55" s="197"/>
    </row>
    <row r="56" spans="1:14" s="194" customFormat="1" ht="13.5" thickBot="1" x14ac:dyDescent="0.25">
      <c r="A56" s="196" t="s">
        <v>225</v>
      </c>
      <c r="B56" s="195" t="s">
        <v>224</v>
      </c>
      <c r="C56" s="195" t="s">
        <v>223</v>
      </c>
      <c r="D56" s="195" t="s">
        <v>222</v>
      </c>
      <c r="E56" s="195" t="s">
        <v>221</v>
      </c>
      <c r="F56" s="195" t="s">
        <v>220</v>
      </c>
      <c r="G56" s="195" t="s">
        <v>219</v>
      </c>
      <c r="H56" s="195" t="s">
        <v>218</v>
      </c>
      <c r="I56" s="195" t="s">
        <v>217</v>
      </c>
      <c r="J56" s="195" t="s">
        <v>216</v>
      </c>
      <c r="K56" s="195" t="s">
        <v>215</v>
      </c>
      <c r="L56" s="195" t="s">
        <v>214</v>
      </c>
      <c r="M56" s="195" t="s">
        <v>213</v>
      </c>
      <c r="N56" s="195" t="s">
        <v>212</v>
      </c>
    </row>
    <row r="57" spans="1:14" x14ac:dyDescent="0.25">
      <c r="A57" s="193">
        <f>A48</f>
        <v>0</v>
      </c>
      <c r="B57" s="192">
        <f>B48*G48*5280/9</f>
        <v>198903.46666666665</v>
      </c>
      <c r="C57" s="192">
        <f>B48*C48*5280/9</f>
        <v>183603.19999999998</v>
      </c>
      <c r="D57" s="190">
        <f>(30.8*B48*E48*F48)+(30.8*B48*C48*D48)</f>
        <v>144587.52000000002</v>
      </c>
      <c r="E57" s="190">
        <f>0.012*(F57+M57)</f>
        <v>2129.9431679999998</v>
      </c>
      <c r="F57" s="190">
        <f>B57*H48/36*1.89</f>
        <v>52212.159999999989</v>
      </c>
      <c r="G57" s="190">
        <f>0.45*B57</f>
        <v>89506.559999999998</v>
      </c>
      <c r="H57" s="191">
        <f>32.56*(I48+J48)*B48*K48</f>
        <v>16558.713600000003</v>
      </c>
      <c r="I57" s="190">
        <f>0.06*H57</f>
        <v>993.52281600000015</v>
      </c>
      <c r="J57" s="190">
        <f>0.1247*(I48+J48*2+1)*B48</f>
        <v>24.39132</v>
      </c>
      <c r="K57" s="190">
        <f>0.1247*I48*B48</f>
        <v>19.513055999999999</v>
      </c>
      <c r="L57" s="190">
        <f>0.01*H57</f>
        <v>165.58713600000004</v>
      </c>
      <c r="M57" s="189">
        <f>B48*(I48+J48+M48)*30.8*L48+N48*B48</f>
        <v>125283.10399999999</v>
      </c>
      <c r="N57" s="184">
        <f>B48*(I48+J48+2)*0.6952</f>
        <v>135.98112</v>
      </c>
    </row>
    <row r="58" spans="1:14" x14ac:dyDescent="0.25">
      <c r="A58" s="188">
        <f>A49</f>
        <v>0</v>
      </c>
      <c r="B58" s="187">
        <f>B49*G49*5280/9</f>
        <v>0</v>
      </c>
      <c r="C58" s="187">
        <f>B49*C49*5280/9</f>
        <v>0</v>
      </c>
      <c r="D58" s="185">
        <f>(30.8*B49*E49*F49)+(30.8*B49*C49*D49)</f>
        <v>0</v>
      </c>
      <c r="E58" s="185">
        <f>0.012*(F58+M58)</f>
        <v>0</v>
      </c>
      <c r="F58" s="185">
        <f>B58*H49/36*1.89</f>
        <v>0</v>
      </c>
      <c r="G58" s="185">
        <f>0.45*B58</f>
        <v>0</v>
      </c>
      <c r="H58" s="186">
        <f>32.56*(I49+J49)*B49*K49</f>
        <v>0</v>
      </c>
      <c r="I58" s="185">
        <f>0.06*H58</f>
        <v>0</v>
      </c>
      <c r="J58" s="185">
        <f>0.1247*(I49+J49*2+1)*B49</f>
        <v>0</v>
      </c>
      <c r="K58" s="185">
        <f>0.1247*I49*B49</f>
        <v>0</v>
      </c>
      <c r="L58" s="185">
        <f>0.01*H58</f>
        <v>0</v>
      </c>
      <c r="M58" s="184">
        <f>B49*(I49+J49+M49)*30.8*L49+N49*B49</f>
        <v>0</v>
      </c>
      <c r="N58" s="183">
        <f>B49*(I49+J49+2)*0.6952</f>
        <v>0</v>
      </c>
    </row>
    <row r="59" spans="1:14" x14ac:dyDescent="0.25">
      <c r="A59" s="188">
        <f>A50</f>
        <v>0</v>
      </c>
      <c r="B59" s="187">
        <f>B50*G50*5280/9</f>
        <v>0</v>
      </c>
      <c r="C59" s="187">
        <f>B50*C50*5280/9</f>
        <v>0</v>
      </c>
      <c r="D59" s="185">
        <f>(30.8*B50*E50*F50)+(30.8*B50*C50*D50)</f>
        <v>0</v>
      </c>
      <c r="E59" s="185">
        <f>0.012*(F59+M59)</f>
        <v>0</v>
      </c>
      <c r="F59" s="185">
        <f>B59*H50/36*1.89</f>
        <v>0</v>
      </c>
      <c r="G59" s="185">
        <f>0.45*B59</f>
        <v>0</v>
      </c>
      <c r="H59" s="186">
        <f>32.56*(I50+J50)*B50*K50</f>
        <v>0</v>
      </c>
      <c r="I59" s="185">
        <f>0.06*H59</f>
        <v>0</v>
      </c>
      <c r="J59" s="185">
        <f>0.1247*(I50+J50*2+1)*B50</f>
        <v>0</v>
      </c>
      <c r="K59" s="185">
        <f>0.1247*I50*B50</f>
        <v>0</v>
      </c>
      <c r="L59" s="185">
        <f>0.01*H59</f>
        <v>0</v>
      </c>
      <c r="M59" s="184">
        <f>B50*(I50+J50+M50)*30.8*L50+N50*B50</f>
        <v>0</v>
      </c>
      <c r="N59" s="183">
        <f>B50*(I50+J50+2)*0.6952</f>
        <v>0</v>
      </c>
    </row>
    <row r="61" spans="1:14" ht="13.5" thickBot="1" x14ac:dyDescent="0.3">
      <c r="A61" s="182" t="s">
        <v>211</v>
      </c>
      <c r="B61" s="181">
        <f t="shared" ref="B61:N61" si="1">SUM(B57:B60)</f>
        <v>198903.46666666665</v>
      </c>
      <c r="C61" s="181">
        <f t="shared" si="1"/>
        <v>183603.19999999998</v>
      </c>
      <c r="D61" s="181">
        <f t="shared" si="1"/>
        <v>144587.52000000002</v>
      </c>
      <c r="E61" s="181">
        <f t="shared" si="1"/>
        <v>2129.9431679999998</v>
      </c>
      <c r="F61" s="181">
        <f t="shared" si="1"/>
        <v>52212.159999999989</v>
      </c>
      <c r="G61" s="181">
        <f t="shared" si="1"/>
        <v>89506.559999999998</v>
      </c>
      <c r="H61" s="180">
        <f t="shared" si="1"/>
        <v>16558.713600000003</v>
      </c>
      <c r="I61" s="180">
        <f t="shared" si="1"/>
        <v>993.52281600000015</v>
      </c>
      <c r="J61" s="180">
        <f t="shared" si="1"/>
        <v>24.39132</v>
      </c>
      <c r="K61" s="180">
        <f t="shared" si="1"/>
        <v>19.513055999999999</v>
      </c>
      <c r="L61" s="180">
        <f t="shared" si="1"/>
        <v>165.58713600000004</v>
      </c>
      <c r="M61" s="180">
        <f t="shared" si="1"/>
        <v>125283.10399999999</v>
      </c>
      <c r="N61" s="180">
        <f t="shared" si="1"/>
        <v>135.98112</v>
      </c>
    </row>
    <row r="62" spans="1:14" ht="13.5" thickTop="1" x14ac:dyDescent="0.25"/>
    <row r="63" spans="1:14" x14ac:dyDescent="0.25">
      <c r="D63" s="179" t="s">
        <v>210</v>
      </c>
    </row>
    <row r="64" spans="1:14" x14ac:dyDescent="0.25">
      <c r="D64" s="176" t="s">
        <v>209</v>
      </c>
      <c r="E64" s="178">
        <f>F61+M61</f>
        <v>177495.26399999997</v>
      </c>
      <c r="F64" s="177"/>
    </row>
    <row r="65" spans="4:6" x14ac:dyDescent="0.25">
      <c r="D65" s="176" t="s">
        <v>208</v>
      </c>
      <c r="E65" s="178">
        <f>D61</f>
        <v>144587.52000000002</v>
      </c>
      <c r="F65" s="177"/>
    </row>
    <row r="66" spans="4:6" x14ac:dyDescent="0.25">
      <c r="D66" s="176" t="s">
        <v>207</v>
      </c>
      <c r="E66" s="178">
        <f>E64-E65</f>
        <v>32907.743999999948</v>
      </c>
      <c r="F66" s="177"/>
    </row>
  </sheetData>
  <pageMargins left="0.25" right="0.25" top="0.5" bottom="0.5" header="0.5" footer="0.5"/>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E601C-42F9-45D3-A2E8-E48FB7086BC4}">
  <sheetPr>
    <tabColor theme="1"/>
  </sheetPr>
  <dimension ref="A1:O66"/>
  <sheetViews>
    <sheetView topLeftCell="A13" workbookViewId="0">
      <selection activeCell="B65" sqref="B65:H68"/>
    </sheetView>
  </sheetViews>
  <sheetFormatPr defaultRowHeight="12.75" x14ac:dyDescent="0.25"/>
  <cols>
    <col min="1" max="1" width="13.28515625" style="176" customWidth="1"/>
    <col min="2" max="2" width="10.85546875" style="176" bestFit="1" customWidth="1"/>
    <col min="3" max="3" width="37.85546875" style="176" customWidth="1"/>
    <col min="4" max="4" width="19" style="176" customWidth="1"/>
    <col min="5" max="5" width="16.5703125" style="176" customWidth="1"/>
    <col min="6" max="6" width="15" style="176" bestFit="1" customWidth="1"/>
    <col min="7" max="7" width="13.7109375" style="176" bestFit="1" customWidth="1"/>
    <col min="8" max="8" width="18.28515625" style="176" bestFit="1" customWidth="1"/>
    <col min="9" max="9" width="18.85546875" style="176" customWidth="1"/>
    <col min="10" max="10" width="16.28515625" style="176" bestFit="1" customWidth="1"/>
    <col min="11" max="11" width="11.5703125" style="176" customWidth="1"/>
    <col min="12" max="12" width="15.85546875" style="176" customWidth="1"/>
    <col min="13" max="13" width="16" style="176" customWidth="1"/>
    <col min="14" max="14" width="16.140625" style="176" bestFit="1" customWidth="1"/>
    <col min="15" max="16384" width="9.140625" style="176"/>
  </cols>
  <sheetData>
    <row r="1" spans="1:10" s="254" customFormat="1" ht="13.5" thickBot="1" x14ac:dyDescent="0.3">
      <c r="A1" s="256" t="s">
        <v>358</v>
      </c>
      <c r="B1" s="256" t="s">
        <v>357</v>
      </c>
      <c r="C1" s="256" t="s">
        <v>356</v>
      </c>
      <c r="D1" s="256" t="s">
        <v>355</v>
      </c>
      <c r="E1" s="256" t="s">
        <v>354</v>
      </c>
      <c r="F1" s="256" t="s">
        <v>353</v>
      </c>
      <c r="G1" s="255" t="s">
        <v>352</v>
      </c>
      <c r="H1" s="255" t="s">
        <v>351</v>
      </c>
      <c r="I1" s="255" t="s">
        <v>350</v>
      </c>
      <c r="J1" s="255" t="s">
        <v>349</v>
      </c>
    </row>
    <row r="2" spans="1:10" ht="13.5" thickTop="1" x14ac:dyDescent="0.25">
      <c r="A2" s="193" t="s">
        <v>348</v>
      </c>
      <c r="B2" s="193" t="s">
        <v>347</v>
      </c>
      <c r="C2" s="193" t="s">
        <v>346</v>
      </c>
      <c r="D2" s="253">
        <v>6.07</v>
      </c>
      <c r="E2" s="252">
        <f>C61</f>
        <v>184166.40000000002</v>
      </c>
      <c r="F2" s="251">
        <f t="shared" ref="F2:F33" si="0">E2*D2</f>
        <v>1117890.0480000002</v>
      </c>
      <c r="G2" s="244"/>
      <c r="H2" s="244"/>
      <c r="I2" s="244"/>
      <c r="J2" s="176" t="s">
        <v>367</v>
      </c>
    </row>
    <row r="3" spans="1:10" x14ac:dyDescent="0.25">
      <c r="A3" s="188" t="s">
        <v>344</v>
      </c>
      <c r="B3" s="188" t="s">
        <v>324</v>
      </c>
      <c r="C3" s="188" t="s">
        <v>343</v>
      </c>
      <c r="D3" s="250">
        <v>3.25</v>
      </c>
      <c r="E3" s="235">
        <v>325000</v>
      </c>
      <c r="F3" s="217">
        <f t="shared" si="0"/>
        <v>1056250</v>
      </c>
      <c r="G3" s="244"/>
      <c r="H3" s="244"/>
      <c r="I3" s="244"/>
      <c r="J3" s="176" t="s">
        <v>364</v>
      </c>
    </row>
    <row r="4" spans="1:10" x14ac:dyDescent="0.25">
      <c r="A4" s="249" t="s">
        <v>341</v>
      </c>
      <c r="B4" s="249" t="s">
        <v>324</v>
      </c>
      <c r="C4" s="249" t="s">
        <v>340</v>
      </c>
      <c r="D4" s="248">
        <v>5</v>
      </c>
      <c r="E4" s="235">
        <v>36000</v>
      </c>
      <c r="F4" s="217">
        <f t="shared" si="0"/>
        <v>180000</v>
      </c>
      <c r="G4" s="244"/>
      <c r="H4" s="244"/>
      <c r="I4" s="244"/>
      <c r="J4" s="176" t="s">
        <v>363</v>
      </c>
    </row>
    <row r="5" spans="1:10" x14ac:dyDescent="0.25">
      <c r="A5" s="229" t="s">
        <v>338</v>
      </c>
      <c r="B5" s="220" t="s">
        <v>337</v>
      </c>
      <c r="C5" s="221" t="s">
        <v>336</v>
      </c>
      <c r="D5" s="219">
        <v>22.919</v>
      </c>
      <c r="E5" s="235">
        <f>E61</f>
        <v>2136.4767360000001</v>
      </c>
      <c r="F5" s="217">
        <f t="shared" si="0"/>
        <v>48965.910312384003</v>
      </c>
      <c r="G5" s="244"/>
      <c r="H5" s="244"/>
    </row>
    <row r="6" spans="1:10" x14ac:dyDescent="0.25">
      <c r="A6" s="247" t="s">
        <v>335</v>
      </c>
      <c r="B6" s="188" t="s">
        <v>334</v>
      </c>
      <c r="C6" s="188" t="s">
        <v>333</v>
      </c>
      <c r="D6" s="219">
        <v>20823.125</v>
      </c>
      <c r="E6" s="246">
        <f>B48</f>
        <v>13.08</v>
      </c>
      <c r="F6" s="217">
        <f t="shared" si="0"/>
        <v>272366.47499999998</v>
      </c>
      <c r="G6" s="244"/>
      <c r="H6" s="244"/>
      <c r="J6" s="244" t="s">
        <v>332</v>
      </c>
    </row>
    <row r="7" spans="1:10" x14ac:dyDescent="0.2">
      <c r="A7" s="236" t="s">
        <v>331</v>
      </c>
      <c r="B7" s="236" t="s">
        <v>312</v>
      </c>
      <c r="C7" s="236" t="s">
        <v>330</v>
      </c>
      <c r="D7" s="245">
        <v>7</v>
      </c>
      <c r="E7" s="235">
        <f>E65</f>
        <v>145031.04000000001</v>
      </c>
      <c r="F7" s="217">
        <f t="shared" si="0"/>
        <v>1015217.28</v>
      </c>
      <c r="G7" s="244"/>
      <c r="H7" s="244"/>
      <c r="J7" s="176" t="s">
        <v>329</v>
      </c>
    </row>
    <row r="8" spans="1:10" x14ac:dyDescent="0.25">
      <c r="A8" s="229" t="s">
        <v>328</v>
      </c>
      <c r="B8" s="183" t="s">
        <v>312</v>
      </c>
      <c r="C8" s="183" t="s">
        <v>327</v>
      </c>
      <c r="D8" s="243">
        <v>16</v>
      </c>
      <c r="E8" s="235">
        <f>E66</f>
        <v>33008.687999999995</v>
      </c>
      <c r="F8" s="217">
        <f t="shared" si="0"/>
        <v>528139.00799999991</v>
      </c>
      <c r="J8" s="176" t="s">
        <v>326</v>
      </c>
    </row>
    <row r="9" spans="1:10" x14ac:dyDescent="0.2">
      <c r="A9" s="237" t="s">
        <v>325</v>
      </c>
      <c r="B9" s="236" t="s">
        <v>324</v>
      </c>
      <c r="C9" s="236" t="s">
        <v>323</v>
      </c>
      <c r="D9" s="223">
        <v>6</v>
      </c>
      <c r="E9" s="235">
        <f>B48*19900</f>
        <v>260292</v>
      </c>
      <c r="F9" s="217">
        <f t="shared" si="0"/>
        <v>1561752</v>
      </c>
    </row>
    <row r="10" spans="1:10" x14ac:dyDescent="0.25">
      <c r="A10" s="188" t="s">
        <v>322</v>
      </c>
      <c r="B10" s="188" t="s">
        <v>300</v>
      </c>
      <c r="C10" s="188" t="s">
        <v>321</v>
      </c>
      <c r="D10" s="219">
        <v>7</v>
      </c>
      <c r="E10" s="235">
        <f>D61</f>
        <v>145031.04000000001</v>
      </c>
      <c r="F10" s="217">
        <f t="shared" si="0"/>
        <v>1015217.28</v>
      </c>
      <c r="J10" s="176" t="s">
        <v>320</v>
      </c>
    </row>
    <row r="11" spans="1:10" x14ac:dyDescent="0.25">
      <c r="A11" s="242" t="s">
        <v>319</v>
      </c>
      <c r="B11" s="242" t="s">
        <v>300</v>
      </c>
      <c r="C11" s="242" t="s">
        <v>318</v>
      </c>
      <c r="D11" s="241">
        <v>600</v>
      </c>
      <c r="E11" s="235">
        <f>I61</f>
        <v>996.57043199999998</v>
      </c>
      <c r="F11" s="217">
        <f t="shared" si="0"/>
        <v>597942.25919999997</v>
      </c>
      <c r="J11" s="176" t="s">
        <v>317</v>
      </c>
    </row>
    <row r="12" spans="1:10" x14ac:dyDescent="0.2">
      <c r="A12" s="239" t="s">
        <v>316</v>
      </c>
      <c r="B12" s="239" t="s">
        <v>312</v>
      </c>
      <c r="C12" s="239" t="s">
        <v>315</v>
      </c>
      <c r="D12" s="240">
        <v>45</v>
      </c>
      <c r="E12" s="235">
        <f>H61</f>
        <v>16609.5072</v>
      </c>
      <c r="F12" s="217">
        <f t="shared" si="0"/>
        <v>747427.82400000002</v>
      </c>
      <c r="J12" s="176" t="s">
        <v>314</v>
      </c>
    </row>
    <row r="13" spans="1:10" x14ac:dyDescent="0.2">
      <c r="A13" s="237" t="s">
        <v>313</v>
      </c>
      <c r="B13" s="236" t="s">
        <v>312</v>
      </c>
      <c r="C13" s="236" t="s">
        <v>311</v>
      </c>
      <c r="D13" s="223">
        <v>126.304</v>
      </c>
      <c r="E13" s="235">
        <v>8600</v>
      </c>
      <c r="F13" s="217">
        <f t="shared" si="0"/>
        <v>1086214.3999999999</v>
      </c>
    </row>
    <row r="14" spans="1:10" x14ac:dyDescent="0.25">
      <c r="A14" s="229" t="s">
        <v>310</v>
      </c>
      <c r="B14" s="220" t="s">
        <v>300</v>
      </c>
      <c r="C14" s="220" t="s">
        <v>309</v>
      </c>
      <c r="D14" s="219">
        <v>208.739</v>
      </c>
      <c r="E14" s="235">
        <f>L61</f>
        <v>166.09507200000002</v>
      </c>
      <c r="F14" s="217">
        <f t="shared" si="0"/>
        <v>34670.519234208004</v>
      </c>
      <c r="J14" s="176" t="s">
        <v>308</v>
      </c>
    </row>
    <row r="15" spans="1:10" x14ac:dyDescent="0.25">
      <c r="A15" s="188" t="s">
        <v>307</v>
      </c>
      <c r="B15" s="188" t="s">
        <v>300</v>
      </c>
      <c r="C15" s="188" t="s">
        <v>306</v>
      </c>
      <c r="D15" s="219">
        <v>896.88</v>
      </c>
      <c r="E15" s="235">
        <f>N61</f>
        <v>136.39823999999999</v>
      </c>
      <c r="F15" s="217">
        <f t="shared" si="0"/>
        <v>122332.85349119999</v>
      </c>
      <c r="J15" s="176" t="s">
        <v>305</v>
      </c>
    </row>
    <row r="16" spans="1:10" x14ac:dyDescent="0.25">
      <c r="A16" s="229" t="s">
        <v>304</v>
      </c>
      <c r="B16" s="220" t="s">
        <v>300</v>
      </c>
      <c r="C16" s="220" t="s">
        <v>303</v>
      </c>
      <c r="D16" s="219">
        <v>602.16399999999999</v>
      </c>
      <c r="E16" s="235">
        <f>J61</f>
        <v>24.466139999999999</v>
      </c>
      <c r="F16" s="217">
        <f t="shared" si="0"/>
        <v>14732.62872696</v>
      </c>
      <c r="J16" s="176" t="s">
        <v>302</v>
      </c>
    </row>
    <row r="17" spans="1:13" x14ac:dyDescent="0.25">
      <c r="A17" s="229" t="s">
        <v>301</v>
      </c>
      <c r="B17" s="220" t="s">
        <v>300</v>
      </c>
      <c r="C17" s="220" t="s">
        <v>299</v>
      </c>
      <c r="D17" s="219">
        <v>850.47400000000005</v>
      </c>
      <c r="E17" s="235">
        <f>K61</f>
        <v>19.572911999999999</v>
      </c>
      <c r="F17" s="217">
        <f t="shared" si="0"/>
        <v>16646.252760288</v>
      </c>
    </row>
    <row r="18" spans="1:13" x14ac:dyDescent="0.2">
      <c r="A18" s="239" t="s">
        <v>298</v>
      </c>
      <c r="B18" s="239" t="s">
        <v>295</v>
      </c>
      <c r="C18" s="239" t="s">
        <v>297</v>
      </c>
      <c r="D18" s="238">
        <v>48</v>
      </c>
      <c r="E18" s="235">
        <f>B61</f>
        <v>199513.59999999998</v>
      </c>
      <c r="F18" s="217">
        <f t="shared" si="0"/>
        <v>9576652.7999999989</v>
      </c>
    </row>
    <row r="19" spans="1:13" x14ac:dyDescent="0.2">
      <c r="A19" s="237" t="s">
        <v>296</v>
      </c>
      <c r="B19" s="236" t="s">
        <v>295</v>
      </c>
      <c r="C19" s="236" t="s">
        <v>294</v>
      </c>
      <c r="D19" s="223">
        <v>59.335000000000001</v>
      </c>
      <c r="E19" s="235">
        <v>6000</v>
      </c>
      <c r="F19" s="217">
        <f t="shared" si="0"/>
        <v>356010</v>
      </c>
    </row>
    <row r="20" spans="1:13" x14ac:dyDescent="0.25">
      <c r="A20" s="229" t="s">
        <v>293</v>
      </c>
      <c r="B20" s="220" t="s">
        <v>276</v>
      </c>
      <c r="C20" s="221" t="s">
        <v>292</v>
      </c>
      <c r="D20" s="219">
        <v>9.2129999999999992</v>
      </c>
      <c r="E20" s="185">
        <f>G61</f>
        <v>89781.119999999995</v>
      </c>
      <c r="F20" s="217">
        <f t="shared" si="0"/>
        <v>827153.45855999994</v>
      </c>
    </row>
    <row r="21" spans="1:13" x14ac:dyDescent="0.25">
      <c r="A21" s="229" t="s">
        <v>291</v>
      </c>
      <c r="B21" s="220" t="s">
        <v>290</v>
      </c>
      <c r="C21" s="220" t="s">
        <v>289</v>
      </c>
      <c r="D21" s="219">
        <v>19816.819</v>
      </c>
      <c r="E21" s="226">
        <v>18</v>
      </c>
      <c r="F21" s="217">
        <f t="shared" si="0"/>
        <v>356702.74199999997</v>
      </c>
      <c r="J21" s="176" t="s">
        <v>362</v>
      </c>
    </row>
    <row r="22" spans="1:13" x14ac:dyDescent="0.25">
      <c r="A22" s="229" t="s">
        <v>287</v>
      </c>
      <c r="B22" s="220" t="s">
        <v>276</v>
      </c>
      <c r="C22" s="220" t="s">
        <v>286</v>
      </c>
      <c r="D22" s="219">
        <v>13299.57</v>
      </c>
      <c r="E22" s="226">
        <v>1</v>
      </c>
      <c r="F22" s="217">
        <f t="shared" si="0"/>
        <v>13299.57</v>
      </c>
    </row>
    <row r="23" spans="1:13" x14ac:dyDescent="0.2">
      <c r="A23" s="232" t="s">
        <v>285</v>
      </c>
      <c r="B23" s="224" t="s">
        <v>284</v>
      </c>
      <c r="C23" s="234" t="s">
        <v>283</v>
      </c>
      <c r="D23" s="223">
        <v>10.018000000000001</v>
      </c>
      <c r="E23" s="226">
        <v>138124</v>
      </c>
      <c r="F23" s="217">
        <f t="shared" si="0"/>
        <v>1383726.2320000001</v>
      </c>
      <c r="J23" s="176" t="s">
        <v>366</v>
      </c>
      <c r="M23" s="176">
        <f>13.08*5280*2</f>
        <v>138124.79999999999</v>
      </c>
    </row>
    <row r="24" spans="1:13" x14ac:dyDescent="0.2">
      <c r="A24" s="232" t="s">
        <v>281</v>
      </c>
      <c r="B24" s="233" t="s">
        <v>280</v>
      </c>
      <c r="C24" s="233" t="s">
        <v>279</v>
      </c>
      <c r="D24" s="223">
        <v>378.86900000000003</v>
      </c>
      <c r="E24" s="226">
        <v>276</v>
      </c>
      <c r="F24" s="217">
        <f t="shared" si="0"/>
        <v>104567.84400000001</v>
      </c>
      <c r="J24" s="176" t="s">
        <v>278</v>
      </c>
      <c r="M24" s="176">
        <f>M23/500</f>
        <v>276.24959999999999</v>
      </c>
    </row>
    <row r="25" spans="1:13" x14ac:dyDescent="0.2">
      <c r="A25" s="232" t="s">
        <v>277</v>
      </c>
      <c r="B25" s="224" t="s">
        <v>276</v>
      </c>
      <c r="C25" s="231" t="s">
        <v>275</v>
      </c>
      <c r="D25" s="223">
        <v>413.21899999999999</v>
      </c>
      <c r="E25" s="226">
        <v>276</v>
      </c>
      <c r="F25" s="217">
        <f t="shared" si="0"/>
        <v>114048.444</v>
      </c>
      <c r="J25" s="176" t="s">
        <v>274</v>
      </c>
    </row>
    <row r="26" spans="1:13" x14ac:dyDescent="0.25">
      <c r="A26" s="229" t="s">
        <v>273</v>
      </c>
      <c r="B26" s="220" t="s">
        <v>266</v>
      </c>
      <c r="C26" s="220" t="s">
        <v>272</v>
      </c>
      <c r="D26" s="219">
        <v>1000</v>
      </c>
      <c r="E26" s="230">
        <f>0.07/1000*SUM(F2:F25,F27:F33)</f>
        <v>1960.827376849953</v>
      </c>
      <c r="F26" s="217">
        <f t="shared" si="0"/>
        <v>1960827.3768499531</v>
      </c>
    </row>
    <row r="27" spans="1:13" x14ac:dyDescent="0.25">
      <c r="A27" s="229" t="s">
        <v>271</v>
      </c>
      <c r="B27" s="220" t="s">
        <v>266</v>
      </c>
      <c r="C27" s="220" t="s">
        <v>270</v>
      </c>
      <c r="D27" s="219">
        <v>1000</v>
      </c>
      <c r="E27" s="226">
        <v>260</v>
      </c>
      <c r="F27" s="217">
        <f t="shared" si="0"/>
        <v>260000</v>
      </c>
    </row>
    <row r="28" spans="1:13" s="227" customFormat="1" x14ac:dyDescent="0.2">
      <c r="A28" s="224" t="s">
        <v>269</v>
      </c>
      <c r="B28" s="224" t="s">
        <v>266</v>
      </c>
      <c r="C28" s="224" t="s">
        <v>268</v>
      </c>
      <c r="D28" s="223">
        <v>1000</v>
      </c>
      <c r="E28" s="228">
        <v>4000</v>
      </c>
      <c r="F28" s="217">
        <f t="shared" si="0"/>
        <v>4000000</v>
      </c>
      <c r="J28" s="176" t="s">
        <v>361</v>
      </c>
    </row>
    <row r="29" spans="1:13" x14ac:dyDescent="0.2">
      <c r="A29" s="224" t="s">
        <v>267</v>
      </c>
      <c r="B29" s="224" t="s">
        <v>266</v>
      </c>
      <c r="C29" s="224" t="s">
        <v>265</v>
      </c>
      <c r="D29" s="223">
        <v>1000</v>
      </c>
      <c r="E29" s="226">
        <v>0</v>
      </c>
      <c r="F29" s="217">
        <f t="shared" si="0"/>
        <v>0</v>
      </c>
      <c r="J29" s="257" t="s">
        <v>360</v>
      </c>
    </row>
    <row r="30" spans="1:13" x14ac:dyDescent="0.25">
      <c r="A30" s="225" t="s">
        <v>263</v>
      </c>
      <c r="B30" s="220" t="s">
        <v>262</v>
      </c>
      <c r="C30" s="220" t="s">
        <v>261</v>
      </c>
      <c r="D30" s="219">
        <v>40000</v>
      </c>
      <c r="E30" s="222">
        <v>7.5</v>
      </c>
      <c r="F30" s="217">
        <f t="shared" si="0"/>
        <v>300000</v>
      </c>
      <c r="I30" s="176" t="s">
        <v>260</v>
      </c>
    </row>
    <row r="31" spans="1:13" x14ac:dyDescent="0.2">
      <c r="A31" s="224" t="s">
        <v>259</v>
      </c>
      <c r="B31" s="224" t="s">
        <v>258</v>
      </c>
      <c r="C31" s="224" t="s">
        <v>257</v>
      </c>
      <c r="D31" s="223">
        <v>34093</v>
      </c>
      <c r="E31" s="222">
        <v>7</v>
      </c>
      <c r="F31" s="217">
        <f t="shared" si="0"/>
        <v>238651</v>
      </c>
    </row>
    <row r="32" spans="1:13" x14ac:dyDescent="0.25">
      <c r="A32" s="183" t="s">
        <v>256</v>
      </c>
      <c r="B32" s="220" t="s">
        <v>253</v>
      </c>
      <c r="C32" s="221" t="s">
        <v>255</v>
      </c>
      <c r="D32" s="219">
        <v>78673</v>
      </c>
      <c r="E32" s="218">
        <f>B48</f>
        <v>13.08</v>
      </c>
      <c r="F32" s="217">
        <f t="shared" si="0"/>
        <v>1029042.84</v>
      </c>
    </row>
    <row r="33" spans="1:15" x14ac:dyDescent="0.25">
      <c r="A33" s="220" t="s">
        <v>254</v>
      </c>
      <c r="B33" s="220" t="s">
        <v>253</v>
      </c>
      <c r="C33" s="220" t="s">
        <v>252</v>
      </c>
      <c r="D33" s="219">
        <v>1810</v>
      </c>
      <c r="E33" s="218">
        <v>20</v>
      </c>
      <c r="F33" s="217">
        <f t="shared" si="0"/>
        <v>36200</v>
      </c>
    </row>
    <row r="34" spans="1:15" x14ac:dyDescent="0.25">
      <c r="A34" s="198"/>
    </row>
    <row r="35" spans="1:15" x14ac:dyDescent="0.25">
      <c r="A35" s="198"/>
      <c r="D35" s="214" t="s">
        <v>251</v>
      </c>
      <c r="F35" s="209">
        <f>SUM(F2:F33)</f>
        <v>29972647.046134993</v>
      </c>
    </row>
    <row r="36" spans="1:15" x14ac:dyDescent="0.25">
      <c r="A36" s="198"/>
      <c r="D36" s="214" t="s">
        <v>250</v>
      </c>
      <c r="E36" s="216">
        <v>0</v>
      </c>
      <c r="F36" s="209">
        <f>F35*(1+E36)</f>
        <v>29972647.046134993</v>
      </c>
    </row>
    <row r="37" spans="1:15" x14ac:dyDescent="0.25">
      <c r="A37" s="198"/>
      <c r="D37" s="176" t="s">
        <v>249</v>
      </c>
      <c r="E37" s="215">
        <v>3.5000000000000003E-2</v>
      </c>
      <c r="F37" s="209">
        <f>E37*F36</f>
        <v>1049042.6466147248</v>
      </c>
    </row>
    <row r="38" spans="1:15" ht="15.75" x14ac:dyDescent="0.25">
      <c r="A38" s="198"/>
      <c r="D38" s="211" t="s">
        <v>248</v>
      </c>
      <c r="E38" s="215">
        <v>2.5000000000000001E-2</v>
      </c>
      <c r="F38" s="209">
        <f>E38*F36</f>
        <v>749316.17615337484</v>
      </c>
      <c r="O38" s="176">
        <f>B48*2.1</f>
        <v>27.468</v>
      </c>
    </row>
    <row r="39" spans="1:15" ht="15.75" x14ac:dyDescent="0.25">
      <c r="A39" s="198"/>
      <c r="C39" s="214"/>
      <c r="D39" s="211" t="s">
        <v>247</v>
      </c>
      <c r="E39" s="213">
        <v>3.5000000000000003E-2</v>
      </c>
      <c r="F39" s="209">
        <f>E39*F36</f>
        <v>1049042.6466147248</v>
      </c>
      <c r="J39" s="209"/>
    </row>
    <row r="40" spans="1:15" ht="15.75" x14ac:dyDescent="0.25">
      <c r="A40" s="198"/>
      <c r="D40" s="211" t="s">
        <v>246</v>
      </c>
      <c r="E40" s="212">
        <v>0</v>
      </c>
      <c r="F40" s="209">
        <f>1000*E40</f>
        <v>0</v>
      </c>
    </row>
    <row r="41" spans="1:15" ht="15.75" x14ac:dyDescent="0.25">
      <c r="A41" s="198"/>
      <c r="D41" s="211" t="s">
        <v>245</v>
      </c>
      <c r="E41" s="212">
        <v>0</v>
      </c>
      <c r="F41" s="209">
        <f>1000*E41</f>
        <v>0</v>
      </c>
    </row>
    <row r="42" spans="1:15" ht="15.75" x14ac:dyDescent="0.25">
      <c r="A42" s="198" t="s">
        <v>244</v>
      </c>
      <c r="D42" s="211" t="s">
        <v>243</v>
      </c>
      <c r="F42" s="210">
        <f>SUM(F36:F41)</f>
        <v>32820048.515517816</v>
      </c>
      <c r="G42" s="176" t="s">
        <v>242</v>
      </c>
      <c r="H42" s="176" t="s">
        <v>359</v>
      </c>
      <c r="J42" s="176">
        <f>B48*2.2</f>
        <v>28.776000000000003</v>
      </c>
    </row>
    <row r="43" spans="1:15" x14ac:dyDescent="0.25">
      <c r="A43" s="198"/>
    </row>
    <row r="44" spans="1:15" x14ac:dyDescent="0.25">
      <c r="A44" s="198"/>
      <c r="F44" s="209"/>
    </row>
    <row r="45" spans="1:15" ht="18" x14ac:dyDescent="0.25">
      <c r="A45" s="208" t="s">
        <v>240</v>
      </c>
    </row>
    <row r="46" spans="1:15" x14ac:dyDescent="0.25">
      <c r="A46" s="198"/>
    </row>
    <row r="47" spans="1:15" s="206" customFormat="1" ht="39" customHeight="1" thickBot="1" x14ac:dyDescent="0.25">
      <c r="A47" s="196" t="s">
        <v>225</v>
      </c>
      <c r="B47" s="207" t="s">
        <v>239</v>
      </c>
      <c r="C47" s="196" t="s">
        <v>238</v>
      </c>
      <c r="D47" s="196" t="s">
        <v>237</v>
      </c>
      <c r="E47" s="196" t="s">
        <v>236</v>
      </c>
      <c r="F47" s="196" t="s">
        <v>235</v>
      </c>
      <c r="G47" s="196" t="s">
        <v>234</v>
      </c>
      <c r="H47" s="196" t="s">
        <v>233</v>
      </c>
      <c r="I47" s="196" t="s">
        <v>232</v>
      </c>
      <c r="J47" s="196" t="s">
        <v>231</v>
      </c>
      <c r="K47" s="196" t="s">
        <v>230</v>
      </c>
      <c r="L47" s="196" t="s">
        <v>229</v>
      </c>
      <c r="M47" s="196" t="s">
        <v>228</v>
      </c>
      <c r="N47" s="196" t="s">
        <v>227</v>
      </c>
    </row>
    <row r="48" spans="1:15" x14ac:dyDescent="0.25">
      <c r="A48" s="204"/>
      <c r="B48" s="205">
        <v>13.08</v>
      </c>
      <c r="C48" s="204">
        <v>24</v>
      </c>
      <c r="D48" s="204">
        <v>3</v>
      </c>
      <c r="E48" s="204">
        <v>18</v>
      </c>
      <c r="F48" s="204">
        <v>16</v>
      </c>
      <c r="G48" s="204">
        <v>26</v>
      </c>
      <c r="H48" s="204">
        <v>5</v>
      </c>
      <c r="I48" s="204">
        <v>12</v>
      </c>
      <c r="J48" s="204">
        <v>1</v>
      </c>
      <c r="K48" s="204">
        <v>3</v>
      </c>
      <c r="L48" s="204">
        <v>13</v>
      </c>
      <c r="M48" s="203">
        <v>6</v>
      </c>
      <c r="N48" s="203">
        <v>2000</v>
      </c>
    </row>
    <row r="49" spans="1:14" x14ac:dyDescent="0.25">
      <c r="A49" s="201"/>
      <c r="B49" s="202">
        <v>0</v>
      </c>
      <c r="C49" s="201">
        <v>0</v>
      </c>
      <c r="D49" s="201"/>
      <c r="E49" s="201">
        <v>0</v>
      </c>
      <c r="F49" s="201">
        <v>0</v>
      </c>
      <c r="G49" s="201"/>
      <c r="H49" s="201">
        <v>0</v>
      </c>
      <c r="I49" s="201">
        <v>0</v>
      </c>
      <c r="J49" s="201">
        <v>0</v>
      </c>
      <c r="K49" s="201">
        <v>0</v>
      </c>
      <c r="L49" s="201">
        <v>0</v>
      </c>
      <c r="M49" s="200"/>
      <c r="N49" s="200"/>
    </row>
    <row r="50" spans="1:14" x14ac:dyDescent="0.25">
      <c r="A50" s="201"/>
      <c r="B50" s="202">
        <v>0</v>
      </c>
      <c r="C50" s="201">
        <v>0</v>
      </c>
      <c r="D50" s="201"/>
      <c r="E50" s="201">
        <v>0</v>
      </c>
      <c r="F50" s="201">
        <v>0</v>
      </c>
      <c r="G50" s="201"/>
      <c r="H50" s="201">
        <v>0</v>
      </c>
      <c r="I50" s="201">
        <v>0</v>
      </c>
      <c r="J50" s="201">
        <v>0</v>
      </c>
      <c r="K50" s="201">
        <v>0</v>
      </c>
      <c r="L50" s="201">
        <v>0</v>
      </c>
      <c r="M50" s="200"/>
      <c r="N50" s="200"/>
    </row>
    <row r="51" spans="1:14" x14ac:dyDescent="0.25">
      <c r="B51" s="199"/>
    </row>
    <row r="52" spans="1:14" x14ac:dyDescent="0.25">
      <c r="B52" s="198"/>
    </row>
    <row r="53" spans="1:14" x14ac:dyDescent="0.25">
      <c r="B53" s="198"/>
    </row>
    <row r="55" spans="1:14" x14ac:dyDescent="0.25">
      <c r="A55" s="197" t="s">
        <v>226</v>
      </c>
      <c r="B55" s="197"/>
      <c r="C55" s="197"/>
    </row>
    <row r="56" spans="1:14" s="194" customFormat="1" ht="13.5" thickBot="1" x14ac:dyDescent="0.25">
      <c r="A56" s="196" t="s">
        <v>225</v>
      </c>
      <c r="B56" s="195" t="s">
        <v>224</v>
      </c>
      <c r="C56" s="195" t="s">
        <v>223</v>
      </c>
      <c r="D56" s="195" t="s">
        <v>222</v>
      </c>
      <c r="E56" s="195" t="s">
        <v>221</v>
      </c>
      <c r="F56" s="195" t="s">
        <v>220</v>
      </c>
      <c r="G56" s="195" t="s">
        <v>219</v>
      </c>
      <c r="H56" s="195" t="s">
        <v>218</v>
      </c>
      <c r="I56" s="195" t="s">
        <v>217</v>
      </c>
      <c r="J56" s="195" t="s">
        <v>216</v>
      </c>
      <c r="K56" s="195" t="s">
        <v>215</v>
      </c>
      <c r="L56" s="195" t="s">
        <v>214</v>
      </c>
      <c r="M56" s="195" t="s">
        <v>213</v>
      </c>
      <c r="N56" s="195" t="s">
        <v>212</v>
      </c>
    </row>
    <row r="57" spans="1:14" x14ac:dyDescent="0.25">
      <c r="A57" s="193">
        <f>A48</f>
        <v>0</v>
      </c>
      <c r="B57" s="192">
        <f>B48*G48*5280/9</f>
        <v>199513.59999999998</v>
      </c>
      <c r="C57" s="192">
        <f>B48*C48*5280/9</f>
        <v>184166.40000000002</v>
      </c>
      <c r="D57" s="190">
        <f>(30.8*B48*E48*F48)+(30.8*B48*C48*D48)</f>
        <v>145031.04000000001</v>
      </c>
      <c r="E57" s="190">
        <f>0.012*(F57+M57)</f>
        <v>2136.4767360000001</v>
      </c>
      <c r="F57" s="190">
        <f>B57*H48/36*1.89</f>
        <v>52372.319999999992</v>
      </c>
      <c r="G57" s="190">
        <f>0.45*B57</f>
        <v>89781.119999999995</v>
      </c>
      <c r="H57" s="191">
        <f>32.56*(I48+J48)*B48*K48</f>
        <v>16609.5072</v>
      </c>
      <c r="I57" s="190">
        <f>0.06*H57</f>
        <v>996.57043199999998</v>
      </c>
      <c r="J57" s="190">
        <f>0.1247*(I48+J48*2+1)*B48</f>
        <v>24.466139999999999</v>
      </c>
      <c r="K57" s="190">
        <f>0.1247*I48*B48</f>
        <v>19.572911999999999</v>
      </c>
      <c r="L57" s="190">
        <f>0.01*H57</f>
        <v>166.09507200000002</v>
      </c>
      <c r="M57" s="189">
        <f>B48*(I48+J48+M48)*30.8*L48+N48*B48</f>
        <v>125667.408</v>
      </c>
      <c r="N57" s="184">
        <f>B48*(I48+J48+2)*0.6952</f>
        <v>136.39823999999999</v>
      </c>
    </row>
    <row r="58" spans="1:14" x14ac:dyDescent="0.25">
      <c r="A58" s="188">
        <f>A49</f>
        <v>0</v>
      </c>
      <c r="B58" s="187">
        <f>B49*G49*5280/9</f>
        <v>0</v>
      </c>
      <c r="C58" s="187">
        <f>B49*C49*5280/9</f>
        <v>0</v>
      </c>
      <c r="D58" s="185">
        <f>(30.8*B49*E49*F49)+(30.8*B49*C49*D49)</f>
        <v>0</v>
      </c>
      <c r="E58" s="185">
        <f>0.012*(F58+M58)</f>
        <v>0</v>
      </c>
      <c r="F58" s="185">
        <f>B58*H49/36*1.89</f>
        <v>0</v>
      </c>
      <c r="G58" s="185">
        <f>0.45*B58</f>
        <v>0</v>
      </c>
      <c r="H58" s="186">
        <f>32.56*(I49+J49)*B49*K49</f>
        <v>0</v>
      </c>
      <c r="I58" s="185">
        <f>0.06*H58</f>
        <v>0</v>
      </c>
      <c r="J58" s="185">
        <f>0.1247*(I49+J49*2+1)*B49</f>
        <v>0</v>
      </c>
      <c r="K58" s="185">
        <f>0.1247*I49*B49</f>
        <v>0</v>
      </c>
      <c r="L58" s="185">
        <f>0.01*H58</f>
        <v>0</v>
      </c>
      <c r="M58" s="184">
        <f>B49*(I49+J49+M49)*30.8*L49+N49*B49</f>
        <v>0</v>
      </c>
      <c r="N58" s="183">
        <f>B49*(I49+J49+2)*0.6952</f>
        <v>0</v>
      </c>
    </row>
    <row r="59" spans="1:14" x14ac:dyDescent="0.25">
      <c r="A59" s="188">
        <f>A50</f>
        <v>0</v>
      </c>
      <c r="B59" s="187">
        <f>B50*G50*5280/9</f>
        <v>0</v>
      </c>
      <c r="C59" s="187">
        <f>B50*C50*5280/9</f>
        <v>0</v>
      </c>
      <c r="D59" s="185">
        <f>(30.8*B50*E50*F50)+(30.8*B50*C50*D50)</f>
        <v>0</v>
      </c>
      <c r="E59" s="185">
        <f>0.012*(F59+M59)</f>
        <v>0</v>
      </c>
      <c r="F59" s="185">
        <f>B59*H50/36*1.89</f>
        <v>0</v>
      </c>
      <c r="G59" s="185">
        <f>0.45*B59</f>
        <v>0</v>
      </c>
      <c r="H59" s="186">
        <f>32.56*(I50+J50)*B50*K50</f>
        <v>0</v>
      </c>
      <c r="I59" s="185">
        <f>0.06*H59</f>
        <v>0</v>
      </c>
      <c r="J59" s="185">
        <f>0.1247*(I50+J50*2+1)*B50</f>
        <v>0</v>
      </c>
      <c r="K59" s="185">
        <f>0.1247*I50*B50</f>
        <v>0</v>
      </c>
      <c r="L59" s="185">
        <f>0.01*H59</f>
        <v>0</v>
      </c>
      <c r="M59" s="184">
        <f>B50*(I50+J50+M50)*30.8*L50+N50*B50</f>
        <v>0</v>
      </c>
      <c r="N59" s="183">
        <f>B50*(I50+J50+2)*0.6952</f>
        <v>0</v>
      </c>
    </row>
    <row r="61" spans="1:14" ht="13.5" thickBot="1" x14ac:dyDescent="0.3">
      <c r="A61" s="182" t="s">
        <v>211</v>
      </c>
      <c r="B61" s="181">
        <f t="shared" ref="B61:N61" si="1">SUM(B57:B60)</f>
        <v>199513.59999999998</v>
      </c>
      <c r="C61" s="181">
        <f t="shared" si="1"/>
        <v>184166.40000000002</v>
      </c>
      <c r="D61" s="181">
        <f t="shared" si="1"/>
        <v>145031.04000000001</v>
      </c>
      <c r="E61" s="181">
        <f t="shared" si="1"/>
        <v>2136.4767360000001</v>
      </c>
      <c r="F61" s="181">
        <f t="shared" si="1"/>
        <v>52372.319999999992</v>
      </c>
      <c r="G61" s="181">
        <f t="shared" si="1"/>
        <v>89781.119999999995</v>
      </c>
      <c r="H61" s="180">
        <f t="shared" si="1"/>
        <v>16609.5072</v>
      </c>
      <c r="I61" s="180">
        <f t="shared" si="1"/>
        <v>996.57043199999998</v>
      </c>
      <c r="J61" s="180">
        <f t="shared" si="1"/>
        <v>24.466139999999999</v>
      </c>
      <c r="K61" s="180">
        <f t="shared" si="1"/>
        <v>19.572911999999999</v>
      </c>
      <c r="L61" s="180">
        <f t="shared" si="1"/>
        <v>166.09507200000002</v>
      </c>
      <c r="M61" s="180">
        <f t="shared" si="1"/>
        <v>125667.408</v>
      </c>
      <c r="N61" s="180">
        <f t="shared" si="1"/>
        <v>136.39823999999999</v>
      </c>
    </row>
    <row r="62" spans="1:14" ht="13.5" thickTop="1" x14ac:dyDescent="0.25"/>
    <row r="63" spans="1:14" x14ac:dyDescent="0.25">
      <c r="D63" s="179" t="s">
        <v>210</v>
      </c>
    </row>
    <row r="64" spans="1:14" x14ac:dyDescent="0.25">
      <c r="D64" s="176" t="s">
        <v>209</v>
      </c>
      <c r="E64" s="178">
        <f>F61+M61</f>
        <v>178039.728</v>
      </c>
      <c r="F64" s="177"/>
    </row>
    <row r="65" spans="4:6" x14ac:dyDescent="0.25">
      <c r="D65" s="176" t="s">
        <v>208</v>
      </c>
      <c r="E65" s="178">
        <f>D61</f>
        <v>145031.04000000001</v>
      </c>
      <c r="F65" s="177"/>
    </row>
    <row r="66" spans="4:6" x14ac:dyDescent="0.25">
      <c r="D66" s="176" t="s">
        <v>207</v>
      </c>
      <c r="E66" s="178">
        <f>E64-E65</f>
        <v>33008.687999999995</v>
      </c>
      <c r="F66" s="177"/>
    </row>
  </sheetData>
  <pageMargins left="0.25" right="0.25" top="0.5" bottom="0.5"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T82"/>
  <sheetViews>
    <sheetView tabSelected="1" view="pageBreakPreview" topLeftCell="A49" zoomScale="85" zoomScaleNormal="85" zoomScaleSheetLayoutView="85" workbookViewId="0">
      <selection activeCell="G18" sqref="G18"/>
    </sheetView>
  </sheetViews>
  <sheetFormatPr defaultRowHeight="15" x14ac:dyDescent="0.25"/>
  <cols>
    <col min="1" max="1" width="3.5703125" customWidth="1"/>
    <col min="2" max="2" width="13" customWidth="1"/>
    <col min="3" max="4" width="15.7109375" customWidth="1"/>
    <col min="5" max="6" width="15.7109375" style="459" customWidth="1"/>
    <col min="7" max="7" width="15.7109375" customWidth="1"/>
    <col min="8" max="8" width="15.7109375" style="55" customWidth="1"/>
    <col min="9" max="9" width="15.7109375" customWidth="1"/>
    <col min="10" max="10" width="15.7109375" style="459" customWidth="1"/>
    <col min="11" max="11" width="15.7109375" customWidth="1"/>
    <col min="12" max="12" width="15.7109375" style="73" customWidth="1"/>
    <col min="13" max="13" width="15.7109375" customWidth="1"/>
    <col min="14" max="20" width="20.7109375" customWidth="1"/>
    <col min="21" max="22" width="15.7109375" customWidth="1"/>
  </cols>
  <sheetData>
    <row r="1" spans="1:17" ht="23.25" x14ac:dyDescent="0.35">
      <c r="A1" s="19"/>
      <c r="B1" s="33" t="s">
        <v>1647</v>
      </c>
      <c r="C1" s="33"/>
      <c r="D1" s="33"/>
      <c r="E1" s="33"/>
      <c r="F1" s="33"/>
    </row>
    <row r="2" spans="1:17" x14ac:dyDescent="0.25">
      <c r="O2" s="11"/>
    </row>
    <row r="3" spans="1:17" ht="16.5" thickBot="1" x14ac:dyDescent="0.3">
      <c r="B3" s="35" t="s">
        <v>5</v>
      </c>
      <c r="C3" s="35"/>
      <c r="D3" s="35"/>
      <c r="E3" s="35"/>
      <c r="F3" s="35"/>
      <c r="H3" s="152"/>
      <c r="I3" s="55"/>
    </row>
    <row r="4" spans="1:17" s="57" customFormat="1" ht="24.75" thickBot="1" x14ac:dyDescent="0.25">
      <c r="B4" s="58"/>
      <c r="C4" s="689" t="s">
        <v>27</v>
      </c>
      <c r="D4" s="693"/>
      <c r="E4" s="693"/>
      <c r="F4" s="690"/>
      <c r="G4" s="689" t="s">
        <v>28</v>
      </c>
      <c r="H4" s="690"/>
      <c r="I4" s="113" t="s">
        <v>29</v>
      </c>
      <c r="J4" s="565"/>
      <c r="K4" s="691" t="s">
        <v>46</v>
      </c>
      <c r="L4" s="692"/>
      <c r="M4" s="159"/>
    </row>
    <row r="5" spans="1:17" ht="35.1" customHeight="1" x14ac:dyDescent="0.25">
      <c r="B5" s="681" t="s">
        <v>0</v>
      </c>
      <c r="C5" s="679" t="s">
        <v>1648</v>
      </c>
      <c r="D5" s="677" t="s">
        <v>1651</v>
      </c>
      <c r="E5" s="696" t="s">
        <v>1649</v>
      </c>
      <c r="F5" s="694" t="s">
        <v>1650</v>
      </c>
      <c r="G5" s="683" t="s">
        <v>1645</v>
      </c>
      <c r="H5" s="683" t="s">
        <v>1646</v>
      </c>
      <c r="I5" s="679" t="s">
        <v>1652</v>
      </c>
      <c r="J5" s="677" t="s">
        <v>1653</v>
      </c>
      <c r="K5" s="679" t="s">
        <v>73</v>
      </c>
      <c r="L5" s="673" t="s">
        <v>72</v>
      </c>
      <c r="M5" s="685" t="s">
        <v>1</v>
      </c>
    </row>
    <row r="6" spans="1:17" ht="35.1" customHeight="1" thickBot="1" x14ac:dyDescent="0.3">
      <c r="B6" s="682"/>
      <c r="C6" s="680"/>
      <c r="D6" s="678"/>
      <c r="E6" s="697"/>
      <c r="F6" s="695"/>
      <c r="G6" s="684"/>
      <c r="H6" s="684"/>
      <c r="I6" s="680"/>
      <c r="J6" s="678"/>
      <c r="K6" s="680"/>
      <c r="L6" s="674"/>
      <c r="M6" s="686"/>
      <c r="O6" s="68"/>
      <c r="P6" s="69"/>
    </row>
    <row r="7" spans="1:17" ht="15" customHeight="1" x14ac:dyDescent="0.25">
      <c r="B7" s="104">
        <f>Assumptions!D5</f>
        <v>2022</v>
      </c>
      <c r="C7" s="538">
        <f>IFERROR(_xlfn.XLOOKUP($B7,'Travel Time Cost Savings-Detour'!$B$6:$B$25,'Travel Time Cost Savings-Detour'!$G$6:$G$25),0)</f>
        <v>0</v>
      </c>
      <c r="D7" s="564">
        <f>IFERROR(_xlfn.XLOOKUP($B7,'Travel Time Cost - Construction'!$B$6:$B$25,'Travel Time Cost - Construction'!$G$6:$G$25),0)</f>
        <v>-258181.2592268833</v>
      </c>
      <c r="E7" s="564">
        <f>IFERROR(_xlfn.XLOOKUP($B7,'Operating Cost-Detour'!$B$6:$B$25,'Operating Cost-Detour'!$G$6:$G$25),0)</f>
        <v>0</v>
      </c>
      <c r="F7" s="539">
        <f>IFERROR(_xlfn.XLOOKUP($B7,'Operating Cost-Roughness'!$B$6:$B$25,'Operating Cost-Roughness'!$G$6:$G$25),0)</f>
        <v>0</v>
      </c>
      <c r="G7" s="540">
        <f>IFERROR(_xlfn.XLOOKUP($B7,'Safety Benefits - Side Slope'!$B$6:$B$25,'Safety Benefits - Side Slope'!$E$6:$E$25),0)</f>
        <v>223653.8960038228</v>
      </c>
      <c r="H7" s="540">
        <f>IFERROR(_xlfn.XLOOKUP($B7,'Safety Benefits - Extend Acel'!$B$6:$B$25,'Safety Benefits - Extend Acel'!$E$6:$E$25),0)</f>
        <v>1781.1066254424513</v>
      </c>
      <c r="I7" s="539">
        <f>IFERROR(_xlfn.XLOOKUP($B7,'Air Quality'!$B$5:$B$24,'Air Quality'!$M$5:$M$24),0)</f>
        <v>0</v>
      </c>
      <c r="J7" s="539">
        <f>IFERROR(_xlfn.XLOOKUP($B7,'Air Quality'!$B$5:$B$24,'Air Quality'!$E$5:$E$24),0)</f>
        <v>0</v>
      </c>
      <c r="K7" s="548">
        <f>VLOOKUP($B7,'Operation and Maintenance'!$B$8:$F$47,4,FALSE)</f>
        <v>62963.45150000001</v>
      </c>
      <c r="L7" s="541">
        <f>IF($B7=Assumptions!$D$9,'Capital Costs and RCV Calc'!#REF!,0)</f>
        <v>0</v>
      </c>
      <c r="M7" s="542">
        <f>SUM(C7:I7,K7:L7)*(1+0.07)^-(B7-Assumptions!$D$4)+J7</f>
        <v>24666.232044411467</v>
      </c>
    </row>
    <row r="8" spans="1:17" ht="15" customHeight="1" x14ac:dyDescent="0.25">
      <c r="B8" s="537">
        <f>B7+1</f>
        <v>2023</v>
      </c>
      <c r="C8" s="543">
        <f>IF(OR($B8&gt;Assumptions!$D$9,$B8&lt;Assumptions!$D$7),0,VLOOKUP($B8,'Travel Time Cost Savings-Detour'!$B$6:$H$25,'Travel Time Cost Savings-Detour'!$G$1,FALSE))</f>
        <v>0</v>
      </c>
      <c r="D8" s="544">
        <f>IFERROR(_xlfn.XLOOKUP($B8,'Travel Time Cost - Construction'!$B$6:$B$25,'Travel Time Cost - Construction'!$G$6:$G$25),0)</f>
        <v>-230590.4539503241</v>
      </c>
      <c r="E8" s="544">
        <f>IFERROR(_xlfn.XLOOKUP($B8,'Operating Cost-Detour'!$B$6:$B$25,'Operating Cost-Detour'!$G$6:$G$25),0)</f>
        <v>0</v>
      </c>
      <c r="F8" s="545">
        <f>IFERROR(_xlfn.XLOOKUP($B8,'Operating Cost-Roughness'!$B$6:$B$25,'Operating Cost-Roughness'!$G$6:$G$25),0)</f>
        <v>2201236.4325722167</v>
      </c>
      <c r="G8" s="546">
        <f>IFERROR(_xlfn.XLOOKUP($B8,'Safety Benefits - Side Slope'!$B$6:$B$25,'Safety Benefits - Side Slope'!$E$6:$E$25),0)</f>
        <v>988090.05581057817</v>
      </c>
      <c r="H8" s="546">
        <f>IFERROR(_xlfn.XLOOKUP($B8,'Safety Benefits - Extend Acel'!$B$6:$B$25,'Safety Benefits - Extend Acel'!$E$6:$E$25),0)</f>
        <v>166094.33948041801</v>
      </c>
      <c r="I8" s="546">
        <f>IFERROR(_xlfn.XLOOKUP($B8,'Air Quality'!$B$5:$B$24,'Air Quality'!$M$5:$M$24),0)</f>
        <v>0</v>
      </c>
      <c r="J8" s="567">
        <f>IFERROR(_xlfn.XLOOKUP($B8,'Air Quality'!$B$5:$B$24,'Air Quality'!$E$5:$E$24),0)</f>
        <v>0</v>
      </c>
      <c r="K8" s="548">
        <f>VLOOKUP($B8,'Operation and Maintenance'!$B$8:$F$47,4,FALSE)</f>
        <v>64052.657999999996</v>
      </c>
      <c r="L8" s="541">
        <f>IF($B8=Assumptions!$D$9,'Capital Costs and RCV Calc'!#REF!,0)</f>
        <v>0</v>
      </c>
      <c r="M8" s="547">
        <f>SUM(C8:I8,K8:L8)*(1+0.07)^-(B8-Assumptions!$D$4)+J8</f>
        <v>2432783.5968259382</v>
      </c>
      <c r="N8" s="87"/>
    </row>
    <row r="9" spans="1:17" ht="15" customHeight="1" x14ac:dyDescent="0.25">
      <c r="B9" s="83">
        <f t="shared" ref="B9:B35" si="0">B8+1</f>
        <v>2024</v>
      </c>
      <c r="C9" s="548">
        <f>IF(OR($B9&gt;Assumptions!$D$9,$B9&lt;Assumptions!$D$7),0,VLOOKUP($B9,'Travel Time Cost Savings-Detour'!$B$6:$H$25,'Travel Time Cost Savings-Detour'!$G$1,FALSE))</f>
        <v>0</v>
      </c>
      <c r="D9" s="549">
        <f>IFERROR(_xlfn.XLOOKUP($B9,'Travel Time Cost - Construction'!$B$6:$B$25,'Travel Time Cost - Construction'!$G$6:$G$25),0)</f>
        <v>-288537.81087149563</v>
      </c>
      <c r="E9" s="549">
        <f>IFERROR(_xlfn.XLOOKUP($B9,'Operating Cost-Detour'!$B$6:$B$25,'Operating Cost-Detour'!$G$6:$G$25),0)</f>
        <v>0</v>
      </c>
      <c r="F9" s="550">
        <f>IFERROR(_xlfn.XLOOKUP($B9,'Operating Cost-Roughness'!$B$6:$B$25,'Operating Cost-Roughness'!$G$6:$G$25),0)</f>
        <v>4189872.8722264161</v>
      </c>
      <c r="G9" s="551">
        <f>IFERROR(_xlfn.XLOOKUP($B9,'Safety Benefits - Side Slope'!$B$6:$B$25,'Safety Benefits - Side Slope'!$E$6:$E$25),0)</f>
        <v>1877620.3590107337</v>
      </c>
      <c r="H9" s="551">
        <f>IFERROR(_xlfn.XLOOKUP($B9,'Safety Benefits - Extend Acel'!$B$6:$B$25,'Safety Benefits - Extend Acel'!$E$6:$E$25),0)</f>
        <v>170658.47125130962</v>
      </c>
      <c r="I9" s="551">
        <f>IFERROR(_xlfn.XLOOKUP($B9,'Air Quality'!$B$5:$B$24,'Air Quality'!$M$5:$M$24),0)</f>
        <v>0</v>
      </c>
      <c r="J9" s="568">
        <f>IFERROR(_xlfn.XLOOKUP($B9,'Air Quality'!$B$5:$B$24,'Air Quality'!$E$5:$E$24),0)</f>
        <v>0</v>
      </c>
      <c r="K9" s="548">
        <f>VLOOKUP($B9,'Operation and Maintenance'!$B$8:$F$47,4,FALSE)</f>
        <v>104453.17600000001</v>
      </c>
      <c r="L9" s="551">
        <f>IF($B9=Assumptions!$D$9,'Capital Costs and RCV Calc'!#REF!,0)</f>
        <v>0</v>
      </c>
      <c r="M9" s="552">
        <f>SUM(C9:I9,K9:L9)*(1+0.07)^-(B9-Assumptions!$D$4)+J9</f>
        <v>4316466.1488781143</v>
      </c>
    </row>
    <row r="10" spans="1:17" ht="15" customHeight="1" x14ac:dyDescent="0.25">
      <c r="B10" s="84">
        <f t="shared" si="0"/>
        <v>2025</v>
      </c>
      <c r="C10" s="548">
        <f>IF(OR($B10&gt;Assumptions!$D$9,$B10&lt;Assumptions!$D$7),0,VLOOKUP($B10,'Travel Time Cost Savings-Detour'!$B$6:$H$25,'Travel Time Cost Savings-Detour'!$G$1,FALSE))</f>
        <v>7551742.0981868217</v>
      </c>
      <c r="D10" s="553">
        <f>IFERROR(_xlfn.XLOOKUP($B10,'Travel Time Cost - Construction'!$B$6:$B$25,'Travel Time Cost - Construction'!$G$6:$G$25),0)</f>
        <v>0</v>
      </c>
      <c r="E10" s="549">
        <f>IFERROR(_xlfn.XLOOKUP($B10,'Operating Cost-Detour'!$B$6:$B$25,'Operating Cost-Detour'!$G$6:$G$25),0)</f>
        <v>3717505.1188150244</v>
      </c>
      <c r="F10" s="550">
        <f>IFERROR(_xlfn.XLOOKUP($B10,'Operating Cost-Roughness'!$B$6:$B$25,'Operating Cost-Roughness'!$G$6:$G$25),0)</f>
        <v>5002903.2538010655</v>
      </c>
      <c r="G10" s="551">
        <f>IFERROR(_xlfn.XLOOKUP($B10,'Safety Benefits - Side Slope'!$B$6:$B$25,'Safety Benefits - Side Slope'!$E$6:$E$25),0)</f>
        <v>1120766.5176468752</v>
      </c>
      <c r="H10" s="551">
        <f>IFERROR(_xlfn.XLOOKUP($B10,'Safety Benefits - Extend Acel'!$B$6:$B$25,'Safety Benefits - Extend Acel'!$E$6:$E$25),0)</f>
        <v>128541.59682497499</v>
      </c>
      <c r="I10" s="551">
        <f>IFERROR(_xlfn.XLOOKUP($B10,'Air Quality'!$B$5:$B$24,'Air Quality'!$M$5:$M$24),0)</f>
        <v>155726.02564073773</v>
      </c>
      <c r="J10" s="568">
        <f>IFERROR(_xlfn.XLOOKUP($B10,'Air Quality'!$B$5:$B$24,'Air Quality'!$E$5:$E$24),0)</f>
        <v>164596.55670857249</v>
      </c>
      <c r="K10" s="548">
        <f>VLOOKUP($B10,'Operation and Maintenance'!$B$8:$F$47,4,FALSE)</f>
        <v>78377.525615384628</v>
      </c>
      <c r="L10" s="541">
        <f>IF($B10=Assumptions!$D$9,'Capital Costs and RCV Calc'!#REF!,0)</f>
        <v>0</v>
      </c>
      <c r="M10" s="554">
        <f>SUM(C10:I10,K10:L10)*(1+0.07)^-(B10-Assumptions!$D$4)+J10</f>
        <v>11995877.315876827</v>
      </c>
    </row>
    <row r="11" spans="1:17" ht="15" customHeight="1" x14ac:dyDescent="0.25">
      <c r="A11" s="73"/>
      <c r="B11" s="84">
        <f t="shared" si="0"/>
        <v>2026</v>
      </c>
      <c r="C11" s="548">
        <f>IF(OR($B11&gt;Assumptions!$D$9,$B11&lt;Assumptions!$D$7),0,VLOOKUP($B11,'Travel Time Cost Savings-Detour'!$B$6:$H$25,'Travel Time Cost Savings-Detour'!$G$1,FALSE))</f>
        <v>7694789.4116899315</v>
      </c>
      <c r="D11" s="553">
        <f>IFERROR(_xlfn.XLOOKUP($B11,'Travel Time Cost - Construction'!$B$6:$B$25,'Travel Time Cost - Construction'!$G$6:$G$25),0)</f>
        <v>0</v>
      </c>
      <c r="E11" s="549">
        <f>IFERROR(_xlfn.XLOOKUP($B11,'Operating Cost-Detour'!$B$6:$B$25,'Operating Cost-Detour'!$G$6:$G$25),0)</f>
        <v>3787923.1909984211</v>
      </c>
      <c r="F11" s="550">
        <f>IFERROR(_xlfn.XLOOKUP($B11,'Operating Cost-Roughness'!$B$6:$B$25,'Operating Cost-Roughness'!$G$6:$G$25),0)</f>
        <v>5097669.7144226544</v>
      </c>
      <c r="G11" s="551">
        <f>IFERROR(_xlfn.XLOOKUP($B11,'Safety Benefits - Side Slope'!$B$6:$B$25,'Safety Benefits - Side Slope'!$E$6:$E$25),0)</f>
        <v>1136726.7073527351</v>
      </c>
      <c r="H11" s="551">
        <f>IFERROR(_xlfn.XLOOKUP($B11,'Safety Benefits - Extend Acel'!$B$6:$B$25,'Safety Benefits - Extend Acel'!$E$6:$E$25),0)</f>
        <v>130935.74698337342</v>
      </c>
      <c r="I11" s="551">
        <f>IFERROR(_xlfn.XLOOKUP($B11,'Air Quality'!$B$5:$B$24,'Air Quality'!$M$5:$M$24),0)</f>
        <v>160591.28240991285</v>
      </c>
      <c r="J11" s="568">
        <f>IFERROR(_xlfn.XLOOKUP($B11,'Air Quality'!$B$5:$B$24,'Air Quality'!$E$5:$E$24),0)</f>
        <v>165737.17750559511</v>
      </c>
      <c r="K11" s="548">
        <f>VLOOKUP($B11,'Operation and Maintenance'!$B$8:$F$47,4,FALSE)</f>
        <v>78198.870384615395</v>
      </c>
      <c r="L11" s="551">
        <f>IF($B11=Assumptions!$D$9,'Capital Costs and RCV Calc'!#REF!,0)</f>
        <v>0</v>
      </c>
      <c r="M11" s="554">
        <f>SUM(C11:I11,K11:L11)*(1+0.07)^-(B11-Assumptions!$D$4)+J11</f>
        <v>11429308.958086288</v>
      </c>
      <c r="N11" s="73"/>
      <c r="O11" s="73"/>
      <c r="P11" s="73"/>
      <c r="Q11" s="73"/>
    </row>
    <row r="12" spans="1:17" ht="15" customHeight="1" x14ac:dyDescent="0.25">
      <c r="A12" s="73"/>
      <c r="B12" s="84">
        <f t="shared" si="0"/>
        <v>2027</v>
      </c>
      <c r="C12" s="548">
        <f>IF(OR($B12&gt;Assumptions!$D$9,$B12&lt;Assumptions!$D$7),0,VLOOKUP($B12,'Travel Time Cost Savings-Detour'!$B$6:$H$25,'Travel Time Cost Savings-Detour'!$G$1,FALSE))</f>
        <v>7837836.7251930414</v>
      </c>
      <c r="D12" s="553">
        <f>IFERROR(_xlfn.XLOOKUP($B12,'Travel Time Cost - Construction'!$B$6:$B$25,'Travel Time Cost - Construction'!$G$6:$G$25),0)</f>
        <v>0</v>
      </c>
      <c r="E12" s="549">
        <f>IFERROR(_xlfn.XLOOKUP($B12,'Operating Cost-Detour'!$B$6:$B$25,'Operating Cost-Detour'!$G$6:$G$25),0)</f>
        <v>3858341.2631818186</v>
      </c>
      <c r="F12" s="550">
        <f>IFERROR(_xlfn.XLOOKUP($B12,'Operating Cost-Roughness'!$B$6:$B$25,'Operating Cost-Roughness'!$G$6:$G$25),0)</f>
        <v>5192436.1750442432</v>
      </c>
      <c r="G12" s="551">
        <f>IFERROR(_xlfn.XLOOKUP($B12,'Safety Benefits - Side Slope'!$B$6:$B$25,'Safety Benefits - Side Slope'!$E$6:$E$25),0)</f>
        <v>1152686.8970585987</v>
      </c>
      <c r="H12" s="551">
        <f>IFERROR(_xlfn.XLOOKUP($B12,'Safety Benefits - Extend Acel'!$B$6:$B$25,'Safety Benefits - Extend Acel'!$E$6:$E$25),0)</f>
        <v>133329.89714176441</v>
      </c>
      <c r="I12" s="551">
        <f>IFERROR(_xlfn.XLOOKUP($B12,'Air Quality'!$B$5:$B$24,'Air Quality'!$M$5:$M$24),0)</f>
        <v>166403.43929679619</v>
      </c>
      <c r="J12" s="568">
        <f>IFERROR(_xlfn.XLOOKUP($B12,'Air Quality'!$B$5:$B$24,'Air Quality'!$E$5:$E$24),0)</f>
        <v>166776.68041052282</v>
      </c>
      <c r="K12" s="548">
        <f>VLOOKUP($B12,'Operation and Maintenance'!$B$8:$F$47,4,FALSE)</f>
        <v>78020.298461538478</v>
      </c>
      <c r="L12" s="541">
        <f>IF($B12=Assumptions!$D$9,'Capital Costs and RCV Calc'!#REF!,0)</f>
        <v>0</v>
      </c>
      <c r="M12" s="554">
        <f>SUM(C12:I12,K12:L12)*(1+0.07)^-(B12-Assumptions!$D$4)+J12</f>
        <v>10886834.210601823</v>
      </c>
      <c r="N12" s="73"/>
      <c r="O12" s="73"/>
      <c r="P12" s="73"/>
      <c r="Q12" s="73"/>
    </row>
    <row r="13" spans="1:17" ht="15" customHeight="1" x14ac:dyDescent="0.25">
      <c r="A13" s="73"/>
      <c r="B13" s="84">
        <f t="shared" si="0"/>
        <v>2028</v>
      </c>
      <c r="C13" s="548">
        <f>IF(OR($B13&gt;Assumptions!$D$9,$B13&lt;Assumptions!$D$7),0,VLOOKUP($B13,'Travel Time Cost Savings-Detour'!$B$6:$H$25,'Travel Time Cost Savings-Detour'!$G$1,FALSE))</f>
        <v>7980884.0386961503</v>
      </c>
      <c r="D13" s="553">
        <f>IFERROR(_xlfn.XLOOKUP($B13,'Travel Time Cost - Construction'!$B$6:$B$25,'Travel Time Cost - Construction'!$G$6:$G$25),0)</f>
        <v>0</v>
      </c>
      <c r="E13" s="549">
        <f>IFERROR(_xlfn.XLOOKUP($B13,'Operating Cost-Detour'!$B$6:$B$25,'Operating Cost-Detour'!$G$6:$G$25),0)</f>
        <v>3928759.3353652153</v>
      </c>
      <c r="F13" s="550">
        <f>IFERROR(_xlfn.XLOOKUP($B13,'Operating Cost-Roughness'!$B$6:$B$25,'Operating Cost-Roughness'!$G$6:$G$25),0)</f>
        <v>5287202.6356658321</v>
      </c>
      <c r="G13" s="551">
        <f>IFERROR(_xlfn.XLOOKUP($B13,'Safety Benefits - Side Slope'!$B$6:$B$25,'Safety Benefits - Side Slope'!$E$6:$E$25),0)</f>
        <v>1168647.0867644548</v>
      </c>
      <c r="H13" s="551">
        <f>IFERROR(_xlfn.XLOOKUP($B13,'Safety Benefits - Extend Acel'!$B$6:$B$25,'Safety Benefits - Extend Acel'!$E$6:$E$25),0)</f>
        <v>135724.04730016284</v>
      </c>
      <c r="I13" s="551">
        <f>IFERROR(_xlfn.XLOOKUP($B13,'Air Quality'!$B$5:$B$24,'Air Quality'!$M$5:$M$24),0)</f>
        <v>171432.92156678019</v>
      </c>
      <c r="J13" s="568">
        <f>IFERROR(_xlfn.XLOOKUP($B13,'Air Quality'!$B$5:$B$24,'Air Quality'!$E$5:$E$24),0)</f>
        <v>167716.93108970003</v>
      </c>
      <c r="K13" s="548">
        <f>VLOOKUP($B13,'Operation and Maintenance'!$B$8:$F$47,4,FALSE)</f>
        <v>77841.670923076905</v>
      </c>
      <c r="L13" s="541">
        <f>IF($B13=Assumptions!$D$9,'Capital Costs and RCV Calc'!#REF!,0)</f>
        <v>0</v>
      </c>
      <c r="M13" s="554">
        <f>SUM(C13:I13,K13:L13)*(1+0.07)^-(B13-Assumptions!$D$4)+J13</f>
        <v>10366742.076498529</v>
      </c>
      <c r="N13" s="73"/>
      <c r="O13" s="73"/>
      <c r="P13" s="73"/>
      <c r="Q13" s="73"/>
    </row>
    <row r="14" spans="1:17" ht="15" customHeight="1" x14ac:dyDescent="0.25">
      <c r="A14" s="73"/>
      <c r="B14" s="84">
        <f t="shared" si="0"/>
        <v>2029</v>
      </c>
      <c r="C14" s="548">
        <f>IF(OR($B14&gt;Assumptions!$D$9,$B14&lt;Assumptions!$D$7),0,VLOOKUP($B14,'Travel Time Cost Savings-Detour'!$B$6:$H$25,'Travel Time Cost Savings-Detour'!$G$1,FALSE))</f>
        <v>8123931.3521992601</v>
      </c>
      <c r="D14" s="553">
        <f>IFERROR(_xlfn.XLOOKUP($B14,'Travel Time Cost - Construction'!$B$6:$B$25,'Travel Time Cost - Construction'!$G$6:$G$25),0)</f>
        <v>0</v>
      </c>
      <c r="E14" s="549">
        <f>IFERROR(_xlfn.XLOOKUP($B14,'Operating Cost-Detour'!$B$6:$B$25,'Operating Cost-Detour'!$G$6:$G$25),0)</f>
        <v>3999177.407548612</v>
      </c>
      <c r="F14" s="550">
        <f>IFERROR(_xlfn.XLOOKUP($B14,'Operating Cost-Roughness'!$B$6:$B$25,'Operating Cost-Roughness'!$G$6:$G$25),0)</f>
        <v>5381969.096287421</v>
      </c>
      <c r="G14" s="551">
        <f>IFERROR(_xlfn.XLOOKUP($B14,'Safety Benefits - Side Slope'!$B$6:$B$25,'Safety Benefits - Side Slope'!$E$6:$E$25),0)</f>
        <v>1184607.2764703184</v>
      </c>
      <c r="H14" s="551">
        <f>IFERROR(_xlfn.XLOOKUP($B14,'Safety Benefits - Extend Acel'!$B$6:$B$25,'Safety Benefits - Extend Acel'!$E$6:$E$25),0)</f>
        <v>138118.19745855744</v>
      </c>
      <c r="I14" s="551">
        <f>IFERROR(_xlfn.XLOOKUP($B14,'Air Quality'!$B$5:$B$24,'Air Quality'!$M$5:$M$24),0)</f>
        <v>176537.77154162352</v>
      </c>
      <c r="J14" s="568">
        <f>IFERROR(_xlfn.XLOOKUP($B14,'Air Quality'!$B$5:$B$24,'Air Quality'!$E$5:$E$24),0)</f>
        <v>168559.86135262309</v>
      </c>
      <c r="K14" s="548">
        <f>VLOOKUP($B14,'Operation and Maintenance'!$B$8:$F$47,4,FALSE)</f>
        <v>77663.069000000018</v>
      </c>
      <c r="L14" s="541">
        <f>IF($B14=Assumptions!$D$9,'Capital Costs and RCV Calc'!#REF!,0)</f>
        <v>0</v>
      </c>
      <c r="M14" s="554">
        <f>SUM(C14:I14,K14:L14)*(1+0.07)^-(B14-Assumptions!$D$4)+J14</f>
        <v>9868883.1739409752</v>
      </c>
      <c r="N14" s="73"/>
      <c r="O14" s="73"/>
      <c r="P14" s="73"/>
      <c r="Q14" s="73"/>
    </row>
    <row r="15" spans="1:17" ht="15" customHeight="1" x14ac:dyDescent="0.25">
      <c r="A15" s="73"/>
      <c r="B15" s="84">
        <f t="shared" si="0"/>
        <v>2030</v>
      </c>
      <c r="C15" s="548">
        <f>IF(OR($B15&gt;Assumptions!$D$9,$B15&lt;Assumptions!$D$7),0,VLOOKUP($B15,'Travel Time Cost Savings-Detour'!$B$6:$H$25,'Travel Time Cost Savings-Detour'!$G$1,FALSE))</f>
        <v>33067914.662809484</v>
      </c>
      <c r="D15" s="553">
        <f>IFERROR(_xlfn.XLOOKUP($B15,'Travel Time Cost - Construction'!$B$6:$B$25,'Travel Time Cost - Construction'!$G$6:$G$25),0)</f>
        <v>0</v>
      </c>
      <c r="E15" s="549">
        <f>IFERROR(_xlfn.XLOOKUP($B15,'Operating Cost-Detour'!$B$6:$B$25,'Operating Cost-Detour'!$G$6:$G$25),0)</f>
        <v>10464674.090739399</v>
      </c>
      <c r="F15" s="550">
        <f>IFERROR(_xlfn.XLOOKUP($B15,'Operating Cost-Roughness'!$B$6:$B$25,'Operating Cost-Roughness'!$G$6:$G$25),0)</f>
        <v>0</v>
      </c>
      <c r="G15" s="551">
        <f>IFERROR(_xlfn.XLOOKUP($B15,'Safety Benefits - Side Slope'!$B$6:$B$25,'Safety Benefits - Side Slope'!$E$6:$E$25),0)</f>
        <v>0</v>
      </c>
      <c r="H15" s="551">
        <f>IFERROR(_xlfn.XLOOKUP($B15,'Safety Benefits - Extend Acel'!$B$6:$B$25,'Safety Benefits - Extend Acel'!$E$6:$E$25),0)</f>
        <v>0</v>
      </c>
      <c r="I15" s="551">
        <f>IFERROR(_xlfn.XLOOKUP($B15,'Air Quality'!$B$5:$B$24,'Air Quality'!$M$5:$M$24),0)</f>
        <v>469634.93669325748</v>
      </c>
      <c r="J15" s="568">
        <f>IFERROR(_xlfn.XLOOKUP($B15,'Air Quality'!$B$5:$B$24,'Air Quality'!$E$5:$E$24),0)</f>
        <v>435362.0428872201</v>
      </c>
      <c r="K15" s="548">
        <f>VLOOKUP($B15,'Operation and Maintenance'!$B$8:$F$47,4,FALSE)</f>
        <v>-43413.866000000002</v>
      </c>
      <c r="L15" s="541">
        <f>IF($B15=Assumptions!$D$9,'Capital Costs and RCV Calc'!#REF!,0)</f>
        <v>0</v>
      </c>
      <c r="M15" s="554">
        <f>SUM(C15:I15,K15:L15)*(1+0.07)^-(B15-Assumptions!$D$4)+J15</f>
        <v>21319875.928156536</v>
      </c>
      <c r="N15" s="73"/>
      <c r="O15" s="73"/>
      <c r="P15" s="73"/>
      <c r="Q15" s="73"/>
    </row>
    <row r="16" spans="1:17" ht="15" customHeight="1" x14ac:dyDescent="0.25">
      <c r="A16" s="73"/>
      <c r="B16" s="84">
        <f t="shared" si="0"/>
        <v>2031</v>
      </c>
      <c r="C16" s="548">
        <f>IF(OR($B16&gt;Assumptions!$D$9,$B16&lt;Assumptions!$D$7),0,VLOOKUP($B16,'Travel Time Cost Savings-Detour'!$B$6:$H$25,'Travel Time Cost Savings-Detour'!$G$1,FALSE))</f>
        <v>33640103.916821927</v>
      </c>
      <c r="D16" s="553">
        <f>IFERROR(_xlfn.XLOOKUP($B16,'Travel Time Cost - Construction'!$B$6:$B$25,'Travel Time Cost - Construction'!$G$6:$G$25),0)</f>
        <v>0</v>
      </c>
      <c r="E16" s="549">
        <f>IFERROR(_xlfn.XLOOKUP($B16,'Operating Cost-Detour'!$B$6:$B$25,'Operating Cost-Detour'!$G$6:$G$25),0)</f>
        <v>10645749.133496717</v>
      </c>
      <c r="F16" s="550">
        <f>IFERROR(_xlfn.XLOOKUP($B16,'Operating Cost-Roughness'!$B$6:$B$25,'Operating Cost-Roughness'!$G$6:$G$25),0)</f>
        <v>0</v>
      </c>
      <c r="G16" s="551">
        <f>IFERROR(_xlfn.XLOOKUP($B16,'Safety Benefits - Side Slope'!$B$6:$B$25,'Safety Benefits - Side Slope'!$E$6:$E$25),0)</f>
        <v>0</v>
      </c>
      <c r="H16" s="551">
        <f>IFERROR(_xlfn.XLOOKUP($B16,'Safety Benefits - Extend Acel'!$B$6:$B$25,'Safety Benefits - Extend Acel'!$E$6:$E$25),0)</f>
        <v>0</v>
      </c>
      <c r="I16" s="551">
        <f>IFERROR(_xlfn.XLOOKUP($B16,'Air Quality'!$B$5:$B$24,'Air Quality'!$M$5:$M$24),0)</f>
        <v>477761.24483287928</v>
      </c>
      <c r="J16" s="568">
        <f>IFERROR(_xlfn.XLOOKUP($B16,'Air Quality'!$B$5:$B$24,'Air Quality'!$E$5:$E$24),0)</f>
        <v>437044.55373206257</v>
      </c>
      <c r="K16" s="548">
        <f>VLOOKUP($B16,'Operation and Maintenance'!$B$8:$F$47,4,FALSE)</f>
        <v>-49536.414999999994</v>
      </c>
      <c r="L16" s="541">
        <f>IF($B16=Assumptions!$D$9,'Capital Costs and RCV Calc'!#REF!,0)</f>
        <v>0</v>
      </c>
      <c r="M16" s="554">
        <f>SUM(C16:I16,K16:L16)*(1+0.07)^-(B16-Assumptions!$D$4)+J16</f>
        <v>20290629.878940966</v>
      </c>
      <c r="N16" s="73"/>
      <c r="O16" s="73"/>
      <c r="P16" s="73"/>
      <c r="Q16" s="73"/>
    </row>
    <row r="17" spans="1:19" ht="15" customHeight="1" x14ac:dyDescent="0.25">
      <c r="A17" s="73"/>
      <c r="B17" s="84">
        <f t="shared" si="0"/>
        <v>2032</v>
      </c>
      <c r="C17" s="548">
        <f>IF(OR($B17&gt;Assumptions!$D$9,$B17&lt;Assumptions!$D$7),0,VLOOKUP($B17,'Travel Time Cost Savings-Detour'!$B$6:$H$25,'Travel Time Cost Savings-Detour'!$G$1,FALSE))</f>
        <v>34212293.170834579</v>
      </c>
      <c r="D17" s="553">
        <f>IFERROR(_xlfn.XLOOKUP($B17,'Travel Time Cost - Construction'!$B$6:$B$25,'Travel Time Cost - Construction'!$G$6:$G$25),0)</f>
        <v>0</v>
      </c>
      <c r="E17" s="549">
        <f>IFERROR(_xlfn.XLOOKUP($B17,'Operating Cost-Detour'!$B$6:$B$25,'Operating Cost-Detour'!$G$6:$G$25),0)</f>
        <v>10826824.176254034</v>
      </c>
      <c r="F17" s="550">
        <f>IFERROR(_xlfn.XLOOKUP($B17,'Operating Cost-Roughness'!$B$6:$B$25,'Operating Cost-Roughness'!$G$6:$G$25),0)</f>
        <v>0</v>
      </c>
      <c r="G17" s="551">
        <f>IFERROR(_xlfn.XLOOKUP($B17,'Safety Benefits - Side Slope'!$B$6:$B$25,'Safety Benefits - Side Slope'!$E$6:$E$25),0)</f>
        <v>0</v>
      </c>
      <c r="H17" s="551">
        <f>IFERROR(_xlfn.XLOOKUP($B17,'Safety Benefits - Extend Acel'!$B$6:$B$25,'Safety Benefits - Extend Acel'!$E$6:$E$25),0)</f>
        <v>0</v>
      </c>
      <c r="I17" s="551">
        <f>IFERROR(_xlfn.XLOOKUP($B17,'Air Quality'!$B$5:$B$24,'Air Quality'!$M$5:$M$24),0)</f>
        <v>485887.55297250103</v>
      </c>
      <c r="J17" s="568">
        <f>IFERROR(_xlfn.XLOOKUP($B17,'Air Quality'!$B$5:$B$24,'Air Quality'!$E$5:$E$24),0)</f>
        <v>438492.53484145278</v>
      </c>
      <c r="K17" s="548">
        <f>VLOOKUP($B17,'Operation and Maintenance'!$B$8:$F$47,4,FALSE)</f>
        <v>-55658.914999999994</v>
      </c>
      <c r="L17" s="541">
        <f>IF($B17=Assumptions!$D$9,'Capital Costs and RCV Calc'!#REF!,0)</f>
        <v>0</v>
      </c>
      <c r="M17" s="554">
        <f>SUM(C17:I17,K17:L17)*(1+0.07)^-(B17-Assumptions!$D$4)+J17</f>
        <v>19306654.58738523</v>
      </c>
      <c r="N17" s="73"/>
      <c r="O17" s="73"/>
      <c r="P17" s="73"/>
      <c r="Q17" s="73"/>
    </row>
    <row r="18" spans="1:19" ht="15" customHeight="1" x14ac:dyDescent="0.25">
      <c r="B18" s="84">
        <f t="shared" si="0"/>
        <v>2033</v>
      </c>
      <c r="C18" s="548">
        <f>IF(OR($B18&gt;Assumptions!$D$9,$B18&lt;Assumptions!$D$7),0,VLOOKUP($B18,'Travel Time Cost Savings-Detour'!$B$6:$H$25,'Travel Time Cost Savings-Detour'!$G$1,FALSE))</f>
        <v>34784482.424846791</v>
      </c>
      <c r="D18" s="553">
        <f>IFERROR(_xlfn.XLOOKUP($B18,'Travel Time Cost - Construction'!$B$6:$B$25,'Travel Time Cost - Construction'!$G$6:$G$25),0)</f>
        <v>0</v>
      </c>
      <c r="E18" s="549">
        <f>IFERROR(_xlfn.XLOOKUP($B18,'Operating Cost-Detour'!$B$6:$B$25,'Operating Cost-Detour'!$G$6:$G$25),0)</f>
        <v>11007899.219011366</v>
      </c>
      <c r="F18" s="550">
        <f>IFERROR(_xlfn.XLOOKUP($B18,'Operating Cost-Roughness'!$B$6:$B$25,'Operating Cost-Roughness'!$G$6:$G$25),0)</f>
        <v>0</v>
      </c>
      <c r="G18" s="551">
        <f>IFERROR(_xlfn.XLOOKUP($B18,'Safety Benefits - Side Slope'!$B$6:$B$25,'Safety Benefits - Side Slope'!$E$6:$E$25),0)</f>
        <v>0</v>
      </c>
      <c r="H18" s="551">
        <f>IFERROR(_xlfn.XLOOKUP($B18,'Safety Benefits - Extend Acel'!$B$6:$B$25,'Safety Benefits - Extend Acel'!$E$6:$E$25),0)</f>
        <v>0</v>
      </c>
      <c r="I18" s="551">
        <f>IFERROR(_xlfn.XLOOKUP($B18,'Air Quality'!$B$5:$B$24,'Air Quality'!$M$5:$M$24),0)</f>
        <v>494013.86111212271</v>
      </c>
      <c r="J18" s="568">
        <f>IFERROR(_xlfn.XLOOKUP($B18,'Air Quality'!$B$5:$B$24,'Air Quality'!$E$5:$E$24),0)</f>
        <v>439711.43981528631</v>
      </c>
      <c r="K18" s="548">
        <f>VLOOKUP($B18,'Operation and Maintenance'!$B$8:$F$47,4,FALSE)</f>
        <v>-61781.464000000007</v>
      </c>
      <c r="L18" s="541">
        <f>IF($B18=Assumptions!$D$9,'Capital Costs and RCV Calc'!#REF!,0)</f>
        <v>0</v>
      </c>
      <c r="M18" s="554">
        <f>SUM(C18:I18,K18:L18)*(1+0.07)^-(B18-Assumptions!$D$4)+J18</f>
        <v>18366413.724275079</v>
      </c>
    </row>
    <row r="19" spans="1:19" ht="15" customHeight="1" x14ac:dyDescent="0.25">
      <c r="B19" s="84">
        <f t="shared" si="0"/>
        <v>2034</v>
      </c>
      <c r="C19" s="548">
        <f>IF(OR($B19&gt;Assumptions!$D$9,$B19&lt;Assumptions!$D$7),0,VLOOKUP($B19,'Travel Time Cost Savings-Detour'!$B$6:$H$25,'Travel Time Cost Savings-Detour'!$G$1,FALSE))</f>
        <v>35356671.678859234</v>
      </c>
      <c r="D19" s="553">
        <f>IFERROR(_xlfn.XLOOKUP($B19,'Travel Time Cost - Construction'!$B$6:$B$25,'Travel Time Cost - Construction'!$G$6:$G$25),0)</f>
        <v>0</v>
      </c>
      <c r="E19" s="549">
        <f>IFERROR(_xlfn.XLOOKUP($B19,'Operating Cost-Detour'!$B$6:$B$25,'Operating Cost-Detour'!$G$6:$G$25),0)</f>
        <v>11188974.261768684</v>
      </c>
      <c r="F19" s="550">
        <f>IFERROR(_xlfn.XLOOKUP($B19,'Operating Cost-Roughness'!$B$6:$B$25,'Operating Cost-Roughness'!$G$6:$G$25),0)</f>
        <v>0</v>
      </c>
      <c r="G19" s="551">
        <f>IFERROR(_xlfn.XLOOKUP($B19,'Safety Benefits - Side Slope'!$B$6:$B$25,'Safety Benefits - Side Slope'!$E$6:$E$25),0)</f>
        <v>0</v>
      </c>
      <c r="H19" s="551">
        <f>IFERROR(_xlfn.XLOOKUP($B19,'Safety Benefits - Extend Acel'!$B$6:$B$25,'Safety Benefits - Extend Acel'!$E$6:$E$25),0)</f>
        <v>0</v>
      </c>
      <c r="I19" s="551">
        <f>IFERROR(_xlfn.XLOOKUP($B19,'Air Quality'!$B$5:$B$24,'Air Quality'!$M$5:$M$24),0)</f>
        <v>502140.16925174458</v>
      </c>
      <c r="J19" s="568">
        <f>IFERROR(_xlfn.XLOOKUP($B19,'Air Quality'!$B$5:$B$24,'Air Quality'!$E$5:$E$24),0)</f>
        <v>447486.90566399682</v>
      </c>
      <c r="K19" s="548">
        <f>VLOOKUP($B19,'Operation and Maintenance'!$B$8:$F$47,4,FALSE)</f>
        <v>-67903.853999999992</v>
      </c>
      <c r="L19" s="541">
        <f>IF($B19=Assumptions!$D$9,'Capital Costs and RCV Calc'!#REF!,0)</f>
        <v>0</v>
      </c>
      <c r="M19" s="554">
        <f>SUM(C19:I19,K19:L19)*(1+0.07)^-(B19-Assumptions!$D$4)+J19</f>
        <v>17475158.232574303</v>
      </c>
    </row>
    <row r="20" spans="1:19" ht="15" customHeight="1" x14ac:dyDescent="0.25">
      <c r="B20" s="84">
        <f t="shared" si="0"/>
        <v>2035</v>
      </c>
      <c r="C20" s="548">
        <f>IF(OR($B20&gt;Assumptions!$D$9,$B20&lt;Assumptions!$D$7),0,VLOOKUP($B20,'Travel Time Cost Savings-Detour'!$B$6:$H$25,'Travel Time Cost Savings-Detour'!$G$1,FALSE))</f>
        <v>35928860.9328719</v>
      </c>
      <c r="D20" s="553">
        <f>IFERROR(_xlfn.XLOOKUP($B20,'Travel Time Cost - Construction'!$B$6:$B$25,'Travel Time Cost - Construction'!$G$6:$G$25),0)</f>
        <v>0</v>
      </c>
      <c r="E20" s="549">
        <f>IFERROR(_xlfn.XLOOKUP($B20,'Operating Cost-Detour'!$B$6:$B$25,'Operating Cost-Detour'!$G$6:$G$25),0)</f>
        <v>11370049.304526016</v>
      </c>
      <c r="F20" s="550">
        <f>IFERROR(_xlfn.XLOOKUP($B20,'Operating Cost-Roughness'!$B$6:$B$25,'Operating Cost-Roughness'!$G$6:$G$25),0)</f>
        <v>0</v>
      </c>
      <c r="G20" s="551">
        <f>IFERROR(_xlfn.XLOOKUP($B20,'Safety Benefits - Side Slope'!$B$6:$B$25,'Safety Benefits - Side Slope'!$E$6:$E$25),0)</f>
        <v>0</v>
      </c>
      <c r="H20" s="551">
        <f>IFERROR(_xlfn.XLOOKUP($B20,'Safety Benefits - Extend Acel'!$B$6:$B$25,'Safety Benefits - Extend Acel'!$E$6:$E$25),0)</f>
        <v>0</v>
      </c>
      <c r="I20" s="551">
        <f>IFERROR(_xlfn.XLOOKUP($B20,'Air Quality'!$B$5:$B$24,'Air Quality'!$M$5:$M$24),0)</f>
        <v>510266.47739136632</v>
      </c>
      <c r="J20" s="568">
        <f>IFERROR(_xlfn.XLOOKUP($B20,'Air Quality'!$B$5:$B$24,'Air Quality'!$E$5:$E$24),0)</f>
        <v>448173.36945200042</v>
      </c>
      <c r="K20" s="548">
        <f>VLOOKUP($B20,'Operation and Maintenance'!$B$8:$F$47,4,FALSE)</f>
        <v>-74026.353000000003</v>
      </c>
      <c r="L20" s="541">
        <f>IF($B20=Assumptions!$D$9,'Capital Costs and RCV Calc'!#REF!,0)</f>
        <v>0</v>
      </c>
      <c r="M20" s="554">
        <f>SUM(C20:I20,K20:L20)*(1+0.07)^-(B20-Assumptions!$D$4)+J20</f>
        <v>16617720.328012817</v>
      </c>
    </row>
    <row r="21" spans="1:19" ht="15" customHeight="1" x14ac:dyDescent="0.25">
      <c r="B21" s="84">
        <f t="shared" si="0"/>
        <v>2036</v>
      </c>
      <c r="C21" s="548">
        <f>IF(OR($B21&gt;Assumptions!$D$9,$B21&lt;Assumptions!$D$7),0,VLOOKUP($B21,'Travel Time Cost Savings-Detour'!$B$6:$H$25,'Travel Time Cost Savings-Detour'!$G$1,FALSE))</f>
        <v>36501050.186884113</v>
      </c>
      <c r="D21" s="553">
        <f>IFERROR(_xlfn.XLOOKUP($B21,'Travel Time Cost - Construction'!$B$6:$B$25,'Travel Time Cost - Construction'!$G$6:$G$25),0)</f>
        <v>0</v>
      </c>
      <c r="E21" s="549">
        <f>IFERROR(_xlfn.XLOOKUP($B21,'Operating Cost-Detour'!$B$6:$B$25,'Operating Cost-Detour'!$G$6:$G$25),0)</f>
        <v>11551124.347283334</v>
      </c>
      <c r="F21" s="550">
        <f>IFERROR(_xlfn.XLOOKUP($B21,'Operating Cost-Roughness'!$B$6:$B$25,'Operating Cost-Roughness'!$G$6:$G$25),0)</f>
        <v>0</v>
      </c>
      <c r="G21" s="551">
        <f>IFERROR(_xlfn.XLOOKUP($B21,'Safety Benefits - Side Slope'!$B$6:$B$25,'Safety Benefits - Side Slope'!$E$6:$E$25),0)</f>
        <v>0</v>
      </c>
      <c r="H21" s="551">
        <f>IFERROR(_xlfn.XLOOKUP($B21,'Safety Benefits - Extend Acel'!$B$6:$B$25,'Safety Benefits - Extend Acel'!$E$6:$E$25),0)</f>
        <v>0</v>
      </c>
      <c r="I21" s="551">
        <f>IFERROR(_xlfn.XLOOKUP($B21,'Air Quality'!$B$5:$B$24,'Air Quality'!$M$5:$M$24),0)</f>
        <v>518392.78553098807</v>
      </c>
      <c r="J21" s="568">
        <f>IFERROR(_xlfn.XLOOKUP($B21,'Air Quality'!$B$5:$B$24,'Air Quality'!$E$5:$E$24),0)</f>
        <v>448647.07792113838</v>
      </c>
      <c r="K21" s="548">
        <f>VLOOKUP($B21,'Operation and Maintenance'!$B$8:$F$47,4,FALSE)</f>
        <v>-78726.479000000007</v>
      </c>
      <c r="L21" s="541">
        <f>IF($B21=Assumptions!$D$9,'Capital Costs and RCV Calc'!#REF!,0)</f>
        <v>0</v>
      </c>
      <c r="M21" s="554">
        <f>SUM(C21:I21,K21:L21)*(1+0.07)^-(B21-Assumptions!$D$4)+J21</f>
        <v>15799922.034547888</v>
      </c>
    </row>
    <row r="22" spans="1:19" ht="15" customHeight="1" x14ac:dyDescent="0.25">
      <c r="B22" s="84">
        <f t="shared" si="0"/>
        <v>2037</v>
      </c>
      <c r="C22" s="548">
        <f>IF(OR($B22&gt;Assumptions!$D$9,$B22&lt;Assumptions!$D$7),0,VLOOKUP($B22,'Travel Time Cost Savings-Detour'!$B$6:$H$25,'Travel Time Cost Savings-Detour'!$G$1,FALSE))</f>
        <v>37073239.440896556</v>
      </c>
      <c r="D22" s="553">
        <f>IFERROR(_xlfn.XLOOKUP($B22,'Travel Time Cost - Construction'!$B$6:$B$25,'Travel Time Cost - Construction'!$G$6:$G$25),0)</f>
        <v>0</v>
      </c>
      <c r="E22" s="549">
        <f>IFERROR(_xlfn.XLOOKUP($B22,'Operating Cost-Detour'!$B$6:$B$25,'Operating Cost-Detour'!$G$6:$G$25),0)</f>
        <v>11732199.390040666</v>
      </c>
      <c r="F22" s="550">
        <f>IFERROR(_xlfn.XLOOKUP($B22,'Operating Cost-Roughness'!$B$6:$B$25,'Operating Cost-Roughness'!$G$6:$G$25),0)</f>
        <v>0</v>
      </c>
      <c r="G22" s="551">
        <f>IFERROR(_xlfn.XLOOKUP($B22,'Safety Benefits - Side Slope'!$B$6:$B$25,'Safety Benefits - Side Slope'!$E$6:$E$25),0)</f>
        <v>0</v>
      </c>
      <c r="H22" s="551">
        <f>IFERROR(_xlfn.XLOOKUP($B22,'Safety Benefits - Extend Acel'!$B$6:$B$25,'Safety Benefits - Extend Acel'!$E$6:$E$25),0)</f>
        <v>0</v>
      </c>
      <c r="I22" s="551">
        <f>IFERROR(_xlfn.XLOOKUP($B22,'Air Quality'!$B$5:$B$24,'Air Quality'!$M$5:$M$24),0)</f>
        <v>526519.09367060976</v>
      </c>
      <c r="J22" s="568">
        <f>IFERROR(_xlfn.XLOOKUP($B22,'Air Quality'!$B$5:$B$24,'Air Quality'!$E$5:$E$24),0)</f>
        <v>448913.81740995025</v>
      </c>
      <c r="K22" s="548">
        <f>VLOOKUP($B22,'Operation and Maintenance'!$B$8:$F$47,4,FALSE)</f>
        <v>-84848.879000000001</v>
      </c>
      <c r="L22" s="541">
        <f>IF($B22=Assumptions!$D$9,'Capital Costs and RCV Calc'!#REF!,0)</f>
        <v>0</v>
      </c>
      <c r="M22" s="554">
        <f>SUM(C22:I22,K22:L22)*(1+0.07)^-(B22-Assumptions!$D$4)+J22</f>
        <v>15019356.367160289</v>
      </c>
    </row>
    <row r="23" spans="1:19" ht="15" customHeight="1" x14ac:dyDescent="0.25">
      <c r="B23" s="84">
        <f t="shared" si="0"/>
        <v>2038</v>
      </c>
      <c r="C23" s="548">
        <f>IF(OR($B23&gt;Assumptions!$D$9,$B23&lt;Assumptions!$D$7),0,VLOOKUP($B23,'Travel Time Cost Savings-Detour'!$B$6:$H$25,'Travel Time Cost Savings-Detour'!$G$1,FALSE))</f>
        <v>37645428.694909222</v>
      </c>
      <c r="D23" s="553">
        <f>IFERROR(_xlfn.XLOOKUP($B23,'Travel Time Cost - Construction'!$B$6:$B$25,'Travel Time Cost - Construction'!$G$6:$G$25),0)</f>
        <v>0</v>
      </c>
      <c r="E23" s="549">
        <f>IFERROR(_xlfn.XLOOKUP($B23,'Operating Cost-Detour'!$B$6:$B$25,'Operating Cost-Detour'!$G$6:$G$25),0)</f>
        <v>11913274.432797983</v>
      </c>
      <c r="F23" s="550">
        <f>IFERROR(_xlfn.XLOOKUP($B23,'Operating Cost-Roughness'!$B$6:$B$25,'Operating Cost-Roughness'!$G$6:$G$25),0)</f>
        <v>0</v>
      </c>
      <c r="G23" s="551">
        <f>IFERROR(_xlfn.XLOOKUP($B23,'Safety Benefits - Side Slope'!$B$6:$B$25,'Safety Benefits - Side Slope'!$E$6:$E$25),0)</f>
        <v>0</v>
      </c>
      <c r="H23" s="551">
        <f>IFERROR(_xlfn.XLOOKUP($B23,'Safety Benefits - Extend Acel'!$B$6:$B$25,'Safety Benefits - Extend Acel'!$E$6:$E$25),0)</f>
        <v>0</v>
      </c>
      <c r="I23" s="551">
        <f>IFERROR(_xlfn.XLOOKUP($B23,'Air Quality'!$B$5:$B$24,'Air Quality'!$M$5:$M$24),0)</f>
        <v>534645.40181023139</v>
      </c>
      <c r="J23" s="568">
        <f>IFERROR(_xlfn.XLOOKUP($B23,'Air Quality'!$B$5:$B$24,'Air Quality'!$E$5:$E$24),0)</f>
        <v>448979.39315705688</v>
      </c>
      <c r="K23" s="548">
        <f>VLOOKUP($B23,'Operation and Maintenance'!$B$8:$F$47,4,FALSE)</f>
        <v>-90971.378000000012</v>
      </c>
      <c r="L23" s="541">
        <f>IF($B23=Assumptions!$D$9,'Capital Costs and RCV Calc'!#REF!,0)</f>
        <v>0</v>
      </c>
      <c r="M23" s="554">
        <f>SUM(C23:I23,K23:L23)*(1+0.07)^-(B23-Assumptions!$D$4)+J23</f>
        <v>14275053.345902432</v>
      </c>
    </row>
    <row r="24" spans="1:19" ht="15" customHeight="1" x14ac:dyDescent="0.25">
      <c r="B24" s="84">
        <f t="shared" si="0"/>
        <v>2039</v>
      </c>
      <c r="C24" s="548">
        <f>IF(OR($B24&gt;Assumptions!$D$9,$B24&lt;Assumptions!$D$7),0,VLOOKUP($B24,'Travel Time Cost Savings-Detour'!$B$6:$H$25,'Travel Time Cost Savings-Detour'!$G$1,FALSE))</f>
        <v>38217617.94892142</v>
      </c>
      <c r="D24" s="553">
        <f>IFERROR(_xlfn.XLOOKUP($B24,'Travel Time Cost - Construction'!$B$6:$B$25,'Travel Time Cost - Construction'!$G$6:$G$25),0)</f>
        <v>0</v>
      </c>
      <c r="E24" s="549">
        <f>IFERROR(_xlfn.XLOOKUP($B24,'Operating Cost-Detour'!$B$6:$B$25,'Operating Cost-Detour'!$G$6:$G$25),0)</f>
        <v>12094349.475555301</v>
      </c>
      <c r="F24" s="550">
        <f>IFERROR(_xlfn.XLOOKUP($B24,'Operating Cost-Roughness'!$B$6:$B$25,'Operating Cost-Roughness'!$G$6:$G$25),0)</f>
        <v>0</v>
      </c>
      <c r="G24" s="551">
        <f>IFERROR(_xlfn.XLOOKUP($B24,'Safety Benefits - Side Slope'!$B$6:$B$25,'Safety Benefits - Side Slope'!$E$6:$E$25),0)</f>
        <v>0</v>
      </c>
      <c r="H24" s="551">
        <f>IFERROR(_xlfn.XLOOKUP($B24,'Safety Benefits - Extend Acel'!$B$6:$B$25,'Safety Benefits - Extend Acel'!$E$6:$E$25),0)</f>
        <v>0</v>
      </c>
      <c r="I24" s="551">
        <f>IFERROR(_xlfn.XLOOKUP($B24,'Air Quality'!$B$5:$B$24,'Air Quality'!$M$5:$M$24),0)</f>
        <v>542771.70994985336</v>
      </c>
      <c r="J24" s="568">
        <f>IFERROR(_xlfn.XLOOKUP($B24,'Air Quality'!$B$5:$B$24,'Air Quality'!$E$5:$E$24),0)</f>
        <v>448849.61818034825</v>
      </c>
      <c r="K24" s="548">
        <f>VLOOKUP($B24,'Operation and Maintenance'!$B$8:$F$47,4,FALSE)</f>
        <v>-97093.858000000007</v>
      </c>
      <c r="L24" s="541">
        <f>IF($B24=Assumptions!$D$9,'Capital Costs and RCV Calc'!#REF!,0)</f>
        <v>0</v>
      </c>
      <c r="M24" s="554">
        <f>SUM(C24:I24,K24:L24)*(1+0.07)^-(B24-Assumptions!$D$4)+J24</f>
        <v>13565589.695694575</v>
      </c>
    </row>
    <row r="25" spans="1:19" ht="15" customHeight="1" x14ac:dyDescent="0.25">
      <c r="B25" s="84">
        <f t="shared" si="0"/>
        <v>2040</v>
      </c>
      <c r="C25" s="548">
        <f>IF(OR($B25&gt;Assumptions!$D$9,$B25&lt;Assumptions!$D$7),0,VLOOKUP($B25,'Travel Time Cost Savings-Detour'!$B$6:$H$25,'Travel Time Cost Savings-Detour'!$G$1,FALSE))</f>
        <v>38789807.202933863</v>
      </c>
      <c r="D25" s="553">
        <f>IFERROR(_xlfn.XLOOKUP($B25,'Travel Time Cost - Construction'!$B$6:$B$25,'Travel Time Cost - Construction'!$G$6:$G$25),0)</f>
        <v>0</v>
      </c>
      <c r="E25" s="549">
        <f>IFERROR(_xlfn.XLOOKUP($B25,'Operating Cost-Detour'!$B$6:$B$25,'Operating Cost-Detour'!$G$6:$G$25),0)</f>
        <v>12275424.518312633</v>
      </c>
      <c r="F25" s="550">
        <f>IFERROR(_xlfn.XLOOKUP($B25,'Operating Cost-Roughness'!$B$6:$B$25,'Operating Cost-Roughness'!$G$6:$G$25),0)</f>
        <v>0</v>
      </c>
      <c r="G25" s="551">
        <f>IFERROR(_xlfn.XLOOKUP($B25,'Safety Benefits - Side Slope'!$B$6:$B$25,'Safety Benefits - Side Slope'!$E$6:$E$25),0)</f>
        <v>0</v>
      </c>
      <c r="H25" s="551">
        <f>IFERROR(_xlfn.XLOOKUP($B25,'Safety Benefits - Extend Acel'!$B$6:$B$25,'Safety Benefits - Extend Acel'!$E$6:$E$25),0)</f>
        <v>0</v>
      </c>
      <c r="I25" s="551">
        <f>IFERROR(_xlfn.XLOOKUP($B25,'Air Quality'!$B$5:$B$24,'Air Quality'!$M$5:$M$24),0)</f>
        <v>550898.01808947499</v>
      </c>
      <c r="J25" s="568">
        <f>IFERROR(_xlfn.XLOOKUP($B25,'Air Quality'!$B$5:$B$24,'Air Quality'!$E$5:$E$24),0)</f>
        <v>448530.30293681636</v>
      </c>
      <c r="K25" s="548">
        <f>VLOOKUP($B25,'Operation and Maintenance'!$B$8:$F$47,4,FALSE)</f>
        <v>-103216.35800000001</v>
      </c>
      <c r="L25" s="541">
        <f>IF($B25=Assumptions!$D$9,'Capital Costs and RCV Calc'!#REF!,0)</f>
        <v>0</v>
      </c>
      <c r="M25" s="554">
        <f>SUM(C25:I25,K25:L25)*(1+0.07)^-(B25-Assumptions!$D$4)+J25</f>
        <v>12889573.020733111</v>
      </c>
    </row>
    <row r="26" spans="1:19" ht="15" customHeight="1" x14ac:dyDescent="0.25">
      <c r="B26" s="84">
        <f t="shared" si="0"/>
        <v>2041</v>
      </c>
      <c r="C26" s="555">
        <f>IF(OR($B26&gt;Assumptions!$D$9,$B26&lt;Assumptions!$D$7),0,VLOOKUP($B26,'Travel Time Cost Savings-Detour'!$B$6:$H$25,'Travel Time Cost Savings-Detour'!$G$1,FALSE))</f>
        <v>39361996.456946082</v>
      </c>
      <c r="D26" s="553">
        <f>IFERROR(_xlfn.XLOOKUP($B26,'Travel Time Cost - Construction'!$B$6:$B$25,'Travel Time Cost - Construction'!$G$6:$G$25),0)</f>
        <v>0</v>
      </c>
      <c r="E26" s="549">
        <f>IFERROR(_xlfn.XLOOKUP($B26,'Operating Cost-Detour'!$B$6:$B$25,'Operating Cost-Detour'!$G$6:$G$25),0)</f>
        <v>12456499.561069936</v>
      </c>
      <c r="F26" s="550">
        <f>IFERROR(_xlfn.XLOOKUP($B26,'Operating Cost-Roughness'!$B$6:$B$25,'Operating Cost-Roughness'!$G$6:$G$25),0)</f>
        <v>0</v>
      </c>
      <c r="G26" s="551">
        <f>IFERROR(_xlfn.XLOOKUP($B26,'Safety Benefits - Side Slope'!$B$6:$B$25,'Safety Benefits - Side Slope'!$E$6:$E$25),0)</f>
        <v>0</v>
      </c>
      <c r="H26" s="551">
        <f>IFERROR(_xlfn.XLOOKUP($B26,'Safety Benefits - Extend Acel'!$B$6:$B$25,'Safety Benefits - Extend Acel'!$E$6:$E$25),0)</f>
        <v>0</v>
      </c>
      <c r="I26" s="551">
        <f>IFERROR(_xlfn.XLOOKUP($B26,'Air Quality'!$B$5:$B$24,'Air Quality'!$M$5:$M$24),0)</f>
        <v>559024.32622909674</v>
      </c>
      <c r="J26" s="568">
        <f>IFERROR(_xlfn.XLOOKUP($B26,'Air Quality'!$B$5:$B$24,'Air Quality'!$E$5:$E$24),0)</f>
        <v>448027.24572266109</v>
      </c>
      <c r="K26" s="548">
        <f>VLOOKUP($B26,'Operation and Maintenance'!$B$8:$F$47,4,FALSE)</f>
        <v>-103216.35800000001</v>
      </c>
      <c r="L26" s="541">
        <f>IF($B26=Assumptions!$D$9,'Capital Costs and RCV Calc'!#REF!,0)</f>
        <v>0</v>
      </c>
      <c r="M26" s="554">
        <f>SUM(C26:I26,K26:L26)*(1+0.07)^-(B26-Assumptions!$D$4)+J26</f>
        <v>12247025.856006969</v>
      </c>
    </row>
    <row r="27" spans="1:19" ht="15" customHeight="1" x14ac:dyDescent="0.25">
      <c r="B27" s="84">
        <f t="shared" si="0"/>
        <v>2042</v>
      </c>
      <c r="C27" s="555">
        <f>IF(OR($B27&gt;Assumptions!$D$9,$B27&lt;Assumptions!$D$7),0,VLOOKUP($B27,'Travel Time Cost Savings-Detour'!$B$6:$H$25,'Travel Time Cost Savings-Detour'!$G$1,FALSE))</f>
        <v>39934185.710958742</v>
      </c>
      <c r="D27" s="553">
        <f>IFERROR(_xlfn.XLOOKUP($B27,'Travel Time Cost - Construction'!$B$6:$B$25,'Travel Time Cost - Construction'!$G$6:$G$25),0)</f>
        <v>0</v>
      </c>
      <c r="E27" s="549">
        <f>IFERROR(_xlfn.XLOOKUP($B27,'Operating Cost-Detour'!$B$6:$B$25,'Operating Cost-Detour'!$G$6:$G$25),0)</f>
        <v>12637574.603827268</v>
      </c>
      <c r="F27" s="550">
        <f>IFERROR(_xlfn.XLOOKUP($B27,'Operating Cost-Roughness'!$B$6:$B$25,'Operating Cost-Roughness'!$G$6:$G$25),0)</f>
        <v>0</v>
      </c>
      <c r="G27" s="551">
        <f>IFERROR(_xlfn.XLOOKUP($B27,'Safety Benefits - Side Slope'!$B$6:$B$25,'Safety Benefits - Side Slope'!$E$6:$E$25),0)</f>
        <v>0</v>
      </c>
      <c r="H27" s="551">
        <f>IFERROR(_xlfn.XLOOKUP($B27,'Safety Benefits - Extend Acel'!$B$6:$B$25,'Safety Benefits - Extend Acel'!$E$6:$E$25),0)</f>
        <v>0</v>
      </c>
      <c r="I27" s="551">
        <f>IFERROR(_xlfn.XLOOKUP($B27,'Air Quality'!$B$5:$B$24,'Air Quality'!$M$5:$M$24),0)</f>
        <v>567150.6343687186</v>
      </c>
      <c r="J27" s="568">
        <f>IFERROR(_xlfn.XLOOKUP($B27,'Air Quality'!$B$5:$B$24,'Air Quality'!$E$5:$E$24),0)</f>
        <v>453391.44301530923</v>
      </c>
      <c r="K27" s="548">
        <f>VLOOKUP($B27,'Operation and Maintenance'!$B$8:$F$47,4,FALSE)</f>
        <v>-103216.35800000001</v>
      </c>
      <c r="L27" s="541">
        <f>IF($B27=Assumptions!$D$9,'Capital Costs and RCV Calc'!#REF!,0)</f>
        <v>0</v>
      </c>
      <c r="M27" s="554">
        <f>SUM(C27:I27,K27:L27)*(1+0.07)^-(B27-Assumptions!$D$4)+J27</f>
        <v>11641105.923067922</v>
      </c>
    </row>
    <row r="28" spans="1:19" ht="15" customHeight="1" x14ac:dyDescent="0.25">
      <c r="B28" s="84">
        <f t="shared" si="0"/>
        <v>2043</v>
      </c>
      <c r="C28" s="555">
        <f>IF(OR($B28&gt;Assumptions!$D$9,$B28&lt;Assumptions!$D$7),0,VLOOKUP($B28,'Travel Time Cost Savings-Detour'!$B$6:$H$25,'Travel Time Cost Savings-Detour'!$G$1,FALSE))</f>
        <v>40506374.964971408</v>
      </c>
      <c r="D28" s="553">
        <f>IFERROR(_xlfn.XLOOKUP($B28,'Travel Time Cost - Construction'!$B$6:$B$25,'Travel Time Cost - Construction'!$G$6:$G$25),0)</f>
        <v>0</v>
      </c>
      <c r="E28" s="549">
        <f>IFERROR(_xlfn.XLOOKUP($B28,'Operating Cost-Detour'!$B$6:$B$25,'Operating Cost-Detour'!$G$6:$G$25),0)</f>
        <v>12818649.646584585</v>
      </c>
      <c r="F28" s="550">
        <f>IFERROR(_xlfn.XLOOKUP($B28,'Operating Cost-Roughness'!$B$6:$B$25,'Operating Cost-Roughness'!$G$6:$G$25),0)</f>
        <v>0</v>
      </c>
      <c r="G28" s="551">
        <f>IFERROR(_xlfn.XLOOKUP($B28,'Safety Benefits - Side Slope'!$B$6:$B$25,'Safety Benefits - Side Slope'!$E$6:$E$25),0)</f>
        <v>0</v>
      </c>
      <c r="H28" s="551">
        <f>IFERROR(_xlfn.XLOOKUP($B28,'Safety Benefits - Extend Acel'!$B$6:$B$25,'Safety Benefits - Extend Acel'!$E$6:$E$25),0)</f>
        <v>0</v>
      </c>
      <c r="I28" s="551">
        <f>IFERROR(_xlfn.XLOOKUP($B28,'Air Quality'!$B$5:$B$24,'Air Quality'!$M$5:$M$24),0)</f>
        <v>575276.94250834035</v>
      </c>
      <c r="J28" s="568">
        <f>IFERROR(_xlfn.XLOOKUP($B28,'Air Quality'!$B$5:$B$24,'Air Quality'!$E$5:$E$24),0)</f>
        <v>452446.22483962111</v>
      </c>
      <c r="K28" s="548">
        <f>VLOOKUP($B28,'Operation and Maintenance'!$B$8:$F$47,4,FALSE)</f>
        <v>-103216.35800000001</v>
      </c>
      <c r="L28" s="541">
        <f>IF($B28=Assumptions!$D$9,'Capital Costs and RCV Calc'!#REF!,0)</f>
        <v>0</v>
      </c>
      <c r="M28" s="554">
        <f>SUM(C28:I28,K28:L28)*(1+0.07)^-(B28-Assumptions!$D$4)+J28</f>
        <v>11058359.734341135</v>
      </c>
    </row>
    <row r="29" spans="1:19" ht="15" customHeight="1" x14ac:dyDescent="0.25">
      <c r="B29" s="84">
        <f t="shared" si="0"/>
        <v>2044</v>
      </c>
      <c r="C29" s="555">
        <f>IF(OR($B29&gt;Assumptions!$D$9,$B29&lt;Assumptions!$D$7),0,VLOOKUP($B29,'Travel Time Cost Savings-Detour'!$B$6:$H$25,'Travel Time Cost Savings-Detour'!$G$1,FALSE))</f>
        <v>41078564.218983397</v>
      </c>
      <c r="D29" s="553">
        <f>IFERROR(_xlfn.XLOOKUP($B29,'Travel Time Cost - Construction'!$B$6:$B$25,'Travel Time Cost - Construction'!$G$6:$G$25),0)</f>
        <v>0</v>
      </c>
      <c r="E29" s="549">
        <f>IFERROR(_xlfn.XLOOKUP($B29,'Operating Cost-Detour'!$B$6:$B$25,'Operating Cost-Detour'!$G$6:$G$25),0)</f>
        <v>12999724.689341918</v>
      </c>
      <c r="F29" s="550">
        <f>IFERROR(_xlfn.XLOOKUP($B29,'Operating Cost-Roughness'!$B$6:$B$25,'Operating Cost-Roughness'!$G$6:$G$25),0)</f>
        <v>0</v>
      </c>
      <c r="G29" s="551">
        <f>IFERROR(_xlfn.XLOOKUP($B29,'Safety Benefits - Side Slope'!$B$6:$B$25,'Safety Benefits - Side Slope'!$E$6:$E$25),0)</f>
        <v>0</v>
      </c>
      <c r="H29" s="551">
        <f>IFERROR(_xlfn.XLOOKUP($B29,'Safety Benefits - Extend Acel'!$B$6:$B$25,'Safety Benefits - Extend Acel'!$E$6:$E$25),0)</f>
        <v>0</v>
      </c>
      <c r="I29" s="551">
        <f>IFERROR(_xlfn.XLOOKUP($B29,'Air Quality'!$B$5:$B$24,'Air Quality'!$M$5:$M$24),0)</f>
        <v>583403.25064796209</v>
      </c>
      <c r="J29" s="568">
        <f>IFERROR(_xlfn.XLOOKUP($B29,'Air Quality'!$B$5:$B$24,'Air Quality'!$E$5:$E$24),0)</f>
        <v>451334.73057119071</v>
      </c>
      <c r="K29" s="548">
        <f>VLOOKUP($B29,'Operation and Maintenance'!$B$8:$F$47,4,FALSE)</f>
        <v>-103216.719</v>
      </c>
      <c r="L29" s="541">
        <f>IF($B29=Assumptions!$D$9,'Capital Costs and RCV Calc'!$T$10,0)</f>
        <v>49745739.377103969</v>
      </c>
      <c r="M29" s="554">
        <f>SUM(C29:I29,K29:L29)*(1+0.07)^-(B29-Assumptions!$D$4)+J29</f>
        <v>19669300.522720668</v>
      </c>
    </row>
    <row r="30" spans="1:19" s="73" customFormat="1" ht="15" customHeight="1" x14ac:dyDescent="0.25">
      <c r="A30"/>
      <c r="B30" s="84">
        <f t="shared" si="0"/>
        <v>2045</v>
      </c>
      <c r="C30" s="555">
        <f>IF(OR($B30&gt;Assumptions!$D$9,$B30&lt;Assumptions!$D$7),0,VLOOKUP($B30,'Travel Time Cost Savings-Detour'!$B$6:$H$25,'Travel Time Cost Savings-Detour'!$G$1,FALSE))</f>
        <v>0</v>
      </c>
      <c r="D30" s="553">
        <f>IFERROR(_xlfn.XLOOKUP($B30,'Travel Time Cost - Construction'!$B$6:$B$25,'Travel Time Cost - Construction'!$G$6:$G$25),0)</f>
        <v>0</v>
      </c>
      <c r="E30" s="549">
        <f>IFERROR(_xlfn.XLOOKUP($B30,'Operating Cost-Detour'!$B$6:$B$25,'Operating Cost-Detour'!$G$6:$G$25),0)</f>
        <v>0</v>
      </c>
      <c r="F30" s="550">
        <f>IFERROR(_xlfn.XLOOKUP($B30,'Operating Cost-Roughness'!$B$6:$B$25,'Operating Cost-Roughness'!$G$6:$G$25),0)</f>
        <v>0</v>
      </c>
      <c r="G30" s="551">
        <f>IFERROR(_xlfn.XLOOKUP($B30,'Safety Benefits - Side Slope'!$B$6:$B$25,'Safety Benefits - Side Slope'!$E$6:$E$25),0)</f>
        <v>0</v>
      </c>
      <c r="H30" s="551">
        <f>IFERROR(_xlfn.XLOOKUP($B30,'Safety Benefits - Extend Acel'!$B$6:$B$25,'Safety Benefits - Extend Acel'!$E$6:$E$25),0)</f>
        <v>0</v>
      </c>
      <c r="I30" s="551">
        <f>IFERROR(_xlfn.XLOOKUP($B30,'Air Quality'!$B$5:$B$24,'Air Quality'!$M$5:$M$24),0)</f>
        <v>0</v>
      </c>
      <c r="J30" s="568">
        <f>IFERROR(_xlfn.XLOOKUP($B30,'Air Quality'!$B$5:$B$24,'Air Quality'!$E$5:$E$24),0)</f>
        <v>0</v>
      </c>
      <c r="K30" s="548">
        <f>VLOOKUP($B30,'Operation and Maintenance'!$B$8:$F$47,4,FALSE)</f>
        <v>0</v>
      </c>
      <c r="L30" s="541">
        <f>IF($B30=Assumptions!$D$9,'Capital Costs and RCV Calc'!#REF!,0)</f>
        <v>0</v>
      </c>
      <c r="M30" s="554">
        <f>SUM(C30:I30,K30:L30)*(1+0.07)^-(B30-Assumptions!$D$4)+J30</f>
        <v>0</v>
      </c>
      <c r="N30"/>
      <c r="O30"/>
      <c r="P30"/>
      <c r="Q30"/>
    </row>
    <row r="31" spans="1:19" s="73" customFormat="1" ht="15" customHeight="1" x14ac:dyDescent="0.25">
      <c r="A31"/>
      <c r="B31" s="84">
        <f t="shared" si="0"/>
        <v>2046</v>
      </c>
      <c r="C31" s="555">
        <f>IF(OR($B31&gt;Assumptions!$D$9,$B31&lt;Assumptions!$D$7),0,VLOOKUP($B31,'Travel Time Cost Savings-Detour'!$B$6:$H$25,'Travel Time Cost Savings-Detour'!$G$1,FALSE))</f>
        <v>0</v>
      </c>
      <c r="D31" s="553">
        <f>IFERROR(_xlfn.XLOOKUP($B31,'Travel Time Cost - Construction'!$B$6:$B$25,'Travel Time Cost - Construction'!$G$6:$G$25),0)</f>
        <v>0</v>
      </c>
      <c r="E31" s="549">
        <f>IFERROR(_xlfn.XLOOKUP($B31,'Operating Cost-Detour'!$B$6:$B$25,'Operating Cost-Detour'!$G$6:$G$25),0)</f>
        <v>0</v>
      </c>
      <c r="F31" s="550">
        <f>IFERROR(_xlfn.XLOOKUP($B31,'Operating Cost-Roughness'!$B$6:$B$25,'Operating Cost-Roughness'!$G$6:$G$25),0)</f>
        <v>0</v>
      </c>
      <c r="G31" s="551">
        <f>IFERROR(_xlfn.XLOOKUP($B31,'Safety Benefits - Side Slope'!$B$6:$B$25,'Safety Benefits - Side Slope'!$E$6:$E$25),0)</f>
        <v>0</v>
      </c>
      <c r="H31" s="551">
        <f>IFERROR(_xlfn.XLOOKUP($B31,'Safety Benefits - Extend Acel'!$B$6:$B$25,'Safety Benefits - Extend Acel'!$E$6:$E$25),0)</f>
        <v>0</v>
      </c>
      <c r="I31" s="551">
        <f>IFERROR(_xlfn.XLOOKUP($B31,'Air Quality'!$B$5:$B$24,'Air Quality'!$M$5:$M$24),0)</f>
        <v>0</v>
      </c>
      <c r="J31" s="568">
        <f>IFERROR(_xlfn.XLOOKUP($B31,'Air Quality'!$B$5:$B$24,'Air Quality'!$E$5:$E$24),0)</f>
        <v>0</v>
      </c>
      <c r="K31" s="548">
        <f>VLOOKUP($B31,'Operation and Maintenance'!$B$8:$F$47,4,FALSE)</f>
        <v>0</v>
      </c>
      <c r="L31" s="541">
        <f>IF($B31=Assumptions!$D$9,'Capital Costs and RCV Calc'!#REF!,0)</f>
        <v>0</v>
      </c>
      <c r="M31" s="554">
        <f>SUM(C31:I31,K31:L31)*(1+0.07)^-(B31-Assumptions!$D$4)+J31</f>
        <v>0</v>
      </c>
      <c r="N31"/>
      <c r="O31"/>
      <c r="P31"/>
      <c r="Q31"/>
    </row>
    <row r="32" spans="1:19" ht="15" customHeight="1" x14ac:dyDescent="0.25">
      <c r="B32" s="84">
        <f t="shared" si="0"/>
        <v>2047</v>
      </c>
      <c r="C32" s="555">
        <f>IF(OR($B32&gt;Assumptions!$D$9,$B32&lt;Assumptions!$D$7),0,VLOOKUP($B32,'Travel Time Cost Savings-Detour'!$B$6:$H$25,'Travel Time Cost Savings-Detour'!$G$1,FALSE))</f>
        <v>0</v>
      </c>
      <c r="D32" s="553">
        <f>IFERROR(_xlfn.XLOOKUP($B32,'Travel Time Cost - Construction'!$B$6:$B$25,'Travel Time Cost - Construction'!$G$6:$G$25),0)</f>
        <v>0</v>
      </c>
      <c r="E32" s="549">
        <f>IFERROR(_xlfn.XLOOKUP($B32,'Operating Cost-Detour'!$B$6:$B$25,'Operating Cost-Detour'!$G$6:$G$25),0)</f>
        <v>0</v>
      </c>
      <c r="F32" s="550">
        <f>IFERROR(_xlfn.XLOOKUP($B32,'Operating Cost-Roughness'!$B$6:$B$25,'Operating Cost-Roughness'!$G$6:$G$25),0)</f>
        <v>0</v>
      </c>
      <c r="G32" s="551">
        <f>IFERROR(_xlfn.XLOOKUP($B32,'Safety Benefits - Side Slope'!$B$6:$B$25,'Safety Benefits - Side Slope'!$E$6:$E$25),0)</f>
        <v>0</v>
      </c>
      <c r="H32" s="551">
        <f>IFERROR(_xlfn.XLOOKUP($B32,'Safety Benefits - Extend Acel'!$B$6:$B$25,'Safety Benefits - Extend Acel'!$E$6:$E$25),0)</f>
        <v>0</v>
      </c>
      <c r="I32" s="551">
        <f>IFERROR(_xlfn.XLOOKUP($B32,'Air Quality'!$B$5:$B$24,'Air Quality'!$M$5:$M$24),0)</f>
        <v>0</v>
      </c>
      <c r="J32" s="568">
        <f>IFERROR(_xlfn.XLOOKUP($B32,'Air Quality'!$B$5:$B$24,'Air Quality'!$E$5:$E$24),0)</f>
        <v>0</v>
      </c>
      <c r="K32" s="548">
        <f>VLOOKUP($B32,'Operation and Maintenance'!$B$8:$F$47,4,FALSE)</f>
        <v>0</v>
      </c>
      <c r="L32" s="541">
        <f>IF($B32=Assumptions!$D$9,'Capital Costs and RCV Calc'!#REF!,0)</f>
        <v>0</v>
      </c>
      <c r="M32" s="554">
        <f>SUM(C32:I32,K32:L32)*(1+0.07)^-(B32-Assumptions!$D$4)+J32</f>
        <v>0</v>
      </c>
      <c r="R32" s="15"/>
      <c r="S32" s="15"/>
    </row>
    <row r="33" spans="1:20" ht="15" customHeight="1" x14ac:dyDescent="0.25">
      <c r="B33" s="84">
        <f t="shared" si="0"/>
        <v>2048</v>
      </c>
      <c r="C33" s="555">
        <f>IF(OR($B33&gt;Assumptions!$D$9,$B33&lt;Assumptions!$D$7),0,VLOOKUP($B33,'Travel Time Cost Savings-Detour'!$B$6:$H$25,'Travel Time Cost Savings-Detour'!$G$1,FALSE))</f>
        <v>0</v>
      </c>
      <c r="D33" s="553">
        <f>IFERROR(_xlfn.XLOOKUP($B33,'Travel Time Cost - Construction'!$B$6:$B$25,'Travel Time Cost - Construction'!$G$6:$G$25),0)</f>
        <v>0</v>
      </c>
      <c r="E33" s="549">
        <f>IFERROR(_xlfn.XLOOKUP($B33,'Operating Cost-Detour'!$B$6:$B$25,'Operating Cost-Detour'!$G$6:$G$25),0)</f>
        <v>0</v>
      </c>
      <c r="F33" s="550">
        <f>IFERROR(_xlfn.XLOOKUP($B33,'Operating Cost-Roughness'!$B$6:$B$25,'Operating Cost-Roughness'!$G$6:$G$25),0)</f>
        <v>0</v>
      </c>
      <c r="G33" s="551">
        <f>IFERROR(_xlfn.XLOOKUP($B33,'Safety Benefits - Side Slope'!$B$6:$B$25,'Safety Benefits - Side Slope'!$E$6:$E$25),0)</f>
        <v>0</v>
      </c>
      <c r="H33" s="551">
        <f>IFERROR(_xlfn.XLOOKUP($B33,'Safety Benefits - Extend Acel'!$B$6:$B$25,'Safety Benefits - Extend Acel'!$E$6:$E$25),0)</f>
        <v>0</v>
      </c>
      <c r="I33" s="551">
        <f>IFERROR(_xlfn.XLOOKUP($B33,'Air Quality'!$B$5:$B$24,'Air Quality'!$M$5:$M$24),0)</f>
        <v>0</v>
      </c>
      <c r="J33" s="568">
        <f>IFERROR(_xlfn.XLOOKUP($B33,'Air Quality'!$B$5:$B$24,'Air Quality'!$E$5:$E$24),0)</f>
        <v>0</v>
      </c>
      <c r="K33" s="555">
        <f>VLOOKUP($B33,'Operation and Maintenance'!$B$8:$F$47,4,FALSE)</f>
        <v>0</v>
      </c>
      <c r="L33" s="541">
        <f>IF($B33=Assumptions!$D$9,'Capital Costs and RCV Calc'!#REF!,0)</f>
        <v>0</v>
      </c>
      <c r="M33" s="554">
        <f>SUM(C33:I33,K33:L33)*(1+0.07)^-(B33-Assumptions!$D$4)+J33</f>
        <v>0</v>
      </c>
      <c r="R33" s="9"/>
      <c r="S33" s="9"/>
      <c r="T33" s="9"/>
    </row>
    <row r="34" spans="1:20" ht="15" customHeight="1" x14ac:dyDescent="0.25">
      <c r="B34" s="85">
        <f t="shared" si="0"/>
        <v>2049</v>
      </c>
      <c r="C34" s="555">
        <f>IF(OR($B34&gt;Assumptions!$D$9,$B34&lt;Assumptions!$D$7),0,VLOOKUP($B34,'Travel Time Cost Savings-Detour'!$B$6:$H$25,'Travel Time Cost Savings-Detour'!$G$1,FALSE))</f>
        <v>0</v>
      </c>
      <c r="D34" s="553">
        <f>IFERROR(_xlfn.XLOOKUP($B34,'Travel Time Cost - Construction'!$B$6:$B$25,'Travel Time Cost - Construction'!$G$6:$G$25),0)</f>
        <v>0</v>
      </c>
      <c r="E34" s="549">
        <f>IFERROR(_xlfn.XLOOKUP($B34,'Operating Cost-Detour'!$B$6:$B$25,'Operating Cost-Detour'!$G$6:$G$25),0)</f>
        <v>0</v>
      </c>
      <c r="F34" s="550">
        <f>IFERROR(_xlfn.XLOOKUP($B34,'Operating Cost-Roughness'!$B$6:$B$25,'Operating Cost-Roughness'!$G$6:$G$25),0)</f>
        <v>0</v>
      </c>
      <c r="G34" s="551">
        <f>IFERROR(_xlfn.XLOOKUP($B34,'Safety Benefits - Side Slope'!$B$6:$B$25,'Safety Benefits - Side Slope'!$E$6:$E$25),0)</f>
        <v>0</v>
      </c>
      <c r="H34" s="551">
        <f>IFERROR(_xlfn.XLOOKUP($B34,'Safety Benefits - Extend Acel'!$B$6:$B$25,'Safety Benefits - Extend Acel'!$E$6:$E$25),0)</f>
        <v>0</v>
      </c>
      <c r="I34" s="551">
        <f>IFERROR(_xlfn.XLOOKUP($B34,'Air Quality'!$B$5:$B$24,'Air Quality'!$M$5:$M$24),0)</f>
        <v>0</v>
      </c>
      <c r="J34" s="568">
        <f>IFERROR(_xlfn.XLOOKUP($B34,'Air Quality'!$B$5:$B$24,'Air Quality'!$E$5:$E$24),0)</f>
        <v>0</v>
      </c>
      <c r="K34" s="548">
        <f>VLOOKUP($B34,'Operation and Maintenance'!$B$8:$F$47,4,FALSE)</f>
        <v>0</v>
      </c>
      <c r="L34" s="551">
        <f>IF($B34=Assumptions!$D$9,'Capital Costs and RCV Calc'!#REF!,0)</f>
        <v>0</v>
      </c>
      <c r="M34" s="556">
        <f>SUM(C34:I34,K34:L34)*(1+0.07)^-(B34-Assumptions!$D$4)+J34</f>
        <v>0</v>
      </c>
    </row>
    <row r="35" spans="1:20" ht="15.75" thickBot="1" x14ac:dyDescent="0.3">
      <c r="B35" s="86">
        <f t="shared" si="0"/>
        <v>2050</v>
      </c>
      <c r="C35" s="557">
        <f>IF(OR($B35&gt;Assumptions!$D$9,$B35&lt;Assumptions!$D$7),0,VLOOKUP($B35,'Travel Time Cost Savings-Detour'!$B$6:$H$25,'Travel Time Cost Savings-Detour'!$G$1,FALSE))</f>
        <v>0</v>
      </c>
      <c r="D35" s="558">
        <f>IFERROR(_xlfn.XLOOKUP($B35,'Travel Time Cost - Construction'!$B$6:$B$25,'Travel Time Cost - Construction'!$G$6:$G$25),0)</f>
        <v>0</v>
      </c>
      <c r="E35" s="558">
        <f>IFERROR(_xlfn.XLOOKUP($B35,'Operating Cost-Detour'!$B$6:$B$25,'Operating Cost-Detour'!$G$6:$G$25),0)</f>
        <v>0</v>
      </c>
      <c r="F35" s="559">
        <f>IFERROR(_xlfn.XLOOKUP($B35,'Operating Cost-Roughness'!$B$6:$B$25,'Operating Cost-Roughness'!$G$6:$G$25),0)</f>
        <v>0</v>
      </c>
      <c r="G35" s="560">
        <f>IFERROR(_xlfn.XLOOKUP($B35,'Safety Benefits - Side Slope'!$B$6:$B$25,'Safety Benefits - Side Slope'!$E$6:$E$25),0)</f>
        <v>0</v>
      </c>
      <c r="H35" s="560">
        <f>IFERROR(_xlfn.XLOOKUP($B35,'Safety Benefits - Extend Acel'!$B$6:$B$25,'Safety Benefits - Extend Acel'!$E$6:$E$25),0)</f>
        <v>0</v>
      </c>
      <c r="I35" s="560">
        <f>IFERROR(_xlfn.XLOOKUP($B35,'Air Quality'!$B$5:$B$24,'Air Quality'!$M$5:$M$24),0)</f>
        <v>0</v>
      </c>
      <c r="J35" s="569">
        <f>IFERROR(_xlfn.XLOOKUP($B35,'Air Quality'!$B$5:$B$24,'Air Quality'!$E$5:$E$24),0)</f>
        <v>0</v>
      </c>
      <c r="K35" s="561">
        <f>VLOOKUP($B35,'Operation and Maintenance'!$B$8:$F$47,4,FALSE)</f>
        <v>0</v>
      </c>
      <c r="L35" s="562">
        <f>IF($B35=Assumptions!$D$9,'Capital Costs and RCV Calc'!#REF!,0)</f>
        <v>0</v>
      </c>
      <c r="M35" s="563">
        <f>SUM(C35:I35,K35:L35)*(1+0.07)^-(B35-Assumptions!$D$4)+J35</f>
        <v>0</v>
      </c>
    </row>
    <row r="36" spans="1:20" ht="15" customHeight="1" x14ac:dyDescent="0.25">
      <c r="B36" s="12"/>
      <c r="C36" s="61"/>
      <c r="D36" s="61"/>
      <c r="E36" s="61"/>
      <c r="F36" s="61"/>
      <c r="G36" s="61"/>
      <c r="H36" s="61"/>
      <c r="I36" s="61"/>
      <c r="J36" s="61"/>
      <c r="K36" s="73"/>
      <c r="L36" s="148">
        <f>SUM(L$7:L$35)</f>
        <v>49745739.377103969</v>
      </c>
      <c r="M36" s="9">
        <f>SUM(M7:M35)</f>
        <v>300863300.89227289</v>
      </c>
      <c r="N36" s="15"/>
    </row>
    <row r="37" spans="1:20" x14ac:dyDescent="0.25">
      <c r="A37" s="73"/>
      <c r="B37" s="12"/>
      <c r="C37" s="15"/>
      <c r="D37" s="15"/>
      <c r="E37" s="15"/>
      <c r="F37" s="15"/>
      <c r="G37" s="15"/>
      <c r="H37" s="15"/>
      <c r="I37" s="67"/>
      <c r="J37" s="67"/>
      <c r="M37" s="15">
        <f>'Safety Benefits - Side Slope'!F26+'Safety Benefits - Extend Acel'!F26+'Travel Time Cost - Construction'!H26+'Travel Time Cost Savings-Detour'!H26+'Operating Cost-Detour'!H26+'Operating Cost-Roughness'!H26+'Air Quality'!P25+'Operation and Maintenance'!F48+'Capital Costs and RCV Calc'!K35</f>
        <v>300863300.89227289</v>
      </c>
      <c r="N37" s="15"/>
      <c r="O37" s="73"/>
      <c r="P37" s="73"/>
      <c r="Q37" s="73"/>
    </row>
    <row r="38" spans="1:20" x14ac:dyDescent="0.25">
      <c r="A38" s="73"/>
      <c r="B38" s="12"/>
      <c r="C38" s="67"/>
      <c r="D38" s="67"/>
      <c r="E38" s="67"/>
      <c r="F38" s="67"/>
      <c r="G38" s="67"/>
      <c r="H38" s="67"/>
      <c r="I38" s="14"/>
      <c r="J38" s="14"/>
      <c r="K38" s="9"/>
      <c r="L38" s="9"/>
      <c r="M38" s="15"/>
      <c r="N38" s="15"/>
      <c r="O38" s="15"/>
      <c r="P38" s="73"/>
    </row>
    <row r="39" spans="1:20" ht="16.5" thickBot="1" x14ac:dyDescent="0.3">
      <c r="B39" s="36" t="s">
        <v>6</v>
      </c>
      <c r="C39" s="67"/>
      <c r="D39" s="67"/>
      <c r="E39" s="611"/>
      <c r="F39" s="611"/>
      <c r="G39" s="67"/>
      <c r="H39" s="67"/>
      <c r="I39" s="67"/>
      <c r="J39" s="67"/>
      <c r="K39" s="66"/>
      <c r="L39" s="66"/>
      <c r="M39" s="14"/>
      <c r="N39" s="15"/>
      <c r="O39" s="15"/>
      <c r="P39" s="15"/>
    </row>
    <row r="40" spans="1:20" ht="15" customHeight="1" x14ac:dyDescent="0.25">
      <c r="B40" s="673" t="s">
        <v>0</v>
      </c>
      <c r="C40" s="675" t="s">
        <v>7</v>
      </c>
      <c r="D40" s="687" t="s">
        <v>1</v>
      </c>
      <c r="E40" s="612"/>
      <c r="F40" s="612"/>
      <c r="H40" s="25"/>
      <c r="I40" s="25"/>
      <c r="J40" s="25"/>
      <c r="K40" s="25"/>
      <c r="L40"/>
    </row>
    <row r="41" spans="1:20" ht="15.75" thickBot="1" x14ac:dyDescent="0.3">
      <c r="A41" s="7"/>
      <c r="B41" s="674"/>
      <c r="C41" s="676"/>
      <c r="D41" s="688"/>
      <c r="E41" s="612"/>
      <c r="F41" s="612"/>
      <c r="G41" s="73"/>
      <c r="H41" s="25"/>
      <c r="I41" s="25"/>
      <c r="J41" s="25"/>
      <c r="K41" s="25"/>
      <c r="L41"/>
    </row>
    <row r="42" spans="1:20" x14ac:dyDescent="0.25">
      <c r="B42" s="105">
        <f>Assumptions!D5</f>
        <v>2022</v>
      </c>
      <c r="C42" s="566">
        <f>VLOOKUP($B42,'Capital Costs and RCV Calc'!$B$7:$J$34,'Capital Costs and RCV Calc'!I$1,FALSE)</f>
        <v>39037646.685182735</v>
      </c>
      <c r="D42" s="592">
        <f>C42*(1+0.07)^-(B42-Assumptions!$D$4)</f>
        <v>31866348.107929867</v>
      </c>
      <c r="E42" s="613"/>
      <c r="F42" s="613"/>
      <c r="H42" s="73"/>
      <c r="L42"/>
    </row>
    <row r="43" spans="1:20" x14ac:dyDescent="0.25">
      <c r="B43" s="147">
        <f>B42+1</f>
        <v>2023</v>
      </c>
      <c r="C43" s="604">
        <f>VLOOKUP($B43,'Capital Costs and RCV Calc'!$B$7:$J$34,'Capital Costs and RCV Calc'!I$1,FALSE)</f>
        <v>32820048.515517816</v>
      </c>
      <c r="D43" s="594">
        <f>C43*(1+0.07)^-(B43-Assumptions!$D$4)</f>
        <v>25038257.87165603</v>
      </c>
      <c r="E43" s="613"/>
      <c r="F43" s="613"/>
      <c r="H43" s="73"/>
      <c r="L43"/>
    </row>
    <row r="44" spans="1:20" ht="15.75" thickBot="1" x14ac:dyDescent="0.3">
      <c r="B44" s="3">
        <f t="shared" ref="B44:B68" si="1">B43+1</f>
        <v>2024</v>
      </c>
      <c r="C44" s="607">
        <f>VLOOKUP($B44,'Capital Costs and RCV Calc'!$B$7:$J$34,'Capital Costs and RCV Calc'!I$1,FALSE)</f>
        <v>33178550.647801571</v>
      </c>
      <c r="D44" s="559">
        <f>C44*(1+0.07)^-(B44-Assumptions!$D$4)</f>
        <v>23655848.067181431</v>
      </c>
      <c r="E44" s="9"/>
      <c r="F44" s="9"/>
      <c r="H44" s="73"/>
      <c r="L44"/>
    </row>
    <row r="45" spans="1:20" x14ac:dyDescent="0.25">
      <c r="B45" s="1">
        <f t="shared" si="1"/>
        <v>2025</v>
      </c>
      <c r="C45" s="660">
        <f>VLOOKUP($B45,'Capital Costs and RCV Calc'!$B$7:$J$34,'Capital Costs and RCV Calc'!I$1,FALSE)</f>
        <v>0</v>
      </c>
      <c r="D45" s="661">
        <f>C45*(1+0.07)^-(B45-Assumptions!$D$4)</f>
        <v>0</v>
      </c>
      <c r="E45" s="9"/>
      <c r="F45" s="9"/>
      <c r="H45" s="73"/>
      <c r="L45"/>
    </row>
    <row r="46" spans="1:20" x14ac:dyDescent="0.25">
      <c r="B46" s="54">
        <f t="shared" si="1"/>
        <v>2026</v>
      </c>
      <c r="C46" s="608">
        <f>VLOOKUP($B46,'Capital Costs and RCV Calc'!$B$7:$J$34,'Capital Costs and RCV Calc'!I$1,FALSE)</f>
        <v>0</v>
      </c>
      <c r="D46" s="550">
        <f>C46*(1+0.07)^-(B46-Assumptions!$D$4)</f>
        <v>0</v>
      </c>
      <c r="E46" s="9"/>
      <c r="F46" s="9"/>
      <c r="H46" s="73"/>
      <c r="L46"/>
    </row>
    <row r="47" spans="1:20" x14ac:dyDescent="0.25">
      <c r="A47" s="7"/>
      <c r="B47" s="2">
        <f t="shared" si="1"/>
        <v>2027</v>
      </c>
      <c r="C47" s="605">
        <f>VLOOKUP($B47,'Capital Costs and RCV Calc'!$B$7:$J$34,'Capital Costs and RCV Calc'!I$1,FALSE)</f>
        <v>0</v>
      </c>
      <c r="D47" s="606">
        <f>C47*(1+0.07)^-(B47-Assumptions!$D$4)</f>
        <v>0</v>
      </c>
      <c r="E47" s="9"/>
      <c r="F47" s="9"/>
      <c r="H47" s="73"/>
      <c r="L47"/>
    </row>
    <row r="48" spans="1:20" x14ac:dyDescent="0.25">
      <c r="B48" s="2">
        <f t="shared" si="1"/>
        <v>2028</v>
      </c>
      <c r="C48" s="605">
        <f>VLOOKUP($B48,'Capital Costs and RCV Calc'!$B$7:$J$34,'Capital Costs and RCV Calc'!I$1,FALSE)</f>
        <v>0</v>
      </c>
      <c r="D48" s="606">
        <f>C48*(1+0.07)^-(B48-Assumptions!$D$4)</f>
        <v>0</v>
      </c>
      <c r="E48" s="9"/>
      <c r="F48" s="9"/>
      <c r="H48" s="73"/>
      <c r="L48"/>
    </row>
    <row r="49" spans="2:12" x14ac:dyDescent="0.25">
      <c r="B49" s="2">
        <f t="shared" si="1"/>
        <v>2029</v>
      </c>
      <c r="C49" s="605">
        <f>VLOOKUP($B49,'Capital Costs and RCV Calc'!$B$7:$J$34,'Capital Costs and RCV Calc'!I$1,FALSE)</f>
        <v>0</v>
      </c>
      <c r="D49" s="606">
        <f>C49*(1+0.07)^-(B49-Assumptions!$D$4)</f>
        <v>0</v>
      </c>
      <c r="E49" s="9"/>
      <c r="F49" s="9"/>
      <c r="H49" s="73"/>
      <c r="L49"/>
    </row>
    <row r="50" spans="2:12" x14ac:dyDescent="0.25">
      <c r="B50" s="2">
        <f t="shared" si="1"/>
        <v>2030</v>
      </c>
      <c r="C50" s="605">
        <f>VLOOKUP($B50,'Capital Costs and RCV Calc'!$B$7:$J$34,'Capital Costs and RCV Calc'!I$1,FALSE)</f>
        <v>0</v>
      </c>
      <c r="D50" s="606">
        <f>C50*(1+0.07)^-(B50-Assumptions!$D$4)</f>
        <v>0</v>
      </c>
      <c r="E50" s="9"/>
      <c r="F50" s="9"/>
      <c r="G50" s="73"/>
      <c r="H50" s="73"/>
      <c r="L50"/>
    </row>
    <row r="51" spans="2:12" x14ac:dyDescent="0.25">
      <c r="B51" s="2">
        <f t="shared" si="1"/>
        <v>2031</v>
      </c>
      <c r="C51" s="605">
        <f>VLOOKUP($B51,'Capital Costs and RCV Calc'!$B$7:$J$34,'Capital Costs and RCV Calc'!I$1,FALSE)</f>
        <v>0</v>
      </c>
      <c r="D51" s="606">
        <f>C51*(1+0.07)^-(B51-Assumptions!$D$4)</f>
        <v>0</v>
      </c>
      <c r="E51" s="9"/>
      <c r="F51" s="9"/>
      <c r="G51" s="73"/>
      <c r="H51" s="73"/>
      <c r="I51" s="73"/>
      <c r="L51"/>
    </row>
    <row r="52" spans="2:12" x14ac:dyDescent="0.25">
      <c r="B52" s="2">
        <f t="shared" si="1"/>
        <v>2032</v>
      </c>
      <c r="C52" s="605">
        <f>VLOOKUP($B52,'Capital Costs and RCV Calc'!$B$7:$J$34,'Capital Costs and RCV Calc'!I$1,FALSE)</f>
        <v>0</v>
      </c>
      <c r="D52" s="606">
        <f>C52*(1+0.07)^-(B52-Assumptions!$D$4)</f>
        <v>0</v>
      </c>
      <c r="E52" s="9"/>
      <c r="F52" s="9"/>
      <c r="G52" s="73"/>
      <c r="H52" s="73"/>
      <c r="I52" s="73"/>
      <c r="K52" s="73"/>
      <c r="L52"/>
    </row>
    <row r="53" spans="2:12" x14ac:dyDescent="0.25">
      <c r="B53" s="2">
        <f t="shared" si="1"/>
        <v>2033</v>
      </c>
      <c r="C53" s="605">
        <f>VLOOKUP($B53,'Capital Costs and RCV Calc'!$B$7:$J$34,'Capital Costs and RCV Calc'!I$1,FALSE)</f>
        <v>0</v>
      </c>
      <c r="D53" s="606">
        <f>C53*(1+0.07)^-(B53-Assumptions!$D$4)</f>
        <v>0</v>
      </c>
      <c r="E53" s="9"/>
      <c r="F53" s="9"/>
      <c r="G53" s="73"/>
      <c r="H53" s="73"/>
      <c r="I53" s="73"/>
      <c r="K53" s="73"/>
      <c r="L53"/>
    </row>
    <row r="54" spans="2:12" x14ac:dyDescent="0.25">
      <c r="B54" s="2">
        <f t="shared" si="1"/>
        <v>2034</v>
      </c>
      <c r="C54" s="605">
        <f>VLOOKUP($B54,'Capital Costs and RCV Calc'!$B$7:$J$34,'Capital Costs and RCV Calc'!I$1,FALSE)</f>
        <v>0</v>
      </c>
      <c r="D54" s="606">
        <f>C54*(1+0.07)^-(B54-Assumptions!$D$4)</f>
        <v>0</v>
      </c>
      <c r="E54" s="9"/>
      <c r="F54" s="9"/>
      <c r="G54" s="73"/>
      <c r="H54" s="73"/>
      <c r="I54" s="73"/>
      <c r="K54" s="73"/>
      <c r="L54"/>
    </row>
    <row r="55" spans="2:12" x14ac:dyDescent="0.25">
      <c r="B55" s="2">
        <f t="shared" si="1"/>
        <v>2035</v>
      </c>
      <c r="C55" s="605">
        <f>VLOOKUP($B55,'Capital Costs and RCV Calc'!$B$7:$J$34,'Capital Costs and RCV Calc'!I$1,FALSE)</f>
        <v>0</v>
      </c>
      <c r="D55" s="606">
        <f>C55*(1+0.07)^-(B55-Assumptions!$D$4)</f>
        <v>0</v>
      </c>
      <c r="E55" s="9"/>
      <c r="F55" s="9"/>
      <c r="G55" s="73"/>
      <c r="H55" s="73"/>
      <c r="I55" s="73"/>
      <c r="K55" s="73"/>
      <c r="L55"/>
    </row>
    <row r="56" spans="2:12" x14ac:dyDescent="0.25">
      <c r="B56" s="2">
        <f t="shared" si="1"/>
        <v>2036</v>
      </c>
      <c r="C56" s="605">
        <f>VLOOKUP($B56,'Capital Costs and RCV Calc'!$B$7:$J$34,'Capital Costs and RCV Calc'!I$1,FALSE)</f>
        <v>0</v>
      </c>
      <c r="D56" s="606">
        <f>C56*(1+0.07)^-(B56-Assumptions!$D$4)</f>
        <v>0</v>
      </c>
      <c r="E56" s="9"/>
      <c r="F56" s="9"/>
      <c r="G56" s="73"/>
      <c r="H56" s="73"/>
      <c r="I56" s="73"/>
      <c r="K56" s="73"/>
      <c r="L56"/>
    </row>
    <row r="57" spans="2:12" x14ac:dyDescent="0.25">
      <c r="B57" s="2">
        <f t="shared" si="1"/>
        <v>2037</v>
      </c>
      <c r="C57" s="605">
        <f>VLOOKUP($B57,'Capital Costs and RCV Calc'!$B$7:$J$34,'Capital Costs and RCV Calc'!I$1,FALSE)</f>
        <v>0</v>
      </c>
      <c r="D57" s="606">
        <f>C57*(1+0.07)^-(B57-Assumptions!$D$4)</f>
        <v>0</v>
      </c>
      <c r="E57" s="9"/>
      <c r="F57" s="9"/>
      <c r="H57" s="73"/>
      <c r="L57"/>
    </row>
    <row r="58" spans="2:12" x14ac:dyDescent="0.25">
      <c r="B58" s="2">
        <f t="shared" si="1"/>
        <v>2038</v>
      </c>
      <c r="C58" s="605">
        <f>VLOOKUP($B58,'Capital Costs and RCV Calc'!$B$7:$J$34,'Capital Costs and RCV Calc'!I$1,FALSE)</f>
        <v>0</v>
      </c>
      <c r="D58" s="606">
        <f>C58*(1+0.07)^-(B58-Assumptions!$D$4)</f>
        <v>0</v>
      </c>
      <c r="E58" s="9"/>
      <c r="F58" s="9"/>
      <c r="H58" s="73"/>
      <c r="L58"/>
    </row>
    <row r="59" spans="2:12" x14ac:dyDescent="0.25">
      <c r="B59" s="2">
        <f t="shared" si="1"/>
        <v>2039</v>
      </c>
      <c r="C59" s="605">
        <f>VLOOKUP($B59,'Capital Costs and RCV Calc'!$B$7:$J$34,'Capital Costs and RCV Calc'!I$1,FALSE)</f>
        <v>0</v>
      </c>
      <c r="D59" s="606">
        <f>C59*(1+0.07)^-(B59-Assumptions!$D$4)</f>
        <v>0</v>
      </c>
      <c r="E59" s="9"/>
      <c r="F59" s="9"/>
      <c r="H59" s="73"/>
      <c r="L59"/>
    </row>
    <row r="60" spans="2:12" x14ac:dyDescent="0.25">
      <c r="B60" s="2">
        <f t="shared" si="1"/>
        <v>2040</v>
      </c>
      <c r="C60" s="605">
        <f>VLOOKUP($B60,'Capital Costs and RCV Calc'!$B$7:$J$34,'Capital Costs and RCV Calc'!I$1,FALSE)</f>
        <v>0</v>
      </c>
      <c r="D60" s="606">
        <f>C60*(1+0.07)^-(B60-Assumptions!$D$4)</f>
        <v>0</v>
      </c>
      <c r="E60" s="9"/>
      <c r="F60" s="9"/>
      <c r="H60" s="73"/>
      <c r="L60"/>
    </row>
    <row r="61" spans="2:12" x14ac:dyDescent="0.25">
      <c r="B61" s="2">
        <f t="shared" si="1"/>
        <v>2041</v>
      </c>
      <c r="C61" s="605">
        <f>VLOOKUP($B61,'Capital Costs and RCV Calc'!$B$7:$J$34,'Capital Costs and RCV Calc'!I$1,FALSE)</f>
        <v>0</v>
      </c>
      <c r="D61" s="606">
        <f>C61*(1+0.07)^-(B61-Assumptions!$D$4)</f>
        <v>0</v>
      </c>
      <c r="E61" s="9"/>
      <c r="F61" s="9"/>
      <c r="H61" s="73"/>
      <c r="L61"/>
    </row>
    <row r="62" spans="2:12" x14ac:dyDescent="0.25">
      <c r="B62" s="2">
        <f t="shared" si="1"/>
        <v>2042</v>
      </c>
      <c r="C62" s="605">
        <f>VLOOKUP($B62,'Capital Costs and RCV Calc'!$B$7:$J$34,'Capital Costs and RCV Calc'!I$1,FALSE)</f>
        <v>0</v>
      </c>
      <c r="D62" s="606">
        <f>C62*(1+0.07)^-(B62-Assumptions!$D$4)</f>
        <v>0</v>
      </c>
      <c r="E62" s="9"/>
      <c r="F62" s="9"/>
      <c r="H62" s="73"/>
      <c r="L62"/>
    </row>
    <row r="63" spans="2:12" x14ac:dyDescent="0.25">
      <c r="B63" s="2">
        <f t="shared" si="1"/>
        <v>2043</v>
      </c>
      <c r="C63" s="605">
        <f>VLOOKUP($B63,'Capital Costs and RCV Calc'!$B$7:$J$34,'Capital Costs and RCV Calc'!I$1,FALSE)</f>
        <v>0</v>
      </c>
      <c r="D63" s="606">
        <f>C63*(1+0.07)^-(B63-Assumptions!$D$4)</f>
        <v>0</v>
      </c>
      <c r="E63" s="9"/>
      <c r="F63" s="9"/>
      <c r="H63" s="73"/>
      <c r="L63"/>
    </row>
    <row r="64" spans="2:12" x14ac:dyDescent="0.25">
      <c r="B64" s="2">
        <f t="shared" si="1"/>
        <v>2044</v>
      </c>
      <c r="C64" s="605">
        <f>VLOOKUP($B64,'Capital Costs and RCV Calc'!$B$7:$J$34,'Capital Costs and RCV Calc'!I$1,FALSE)</f>
        <v>0</v>
      </c>
      <c r="D64" s="606">
        <f>C64*(1+0.07)^-(B64-Assumptions!$D$4)</f>
        <v>0</v>
      </c>
      <c r="E64" s="9"/>
      <c r="F64" s="9"/>
      <c r="H64" s="73"/>
      <c r="L64"/>
    </row>
    <row r="65" spans="2:13" x14ac:dyDescent="0.25">
      <c r="B65" s="2">
        <f t="shared" si="1"/>
        <v>2045</v>
      </c>
      <c r="C65" s="605">
        <f>VLOOKUP($B65,'Capital Costs and RCV Calc'!$B$7:$J$34,'Capital Costs and RCV Calc'!I$1,FALSE)</f>
        <v>0</v>
      </c>
      <c r="D65" s="606">
        <f>C65*(1+0.07)^-(B65-Assumptions!$D$4)</f>
        <v>0</v>
      </c>
      <c r="E65" s="9"/>
      <c r="F65" s="9"/>
      <c r="H65" s="73"/>
      <c r="L65"/>
    </row>
    <row r="66" spans="2:13" x14ac:dyDescent="0.25">
      <c r="B66" s="2">
        <f t="shared" si="1"/>
        <v>2046</v>
      </c>
      <c r="C66" s="605">
        <f>VLOOKUP($B66,'Capital Costs and RCV Calc'!$B$7:$J$34,'Capital Costs and RCV Calc'!I$1,FALSE)</f>
        <v>0</v>
      </c>
      <c r="D66" s="606">
        <f>C66*(1+0.07)^-(B66-Assumptions!$D$4)</f>
        <v>0</v>
      </c>
      <c r="E66" s="9"/>
      <c r="F66" s="9"/>
      <c r="H66" s="73"/>
      <c r="L66"/>
    </row>
    <row r="67" spans="2:13" x14ac:dyDescent="0.25">
      <c r="B67" s="54">
        <f t="shared" si="1"/>
        <v>2047</v>
      </c>
      <c r="C67" s="608">
        <f>VLOOKUP($B67,'Capital Costs and RCV Calc'!$B$7:$J$34,'Capital Costs and RCV Calc'!I$1,FALSE)</f>
        <v>0</v>
      </c>
      <c r="D67" s="606">
        <f>C67*(1+0.07)^-(B67-Assumptions!$D$4)</f>
        <v>0</v>
      </c>
      <c r="E67" s="9"/>
      <c r="F67" s="9"/>
      <c r="H67" s="73"/>
      <c r="L67"/>
    </row>
    <row r="68" spans="2:13" ht="15.75" thickBot="1" x14ac:dyDescent="0.3">
      <c r="B68" s="3">
        <f t="shared" si="1"/>
        <v>2048</v>
      </c>
      <c r="C68" s="607">
        <f>VLOOKUP($B68,'Capital Costs and RCV Calc'!$B$7:$J$34,'Capital Costs and RCV Calc'!I$1,FALSE)</f>
        <v>0</v>
      </c>
      <c r="D68" s="559">
        <f>C68*(1+0.07)^-(B68-Assumptions!$D$4)</f>
        <v>0</v>
      </c>
      <c r="E68" s="9"/>
      <c r="F68" s="9"/>
      <c r="G68" s="15"/>
      <c r="H68" s="15"/>
      <c r="L68"/>
    </row>
    <row r="69" spans="2:13" x14ac:dyDescent="0.25">
      <c r="C69" s="151" t="s">
        <v>4</v>
      </c>
      <c r="D69" s="609">
        <f>SUM(D42:D68)</f>
        <v>80560454.046767324</v>
      </c>
      <c r="E69" s="5"/>
      <c r="F69" s="5"/>
      <c r="G69" s="14"/>
      <c r="H69"/>
      <c r="L69"/>
    </row>
    <row r="70" spans="2:13" x14ac:dyDescent="0.25">
      <c r="D70" s="610">
        <f>'Capital Costs and RCV Calc'!J35</f>
        <v>80560454.046767324</v>
      </c>
      <c r="E70" s="112"/>
      <c r="F70" s="112"/>
      <c r="G70" s="45"/>
      <c r="H70"/>
      <c r="L70"/>
    </row>
    <row r="71" spans="2:13" ht="16.5" thickBot="1" x14ac:dyDescent="0.3">
      <c r="B71" s="13" t="s">
        <v>11</v>
      </c>
      <c r="G71" s="73"/>
      <c r="H71" s="56"/>
      <c r="K71" s="14"/>
      <c r="L71"/>
    </row>
    <row r="72" spans="2:13" ht="15.75" thickBot="1" x14ac:dyDescent="0.3">
      <c r="B72" s="16"/>
      <c r="C72" s="38" t="s">
        <v>25</v>
      </c>
      <c r="D72" s="46"/>
      <c r="E72" s="47"/>
      <c r="F72" s="47"/>
      <c r="G72" s="47"/>
      <c r="H72" s="47"/>
      <c r="K72" s="73"/>
      <c r="L72" s="14"/>
    </row>
    <row r="73" spans="2:13" x14ac:dyDescent="0.25">
      <c r="B73" s="17" t="s">
        <v>8</v>
      </c>
      <c r="C73" s="39">
        <f>M36+L36</f>
        <v>350609040.26937687</v>
      </c>
      <c r="D73" s="41"/>
      <c r="E73" s="42"/>
      <c r="F73" s="42"/>
      <c r="G73" s="42"/>
      <c r="H73" s="42"/>
      <c r="I73" s="42"/>
      <c r="J73" s="42"/>
      <c r="K73" s="73"/>
      <c r="L73" s="15"/>
      <c r="M73" s="15"/>
    </row>
    <row r="74" spans="2:13" ht="15.75" thickBot="1" x14ac:dyDescent="0.3">
      <c r="B74" s="18" t="s">
        <v>9</v>
      </c>
      <c r="C74" s="40">
        <f>D69</f>
        <v>80560454.046767324</v>
      </c>
      <c r="D74" s="41"/>
      <c r="E74" s="42"/>
      <c r="F74" s="42"/>
      <c r="G74" s="42"/>
      <c r="H74" s="42"/>
      <c r="I74" s="42"/>
      <c r="J74" s="42"/>
      <c r="K74" s="73"/>
      <c r="L74" s="15"/>
    </row>
    <row r="75" spans="2:13" ht="15.75" thickTop="1" x14ac:dyDescent="0.25">
      <c r="B75" s="614" t="s">
        <v>10</v>
      </c>
      <c r="C75" s="615">
        <f>+C73/C74</f>
        <v>4.3521234384533098</v>
      </c>
      <c r="D75" s="43"/>
      <c r="E75" s="44"/>
      <c r="F75" s="44"/>
      <c r="G75" s="44"/>
      <c r="H75" s="44"/>
      <c r="I75" s="44"/>
      <c r="J75" s="44"/>
      <c r="K75" s="73"/>
      <c r="L75" s="15"/>
    </row>
    <row r="76" spans="2:13" ht="15.75" thickBot="1" x14ac:dyDescent="0.3">
      <c r="B76" s="616" t="s">
        <v>1664</v>
      </c>
      <c r="C76" s="617">
        <f>C73-C74</f>
        <v>270048586.22260952</v>
      </c>
      <c r="G76" s="55"/>
      <c r="H76"/>
    </row>
    <row r="77" spans="2:13" ht="15.75" thickBot="1" x14ac:dyDescent="0.3">
      <c r="G77" s="55"/>
      <c r="H77"/>
    </row>
    <row r="78" spans="2:13" ht="15.75" thickBot="1" x14ac:dyDescent="0.3">
      <c r="B78" s="667"/>
      <c r="C78" s="618" t="s">
        <v>25</v>
      </c>
      <c r="D78" s="34"/>
      <c r="E78" s="34"/>
      <c r="F78" s="34"/>
    </row>
    <row r="79" spans="2:13" x14ac:dyDescent="0.25">
      <c r="B79" s="668" t="s">
        <v>8</v>
      </c>
      <c r="C79" s="619">
        <f>MROUND(C73,100000)/10^6</f>
        <v>350.6</v>
      </c>
    </row>
    <row r="80" spans="2:13" ht="15.75" thickBot="1" x14ac:dyDescent="0.3">
      <c r="B80" s="669" t="s">
        <v>9</v>
      </c>
      <c r="C80" s="620">
        <f>MROUND(C74,100000)/10^6</f>
        <v>80.599999999999994</v>
      </c>
    </row>
    <row r="81" spans="2:3" ht="15.75" thickTop="1" x14ac:dyDescent="0.25">
      <c r="B81" s="670" t="s">
        <v>10</v>
      </c>
      <c r="C81" s="621">
        <f>+C79/C80</f>
        <v>4.3498759305210921</v>
      </c>
    </row>
    <row r="82" spans="2:3" ht="15.75" thickBot="1" x14ac:dyDescent="0.3">
      <c r="B82" s="616" t="s">
        <v>1664</v>
      </c>
      <c r="C82" s="622">
        <f>C79-C80</f>
        <v>270</v>
      </c>
    </row>
  </sheetData>
  <mergeCells count="18">
    <mergeCell ref="M5:M6"/>
    <mergeCell ref="D40:D41"/>
    <mergeCell ref="G4:H4"/>
    <mergeCell ref="K5:K6"/>
    <mergeCell ref="K4:L4"/>
    <mergeCell ref="L5:L6"/>
    <mergeCell ref="C4:F4"/>
    <mergeCell ref="F5:F6"/>
    <mergeCell ref="E5:E6"/>
    <mergeCell ref="J5:J6"/>
    <mergeCell ref="B40:B41"/>
    <mergeCell ref="C40:C41"/>
    <mergeCell ref="D5:D6"/>
    <mergeCell ref="I5:I6"/>
    <mergeCell ref="B5:B6"/>
    <mergeCell ref="G5:G6"/>
    <mergeCell ref="C5:C6"/>
    <mergeCell ref="H5:H6"/>
  </mergeCells>
  <pageMargins left="0.25" right="0.25" top="0.75" bottom="0.75" header="0.3" footer="0.3"/>
  <pageSetup scale="44"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925DD-0BF3-497B-8091-641DC69BA62D}">
  <sheetPr>
    <tabColor theme="1"/>
  </sheetPr>
  <dimension ref="M14"/>
  <sheetViews>
    <sheetView workbookViewId="0">
      <selection activeCell="B65" sqref="B65:H68"/>
    </sheetView>
  </sheetViews>
  <sheetFormatPr defaultRowHeight="15" x14ac:dyDescent="0.25"/>
  <cols>
    <col min="13" max="13" width="13.85546875" bestFit="1" customWidth="1"/>
  </cols>
  <sheetData>
    <row r="14" spans="13:13" ht="15.75" thickBot="1" x14ac:dyDescent="0.3">
      <c r="M14" s="175">
        <v>37412446.359999999</v>
      </c>
    </row>
  </sheetData>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6B4E7-0DAE-48CB-B819-6ECD075645E5}">
  <sheetPr>
    <tabColor theme="1"/>
  </sheetPr>
  <dimension ref="A1:BD489"/>
  <sheetViews>
    <sheetView workbookViewId="0">
      <selection activeCell="Q33" sqref="Q33"/>
    </sheetView>
  </sheetViews>
  <sheetFormatPr defaultRowHeight="15" x14ac:dyDescent="0.25"/>
  <cols>
    <col min="1" max="1" width="25.7109375" style="152" bestFit="1" customWidth="1"/>
    <col min="2" max="6" width="9.140625" style="152"/>
    <col min="7" max="7" width="15.85546875" style="152" bestFit="1" customWidth="1"/>
    <col min="8" max="16384" width="9.140625" style="152"/>
  </cols>
  <sheetData>
    <row r="1" spans="1:56" x14ac:dyDescent="0.25">
      <c r="A1" s="152" t="s">
        <v>485</v>
      </c>
      <c r="B1" s="152" t="s">
        <v>1400</v>
      </c>
      <c r="C1" s="152" t="s">
        <v>1399</v>
      </c>
      <c r="D1" s="152" t="s">
        <v>1398</v>
      </c>
      <c r="E1" s="152" t="s">
        <v>1397</v>
      </c>
      <c r="F1" s="152" t="s">
        <v>1396</v>
      </c>
      <c r="G1" s="152" t="s">
        <v>1395</v>
      </c>
      <c r="H1" s="152" t="s">
        <v>1394</v>
      </c>
      <c r="I1" s="152" t="s">
        <v>1393</v>
      </c>
      <c r="J1" s="152" t="s">
        <v>1392</v>
      </c>
      <c r="K1" s="152" t="s">
        <v>1391</v>
      </c>
      <c r="L1" s="152" t="s">
        <v>1390</v>
      </c>
      <c r="M1" s="152" t="s">
        <v>1389</v>
      </c>
      <c r="N1" s="152" t="s">
        <v>1388</v>
      </c>
      <c r="O1" s="152" t="s">
        <v>1387</v>
      </c>
      <c r="P1" s="152" t="s">
        <v>1386</v>
      </c>
      <c r="Q1" s="152" t="s">
        <v>1385</v>
      </c>
      <c r="R1" s="152" t="s">
        <v>1384</v>
      </c>
      <c r="S1" s="152" t="s">
        <v>1383</v>
      </c>
      <c r="T1" s="152" t="s">
        <v>1382</v>
      </c>
      <c r="U1" s="152" t="s">
        <v>1381</v>
      </c>
      <c r="V1" s="152" t="s">
        <v>1380</v>
      </c>
      <c r="W1" s="152" t="s">
        <v>1379</v>
      </c>
      <c r="X1" s="152" t="s">
        <v>1378</v>
      </c>
      <c r="Y1" s="152" t="s">
        <v>1377</v>
      </c>
      <c r="Z1" s="152" t="s">
        <v>1376</v>
      </c>
      <c r="AA1" s="152" t="s">
        <v>1375</v>
      </c>
      <c r="AB1" s="152" t="s">
        <v>1374</v>
      </c>
      <c r="AC1" s="152" t="s">
        <v>1373</v>
      </c>
      <c r="AD1" s="152" t="s">
        <v>1372</v>
      </c>
      <c r="AE1" s="152" t="s">
        <v>1371</v>
      </c>
      <c r="AF1" s="152" t="s">
        <v>1370</v>
      </c>
      <c r="AG1" s="152" t="s">
        <v>1369</v>
      </c>
      <c r="AH1" s="152" t="s">
        <v>1368</v>
      </c>
      <c r="AI1" s="152" t="s">
        <v>1367</v>
      </c>
      <c r="AJ1" s="152" t="s">
        <v>1366</v>
      </c>
      <c r="AK1" s="152" t="s">
        <v>1365</v>
      </c>
      <c r="AL1" s="152" t="s">
        <v>604</v>
      </c>
      <c r="AM1" s="152" t="s">
        <v>1364</v>
      </c>
      <c r="AN1" s="152" t="s">
        <v>1363</v>
      </c>
      <c r="AO1" s="152" t="s">
        <v>1362</v>
      </c>
      <c r="AP1" s="152" t="s">
        <v>1361</v>
      </c>
      <c r="AQ1" s="152" t="s">
        <v>1360</v>
      </c>
      <c r="AR1" s="152" t="s">
        <v>1359</v>
      </c>
      <c r="AS1" s="152" t="s">
        <v>1358</v>
      </c>
      <c r="AT1" s="152" t="s">
        <v>1357</v>
      </c>
      <c r="AU1" s="152" t="s">
        <v>488</v>
      </c>
      <c r="AV1" s="152" t="s">
        <v>1356</v>
      </c>
      <c r="AW1" s="152" t="s">
        <v>1355</v>
      </c>
      <c r="AX1" s="152" t="s">
        <v>1354</v>
      </c>
      <c r="AY1" s="152" t="s">
        <v>1353</v>
      </c>
      <c r="AZ1" s="152" t="s">
        <v>1352</v>
      </c>
      <c r="BA1" s="152" t="s">
        <v>1351</v>
      </c>
      <c r="BB1" s="152" t="s">
        <v>1350</v>
      </c>
      <c r="BC1" s="152" t="s">
        <v>1349</v>
      </c>
      <c r="BD1" s="152" t="s">
        <v>1348</v>
      </c>
    </row>
    <row r="2" spans="1:56" x14ac:dyDescent="0.25">
      <c r="A2" s="152" t="s">
        <v>1207</v>
      </c>
      <c r="B2" s="152">
        <v>43.609096999999998</v>
      </c>
      <c r="C2" s="152">
        <v>-96.949967999999998</v>
      </c>
      <c r="D2" s="152">
        <v>22</v>
      </c>
      <c r="E2" s="152" t="s">
        <v>652</v>
      </c>
      <c r="F2" s="152">
        <v>2016</v>
      </c>
      <c r="G2" s="340">
        <v>42692.864583333336</v>
      </c>
      <c r="H2" s="152" t="s">
        <v>637</v>
      </c>
      <c r="I2" s="152" t="s">
        <v>669</v>
      </c>
      <c r="J2" s="152" t="s">
        <v>650</v>
      </c>
      <c r="L2" s="152" t="s">
        <v>1055</v>
      </c>
      <c r="M2" s="152" t="s">
        <v>648</v>
      </c>
      <c r="N2" s="152" t="s">
        <v>637</v>
      </c>
      <c r="O2" s="152" t="s">
        <v>647</v>
      </c>
      <c r="P2" s="152" t="s">
        <v>684</v>
      </c>
      <c r="Q2" s="152" t="s">
        <v>637</v>
      </c>
      <c r="R2" s="152" t="s">
        <v>724</v>
      </c>
      <c r="S2" s="152" t="s">
        <v>637</v>
      </c>
      <c r="T2" s="152" t="s">
        <v>723</v>
      </c>
      <c r="U2" s="152" t="s">
        <v>644</v>
      </c>
      <c r="V2" s="152" t="s">
        <v>199</v>
      </c>
      <c r="W2" s="152" t="s">
        <v>643</v>
      </c>
      <c r="Y2" s="152" t="s">
        <v>637</v>
      </c>
      <c r="Z2" s="152" t="s">
        <v>783</v>
      </c>
      <c r="AA2" s="152" t="s">
        <v>665</v>
      </c>
      <c r="AB2" s="152" t="s">
        <v>640</v>
      </c>
      <c r="AC2" s="152" t="s">
        <v>723</v>
      </c>
      <c r="AD2" s="152" t="s">
        <v>673</v>
      </c>
      <c r="AE2" s="152" t="s">
        <v>637</v>
      </c>
      <c r="AF2" s="152" t="s">
        <v>637</v>
      </c>
      <c r="AG2" s="152" t="s">
        <v>637</v>
      </c>
      <c r="AH2" s="152" t="s">
        <v>636</v>
      </c>
      <c r="AI2" s="152" t="s">
        <v>628</v>
      </c>
      <c r="AJ2" s="152" t="s">
        <v>635</v>
      </c>
      <c r="AK2" s="152" t="s">
        <v>634</v>
      </c>
      <c r="AL2" s="152" t="s">
        <v>637</v>
      </c>
      <c r="AM2" s="152" t="s">
        <v>868</v>
      </c>
      <c r="AO2" s="152" t="s">
        <v>631</v>
      </c>
      <c r="AP2" s="152" t="s">
        <v>628</v>
      </c>
      <c r="AQ2" s="152" t="s">
        <v>630</v>
      </c>
      <c r="AR2" s="152" t="s">
        <v>629</v>
      </c>
      <c r="AS2" s="152" t="s">
        <v>678</v>
      </c>
      <c r="AT2" s="152" t="s">
        <v>844</v>
      </c>
      <c r="AU2" s="152">
        <v>2016</v>
      </c>
      <c r="AV2" s="339">
        <v>7215</v>
      </c>
      <c r="AW2" s="339">
        <v>1615474</v>
      </c>
      <c r="AX2" s="152">
        <v>18</v>
      </c>
      <c r="AY2" s="152">
        <v>0</v>
      </c>
      <c r="AZ2" s="152">
        <v>75</v>
      </c>
      <c r="BA2" s="152">
        <v>0.11480987400000001</v>
      </c>
      <c r="BB2" s="152">
        <v>144</v>
      </c>
      <c r="BC2" s="152">
        <v>90</v>
      </c>
      <c r="BD2" s="152">
        <v>2.78</v>
      </c>
    </row>
    <row r="3" spans="1:56" x14ac:dyDescent="0.25">
      <c r="A3" s="152" t="s">
        <v>1207</v>
      </c>
      <c r="B3" s="152">
        <v>43.609096999999998</v>
      </c>
      <c r="C3" s="152">
        <v>-96.949096999999995</v>
      </c>
      <c r="D3" s="152">
        <v>22</v>
      </c>
      <c r="E3" s="152" t="s">
        <v>746</v>
      </c>
      <c r="F3" s="152">
        <v>2018</v>
      </c>
      <c r="G3" s="340">
        <v>43193.934027777781</v>
      </c>
      <c r="H3" s="152" t="s">
        <v>637</v>
      </c>
      <c r="I3" s="152" t="s">
        <v>669</v>
      </c>
      <c r="J3" s="152" t="s">
        <v>975</v>
      </c>
      <c r="K3" s="152" t="s">
        <v>1347</v>
      </c>
      <c r="L3" s="152" t="s">
        <v>1055</v>
      </c>
      <c r="M3" s="152" t="s">
        <v>736</v>
      </c>
      <c r="N3" s="152" t="s">
        <v>637</v>
      </c>
      <c r="O3" s="152" t="s">
        <v>647</v>
      </c>
      <c r="P3" s="152" t="s">
        <v>684</v>
      </c>
      <c r="Q3" s="152" t="s">
        <v>637</v>
      </c>
      <c r="R3" s="152" t="s">
        <v>709</v>
      </c>
      <c r="S3" s="152" t="s">
        <v>637</v>
      </c>
      <c r="T3" s="152" t="s">
        <v>708</v>
      </c>
      <c r="U3" s="152" t="s">
        <v>644</v>
      </c>
      <c r="V3" s="152" t="s">
        <v>199</v>
      </c>
      <c r="W3" s="152" t="s">
        <v>643</v>
      </c>
      <c r="Y3" s="152" t="s">
        <v>637</v>
      </c>
      <c r="Z3" s="152" t="s">
        <v>783</v>
      </c>
      <c r="AA3" s="152" t="s">
        <v>665</v>
      </c>
      <c r="AB3" s="152" t="s">
        <v>640</v>
      </c>
      <c r="AC3" s="152" t="s">
        <v>708</v>
      </c>
      <c r="AD3" s="152" t="s">
        <v>787</v>
      </c>
      <c r="AE3" s="152" t="s">
        <v>637</v>
      </c>
      <c r="AF3" s="152" t="s">
        <v>637</v>
      </c>
      <c r="AG3" s="152" t="s">
        <v>637</v>
      </c>
      <c r="AH3" s="152" t="s">
        <v>636</v>
      </c>
      <c r="AI3" s="152" t="s">
        <v>655</v>
      </c>
      <c r="AJ3" s="152" t="s">
        <v>635</v>
      </c>
      <c r="AK3" s="152" t="s">
        <v>634</v>
      </c>
      <c r="AL3" s="152" t="s">
        <v>637</v>
      </c>
      <c r="AM3" s="152" t="s">
        <v>1346</v>
      </c>
      <c r="AO3" s="152" t="s">
        <v>631</v>
      </c>
      <c r="AP3" s="152" t="s">
        <v>628</v>
      </c>
      <c r="AQ3" s="152" t="s">
        <v>671</v>
      </c>
      <c r="AR3" s="152" t="s">
        <v>629</v>
      </c>
      <c r="AS3" s="152" t="s">
        <v>628</v>
      </c>
      <c r="AT3" s="152" t="s">
        <v>702</v>
      </c>
      <c r="AU3" s="152">
        <v>2018</v>
      </c>
      <c r="AV3" s="339">
        <v>7215</v>
      </c>
      <c r="AW3" s="339">
        <v>1804686</v>
      </c>
      <c r="AX3" s="152">
        <v>3</v>
      </c>
      <c r="AY3" s="152">
        <v>0</v>
      </c>
      <c r="AZ3" s="152">
        <v>75</v>
      </c>
      <c r="BA3" s="152">
        <v>3.6609042000000001E-2</v>
      </c>
      <c r="BB3" s="152">
        <v>369</v>
      </c>
      <c r="BC3" s="152">
        <v>90</v>
      </c>
      <c r="BD3" s="152">
        <v>2.78</v>
      </c>
    </row>
    <row r="4" spans="1:56" x14ac:dyDescent="0.25">
      <c r="A4" s="152" t="s">
        <v>1207</v>
      </c>
      <c r="B4" s="152">
        <v>43.609110000000001</v>
      </c>
      <c r="C4" s="152">
        <v>-96.943680000000001</v>
      </c>
      <c r="D4" s="152">
        <v>22</v>
      </c>
      <c r="E4" s="152" t="s">
        <v>697</v>
      </c>
      <c r="F4" s="152">
        <v>2019</v>
      </c>
      <c r="G4" s="340">
        <v>43627.208333333336</v>
      </c>
      <c r="H4" s="152" t="s">
        <v>637</v>
      </c>
      <c r="I4" s="152" t="s">
        <v>696</v>
      </c>
      <c r="J4" s="152" t="s">
        <v>697</v>
      </c>
      <c r="L4" s="152" t="s">
        <v>1055</v>
      </c>
      <c r="M4" s="152" t="s">
        <v>736</v>
      </c>
      <c r="N4" s="152" t="s">
        <v>637</v>
      </c>
      <c r="O4" s="152" t="s">
        <v>647</v>
      </c>
      <c r="P4" s="152" t="s">
        <v>696</v>
      </c>
      <c r="Q4" s="152" t="s">
        <v>637</v>
      </c>
      <c r="R4" s="152" t="s">
        <v>701</v>
      </c>
      <c r="S4" s="152" t="s">
        <v>637</v>
      </c>
      <c r="T4" s="152" t="s">
        <v>701</v>
      </c>
      <c r="U4" s="152" t="s">
        <v>644</v>
      </c>
      <c r="V4" s="152" t="s">
        <v>199</v>
      </c>
      <c r="W4" s="152" t="s">
        <v>643</v>
      </c>
      <c r="Y4" s="152" t="s">
        <v>637</v>
      </c>
      <c r="Z4" s="152" t="s">
        <v>696</v>
      </c>
      <c r="AA4" s="152" t="s">
        <v>665</v>
      </c>
      <c r="AB4" s="152" t="s">
        <v>640</v>
      </c>
      <c r="AC4" s="152" t="s">
        <v>701</v>
      </c>
      <c r="AD4" s="152" t="s">
        <v>771</v>
      </c>
      <c r="AE4" s="152" t="s">
        <v>637</v>
      </c>
      <c r="AF4" s="152" t="s">
        <v>637</v>
      </c>
      <c r="AG4" s="152" t="s">
        <v>637</v>
      </c>
      <c r="AH4" s="152" t="s">
        <v>762</v>
      </c>
      <c r="AI4" s="152" t="s">
        <v>699</v>
      </c>
      <c r="AJ4" s="152" t="s">
        <v>696</v>
      </c>
      <c r="AL4" s="152" t="s">
        <v>637</v>
      </c>
      <c r="AM4" s="152" t="s">
        <v>1135</v>
      </c>
      <c r="AO4" s="152" t="s">
        <v>631</v>
      </c>
      <c r="AP4" s="152" t="s">
        <v>697</v>
      </c>
      <c r="AQ4" s="152" t="s">
        <v>703</v>
      </c>
      <c r="AS4" s="152" t="s">
        <v>696</v>
      </c>
      <c r="AT4" s="152" t="s">
        <v>695</v>
      </c>
      <c r="AU4" s="152">
        <v>2019</v>
      </c>
      <c r="AV4" s="339">
        <v>7215</v>
      </c>
      <c r="AW4" s="339">
        <v>1906648</v>
      </c>
      <c r="AX4" s="152">
        <v>11</v>
      </c>
      <c r="AY4" s="152">
        <v>-1</v>
      </c>
      <c r="AZ4" s="152">
        <v>75</v>
      </c>
      <c r="BA4" s="152">
        <v>7.1228527E-2</v>
      </c>
      <c r="BB4" s="152">
        <v>555</v>
      </c>
      <c r="BC4" s="152">
        <v>90</v>
      </c>
      <c r="BD4" s="152">
        <v>2.78</v>
      </c>
    </row>
    <row r="5" spans="1:56" x14ac:dyDescent="0.25">
      <c r="A5" s="152" t="s">
        <v>1207</v>
      </c>
      <c r="B5" s="152">
        <v>43.609110000000001</v>
      </c>
      <c r="C5" s="152">
        <v>-96.937370999999999</v>
      </c>
      <c r="D5" s="152">
        <v>22</v>
      </c>
      <c r="E5" s="152" t="s">
        <v>697</v>
      </c>
      <c r="F5" s="152">
        <v>2016</v>
      </c>
      <c r="G5" s="340">
        <v>42632.296527777777</v>
      </c>
      <c r="H5" s="152" t="s">
        <v>637</v>
      </c>
      <c r="I5" s="152" t="s">
        <v>696</v>
      </c>
      <c r="J5" s="152" t="s">
        <v>697</v>
      </c>
      <c r="L5" s="152" t="s">
        <v>1055</v>
      </c>
      <c r="M5" s="152" t="s">
        <v>685</v>
      </c>
      <c r="N5" s="152" t="s">
        <v>637</v>
      </c>
      <c r="O5" s="152" t="s">
        <v>647</v>
      </c>
      <c r="P5" s="152" t="s">
        <v>696</v>
      </c>
      <c r="Q5" s="152" t="s">
        <v>637</v>
      </c>
      <c r="R5" s="152" t="s">
        <v>701</v>
      </c>
      <c r="S5" s="152" t="s">
        <v>637</v>
      </c>
      <c r="T5" s="152" t="s">
        <v>701</v>
      </c>
      <c r="U5" s="152" t="s">
        <v>644</v>
      </c>
      <c r="V5" s="152" t="s">
        <v>199</v>
      </c>
      <c r="W5" s="152" t="s">
        <v>643</v>
      </c>
      <c r="Y5" s="152" t="s">
        <v>637</v>
      </c>
      <c r="Z5" s="152" t="s">
        <v>642</v>
      </c>
      <c r="AA5" s="152" t="s">
        <v>641</v>
      </c>
      <c r="AB5" s="152" t="s">
        <v>640</v>
      </c>
      <c r="AC5" s="152" t="s">
        <v>701</v>
      </c>
      <c r="AD5" s="152" t="s">
        <v>706</v>
      </c>
      <c r="AE5" s="152" t="s">
        <v>637</v>
      </c>
      <c r="AF5" s="152" t="s">
        <v>637</v>
      </c>
      <c r="AG5" s="152" t="s">
        <v>637</v>
      </c>
      <c r="AH5" s="152" t="s">
        <v>664</v>
      </c>
      <c r="AI5" s="152" t="s">
        <v>699</v>
      </c>
      <c r="AJ5" s="152" t="s">
        <v>696</v>
      </c>
      <c r="AL5" s="152" t="s">
        <v>637</v>
      </c>
      <c r="AM5" s="152" t="s">
        <v>1345</v>
      </c>
      <c r="AO5" s="152" t="s">
        <v>715</v>
      </c>
      <c r="AP5" s="152" t="s">
        <v>697</v>
      </c>
      <c r="AQ5" s="152" t="s">
        <v>703</v>
      </c>
      <c r="AS5" s="152" t="s">
        <v>696</v>
      </c>
      <c r="AT5" s="152" t="s">
        <v>702</v>
      </c>
      <c r="AU5" s="152">
        <v>2016</v>
      </c>
      <c r="AV5" s="339">
        <v>7215</v>
      </c>
      <c r="AW5" s="339">
        <v>1611473</v>
      </c>
      <c r="AX5" s="152">
        <v>19</v>
      </c>
      <c r="AY5" s="152">
        <v>-1</v>
      </c>
      <c r="AZ5" s="152">
        <v>75</v>
      </c>
      <c r="BA5" s="152">
        <v>5.2581894589999996</v>
      </c>
      <c r="BB5" s="152">
        <v>105</v>
      </c>
      <c r="BC5" s="152">
        <v>90</v>
      </c>
      <c r="BD5" s="152">
        <v>2.78</v>
      </c>
    </row>
    <row r="6" spans="1:56" x14ac:dyDescent="0.25">
      <c r="A6" s="152" t="s">
        <v>1207</v>
      </c>
      <c r="B6" s="152">
        <v>43.609113999999998</v>
      </c>
      <c r="C6" s="152">
        <v>-96.939515999999998</v>
      </c>
      <c r="D6" s="152">
        <v>22</v>
      </c>
      <c r="E6" s="152" t="s">
        <v>821</v>
      </c>
      <c r="F6" s="152">
        <v>2018</v>
      </c>
      <c r="G6" s="340">
        <v>43392.892361111109</v>
      </c>
      <c r="H6" s="152" t="s">
        <v>637</v>
      </c>
      <c r="I6" s="152" t="s">
        <v>745</v>
      </c>
      <c r="J6" s="152" t="s">
        <v>1344</v>
      </c>
      <c r="K6" s="152" t="s">
        <v>1343</v>
      </c>
      <c r="L6" s="152" t="s">
        <v>1055</v>
      </c>
      <c r="M6" s="152" t="s">
        <v>648</v>
      </c>
      <c r="N6" s="152" t="s">
        <v>637</v>
      </c>
      <c r="O6" s="152" t="s">
        <v>647</v>
      </c>
      <c r="P6" s="152" t="s">
        <v>758</v>
      </c>
      <c r="Q6" s="152" t="s">
        <v>637</v>
      </c>
      <c r="R6" s="152" t="s">
        <v>656</v>
      </c>
      <c r="S6" s="152" t="s">
        <v>637</v>
      </c>
      <c r="T6" s="152" t="s">
        <v>656</v>
      </c>
      <c r="U6" s="152" t="s">
        <v>644</v>
      </c>
      <c r="V6" s="152" t="s">
        <v>199</v>
      </c>
      <c r="W6" s="152" t="s">
        <v>643</v>
      </c>
      <c r="Y6" s="152" t="s">
        <v>637</v>
      </c>
      <c r="Z6" s="152" t="s">
        <v>642</v>
      </c>
      <c r="AA6" s="152" t="s">
        <v>665</v>
      </c>
      <c r="AB6" s="152" t="s">
        <v>740</v>
      </c>
      <c r="AC6" s="152" t="s">
        <v>656</v>
      </c>
      <c r="AD6" s="152" t="s">
        <v>700</v>
      </c>
      <c r="AE6" s="152" t="s">
        <v>637</v>
      </c>
      <c r="AF6" s="152" t="s">
        <v>637</v>
      </c>
      <c r="AG6" s="152" t="s">
        <v>637</v>
      </c>
      <c r="AH6" s="152" t="s">
        <v>664</v>
      </c>
      <c r="AI6" s="152" t="s">
        <v>628</v>
      </c>
      <c r="AJ6" s="152" t="s">
        <v>635</v>
      </c>
      <c r="AK6" s="152" t="s">
        <v>634</v>
      </c>
      <c r="AL6" s="152" t="s">
        <v>637</v>
      </c>
      <c r="AM6" s="152" t="s">
        <v>923</v>
      </c>
      <c r="AO6" s="152" t="s">
        <v>631</v>
      </c>
      <c r="AP6" s="152" t="s">
        <v>628</v>
      </c>
      <c r="AQ6" s="152" t="s">
        <v>703</v>
      </c>
      <c r="AR6" s="152" t="s">
        <v>629</v>
      </c>
      <c r="AS6" s="152" t="s">
        <v>628</v>
      </c>
      <c r="AT6" s="152" t="s">
        <v>702</v>
      </c>
      <c r="AU6" s="152">
        <v>2018</v>
      </c>
      <c r="AV6" s="339">
        <v>7215</v>
      </c>
      <c r="AW6" s="339">
        <v>1813500</v>
      </c>
      <c r="AX6" s="152">
        <v>19</v>
      </c>
      <c r="AY6" s="152">
        <v>0</v>
      </c>
      <c r="AZ6" s="152">
        <v>75</v>
      </c>
      <c r="BA6" s="152">
        <v>2.4124867769999998</v>
      </c>
      <c r="BB6" s="152">
        <v>457</v>
      </c>
      <c r="BC6" s="152">
        <v>90</v>
      </c>
      <c r="BD6" s="152">
        <v>2.78</v>
      </c>
    </row>
    <row r="7" spans="1:56" x14ac:dyDescent="0.25">
      <c r="A7" s="152" t="s">
        <v>1207</v>
      </c>
      <c r="B7" s="152">
        <v>43.609121999999999</v>
      </c>
      <c r="C7" s="152">
        <v>-96.939446000000004</v>
      </c>
      <c r="D7" s="152">
        <v>22</v>
      </c>
      <c r="E7" s="152" t="s">
        <v>697</v>
      </c>
      <c r="F7" s="152">
        <v>2017</v>
      </c>
      <c r="G7" s="340">
        <v>43033.181944444441</v>
      </c>
      <c r="H7" s="152" t="s">
        <v>637</v>
      </c>
      <c r="I7" s="152" t="s">
        <v>696</v>
      </c>
      <c r="J7" s="152" t="s">
        <v>650</v>
      </c>
      <c r="L7" s="152" t="s">
        <v>1055</v>
      </c>
      <c r="M7" s="152" t="s">
        <v>676</v>
      </c>
      <c r="N7" s="152" t="s">
        <v>637</v>
      </c>
      <c r="O7" s="152" t="s">
        <v>647</v>
      </c>
      <c r="P7" s="152" t="s">
        <v>628</v>
      </c>
      <c r="Q7" s="152" t="s">
        <v>637</v>
      </c>
      <c r="R7" s="152" t="s">
        <v>701</v>
      </c>
      <c r="S7" s="152" t="s">
        <v>637</v>
      </c>
      <c r="T7" s="152" t="s">
        <v>701</v>
      </c>
      <c r="U7" s="152" t="s">
        <v>644</v>
      </c>
      <c r="V7" s="152" t="s">
        <v>199</v>
      </c>
      <c r="W7" s="152" t="s">
        <v>643</v>
      </c>
      <c r="Y7" s="152" t="s">
        <v>637</v>
      </c>
      <c r="Z7" s="152" t="s">
        <v>696</v>
      </c>
      <c r="AA7" s="152" t="s">
        <v>665</v>
      </c>
      <c r="AB7" s="152" t="s">
        <v>640</v>
      </c>
      <c r="AC7" s="152" t="s">
        <v>701</v>
      </c>
      <c r="AD7" s="152" t="s">
        <v>700</v>
      </c>
      <c r="AE7" s="152" t="s">
        <v>637</v>
      </c>
      <c r="AF7" s="152" t="s">
        <v>637</v>
      </c>
      <c r="AG7" s="152" t="s">
        <v>637</v>
      </c>
      <c r="AH7" s="152" t="s">
        <v>664</v>
      </c>
      <c r="AI7" s="152" t="s">
        <v>699</v>
      </c>
      <c r="AJ7" s="152" t="s">
        <v>696</v>
      </c>
      <c r="AL7" s="152" t="s">
        <v>637</v>
      </c>
      <c r="AM7" s="152" t="s">
        <v>1342</v>
      </c>
      <c r="AO7" s="152" t="s">
        <v>631</v>
      </c>
      <c r="AP7" s="152" t="s">
        <v>628</v>
      </c>
      <c r="AQ7" s="152" t="s">
        <v>769</v>
      </c>
      <c r="AR7" s="152" t="s">
        <v>629</v>
      </c>
      <c r="AS7" s="152" t="s">
        <v>628</v>
      </c>
      <c r="AT7" s="152" t="s">
        <v>702</v>
      </c>
      <c r="AU7" s="152">
        <v>2017</v>
      </c>
      <c r="AV7" s="339">
        <v>7215</v>
      </c>
      <c r="AW7" s="339">
        <v>1713906</v>
      </c>
      <c r="AX7" s="152">
        <v>25</v>
      </c>
      <c r="AY7" s="152">
        <v>-1</v>
      </c>
      <c r="AZ7" s="152">
        <v>75</v>
      </c>
      <c r="BA7" s="152">
        <v>0.40265213300000002</v>
      </c>
      <c r="BB7" s="152">
        <v>292</v>
      </c>
      <c r="BC7" s="152">
        <v>90</v>
      </c>
      <c r="BD7" s="152">
        <v>2.78</v>
      </c>
    </row>
    <row r="8" spans="1:56" x14ac:dyDescent="0.25">
      <c r="A8" s="152" t="s">
        <v>1207</v>
      </c>
      <c r="B8" s="152">
        <v>43.609130999999998</v>
      </c>
      <c r="C8" s="152">
        <v>-96.926114999999996</v>
      </c>
      <c r="D8" s="152">
        <v>22</v>
      </c>
      <c r="E8" s="152" t="s">
        <v>652</v>
      </c>
      <c r="F8" s="152">
        <v>2019</v>
      </c>
      <c r="G8" s="340">
        <v>43780.53125</v>
      </c>
      <c r="H8" s="152" t="s">
        <v>637</v>
      </c>
      <c r="I8" s="152" t="s">
        <v>669</v>
      </c>
      <c r="J8" s="152" t="s">
        <v>650</v>
      </c>
      <c r="L8" s="152" t="s">
        <v>1055</v>
      </c>
      <c r="M8" s="152" t="s">
        <v>685</v>
      </c>
      <c r="N8" s="152" t="s">
        <v>637</v>
      </c>
      <c r="O8" s="152" t="s">
        <v>647</v>
      </c>
      <c r="P8" s="152" t="s">
        <v>628</v>
      </c>
      <c r="Q8" s="152" t="s">
        <v>637</v>
      </c>
      <c r="R8" s="152" t="s">
        <v>1341</v>
      </c>
      <c r="S8" s="152" t="s">
        <v>637</v>
      </c>
      <c r="T8" s="152" t="s">
        <v>1340</v>
      </c>
      <c r="U8" s="152" t="s">
        <v>644</v>
      </c>
      <c r="V8" s="152" t="s">
        <v>199</v>
      </c>
      <c r="W8" s="152" t="s">
        <v>643</v>
      </c>
      <c r="Y8" s="152" t="s">
        <v>637</v>
      </c>
      <c r="Z8" s="152" t="s">
        <v>642</v>
      </c>
      <c r="AA8" s="152" t="s">
        <v>641</v>
      </c>
      <c r="AB8" s="152" t="s">
        <v>640</v>
      </c>
      <c r="AC8" s="152" t="s">
        <v>1340</v>
      </c>
      <c r="AD8" s="152" t="s">
        <v>673</v>
      </c>
      <c r="AE8" s="152" t="s">
        <v>637</v>
      </c>
      <c r="AF8" s="152" t="s">
        <v>637</v>
      </c>
      <c r="AG8" s="152" t="s">
        <v>637</v>
      </c>
      <c r="AH8" s="152" t="s">
        <v>664</v>
      </c>
      <c r="AI8" s="152" t="s">
        <v>628</v>
      </c>
      <c r="AJ8" s="152" t="s">
        <v>635</v>
      </c>
      <c r="AK8" s="152" t="s">
        <v>634</v>
      </c>
      <c r="AL8" s="152" t="s">
        <v>637</v>
      </c>
      <c r="AM8" s="152" t="s">
        <v>1036</v>
      </c>
      <c r="AO8" s="152" t="s">
        <v>631</v>
      </c>
      <c r="AP8" s="152" t="s">
        <v>937</v>
      </c>
      <c r="AQ8" s="152" t="s">
        <v>671</v>
      </c>
      <c r="AR8" s="152" t="s">
        <v>629</v>
      </c>
      <c r="AS8" s="152" t="s">
        <v>628</v>
      </c>
      <c r="AT8" s="152" t="s">
        <v>702</v>
      </c>
      <c r="AU8" s="152">
        <v>2019</v>
      </c>
      <c r="AV8" s="339">
        <v>7215</v>
      </c>
      <c r="AW8" s="339">
        <v>1917420</v>
      </c>
      <c r="AX8" s="152">
        <v>11</v>
      </c>
      <c r="AY8" s="152">
        <v>0</v>
      </c>
      <c r="AZ8" s="152">
        <v>75</v>
      </c>
      <c r="BA8" s="152">
        <v>0.70554901299999995</v>
      </c>
      <c r="BB8" s="152">
        <v>618</v>
      </c>
      <c r="BC8" s="152">
        <v>90</v>
      </c>
      <c r="BD8" s="152">
        <v>2.78</v>
      </c>
    </row>
    <row r="9" spans="1:56" x14ac:dyDescent="0.25">
      <c r="A9" s="152" t="s">
        <v>1207</v>
      </c>
      <c r="B9" s="152">
        <v>43.609136999999997</v>
      </c>
      <c r="C9" s="152">
        <v>-96.927882999999994</v>
      </c>
      <c r="D9" s="152">
        <v>22</v>
      </c>
      <c r="E9" s="152" t="s">
        <v>697</v>
      </c>
      <c r="F9" s="152">
        <v>2016</v>
      </c>
      <c r="G9" s="340">
        <v>42722.75</v>
      </c>
      <c r="H9" s="152" t="s">
        <v>637</v>
      </c>
      <c r="I9" s="152" t="s">
        <v>696</v>
      </c>
      <c r="J9" s="152" t="s">
        <v>697</v>
      </c>
      <c r="L9" s="152" t="s">
        <v>1055</v>
      </c>
      <c r="M9" s="152" t="s">
        <v>712</v>
      </c>
      <c r="N9" s="152" t="s">
        <v>637</v>
      </c>
      <c r="O9" s="152" t="s">
        <v>647</v>
      </c>
      <c r="P9" s="152" t="s">
        <v>696</v>
      </c>
      <c r="Q9" s="152" t="s">
        <v>637</v>
      </c>
      <c r="R9" s="152" t="s">
        <v>701</v>
      </c>
      <c r="S9" s="152" t="s">
        <v>637</v>
      </c>
      <c r="T9" s="152" t="s">
        <v>701</v>
      </c>
      <c r="U9" s="152" t="s">
        <v>644</v>
      </c>
      <c r="V9" s="152" t="s">
        <v>199</v>
      </c>
      <c r="W9" s="152" t="s">
        <v>643</v>
      </c>
      <c r="Y9" s="152" t="s">
        <v>637</v>
      </c>
      <c r="Z9" s="152" t="s">
        <v>642</v>
      </c>
      <c r="AA9" s="152" t="s">
        <v>665</v>
      </c>
      <c r="AB9" s="152" t="s">
        <v>640</v>
      </c>
      <c r="AC9" s="152" t="s">
        <v>701</v>
      </c>
      <c r="AD9" s="152" t="s">
        <v>681</v>
      </c>
      <c r="AE9" s="152" t="s">
        <v>637</v>
      </c>
      <c r="AF9" s="152" t="s">
        <v>637</v>
      </c>
      <c r="AG9" s="152" t="s">
        <v>637</v>
      </c>
      <c r="AH9" s="152" t="s">
        <v>664</v>
      </c>
      <c r="AI9" s="152" t="s">
        <v>699</v>
      </c>
      <c r="AJ9" s="152" t="s">
        <v>696</v>
      </c>
      <c r="AL9" s="152" t="s">
        <v>637</v>
      </c>
      <c r="AM9" s="152" t="s">
        <v>925</v>
      </c>
      <c r="AO9" s="152" t="s">
        <v>631</v>
      </c>
      <c r="AP9" s="152" t="s">
        <v>697</v>
      </c>
      <c r="AQ9" s="152" t="s">
        <v>703</v>
      </c>
      <c r="AS9" s="152" t="s">
        <v>696</v>
      </c>
      <c r="AT9" s="152" t="s">
        <v>702</v>
      </c>
      <c r="AU9" s="152">
        <v>2016</v>
      </c>
      <c r="AV9" s="339">
        <v>7215</v>
      </c>
      <c r="AW9" s="339">
        <v>1617025</v>
      </c>
      <c r="AX9" s="152">
        <v>18</v>
      </c>
      <c r="AY9" s="152">
        <v>-1</v>
      </c>
      <c r="AZ9" s="152">
        <v>75</v>
      </c>
      <c r="BA9" s="152">
        <v>0.114727625</v>
      </c>
      <c r="BB9" s="152">
        <v>171</v>
      </c>
      <c r="BC9" s="152">
        <v>90</v>
      </c>
      <c r="BD9" s="152">
        <v>2.78</v>
      </c>
    </row>
    <row r="10" spans="1:56" x14ac:dyDescent="0.25">
      <c r="A10" s="152" t="s">
        <v>1207</v>
      </c>
      <c r="B10" s="152">
        <v>43.609141000000001</v>
      </c>
      <c r="C10" s="152">
        <v>-96.921498</v>
      </c>
      <c r="D10" s="152">
        <v>22</v>
      </c>
      <c r="E10" s="152" t="s">
        <v>697</v>
      </c>
      <c r="F10" s="152">
        <v>2019</v>
      </c>
      <c r="G10" s="340">
        <v>43645.1</v>
      </c>
      <c r="H10" s="152" t="s">
        <v>637</v>
      </c>
      <c r="I10" s="152" t="s">
        <v>696</v>
      </c>
      <c r="J10" s="152" t="s">
        <v>697</v>
      </c>
      <c r="L10" s="152" t="s">
        <v>1055</v>
      </c>
      <c r="M10" s="152" t="s">
        <v>693</v>
      </c>
      <c r="N10" s="152" t="s">
        <v>637</v>
      </c>
      <c r="O10" s="152" t="s">
        <v>647</v>
      </c>
      <c r="P10" s="152" t="s">
        <v>696</v>
      </c>
      <c r="Q10" s="152" t="s">
        <v>637</v>
      </c>
      <c r="R10" s="152" t="s">
        <v>701</v>
      </c>
      <c r="S10" s="152" t="s">
        <v>637</v>
      </c>
      <c r="T10" s="152" t="s">
        <v>701</v>
      </c>
      <c r="U10" s="152" t="s">
        <v>644</v>
      </c>
      <c r="V10" s="152" t="s">
        <v>199</v>
      </c>
      <c r="W10" s="152" t="s">
        <v>643</v>
      </c>
      <c r="Y10" s="152" t="s">
        <v>637</v>
      </c>
      <c r="Z10" s="152" t="s">
        <v>696</v>
      </c>
      <c r="AA10" s="152" t="s">
        <v>665</v>
      </c>
      <c r="AB10" s="152" t="s">
        <v>640</v>
      </c>
      <c r="AC10" s="152" t="s">
        <v>701</v>
      </c>
      <c r="AD10" s="152" t="s">
        <v>771</v>
      </c>
      <c r="AE10" s="152" t="s">
        <v>637</v>
      </c>
      <c r="AF10" s="152" t="s">
        <v>637</v>
      </c>
      <c r="AG10" s="152" t="s">
        <v>637</v>
      </c>
      <c r="AH10" s="152" t="s">
        <v>664</v>
      </c>
      <c r="AI10" s="152" t="s">
        <v>699</v>
      </c>
      <c r="AJ10" s="152" t="s">
        <v>696</v>
      </c>
      <c r="AL10" s="152" t="s">
        <v>637</v>
      </c>
      <c r="AM10" s="152" t="s">
        <v>1339</v>
      </c>
      <c r="AO10" s="152" t="s">
        <v>631</v>
      </c>
      <c r="AP10" s="152" t="s">
        <v>697</v>
      </c>
      <c r="AQ10" s="152" t="s">
        <v>662</v>
      </c>
      <c r="AS10" s="152" t="s">
        <v>696</v>
      </c>
      <c r="AT10" s="152" t="s">
        <v>702</v>
      </c>
      <c r="AU10" s="152">
        <v>2019</v>
      </c>
      <c r="AV10" s="339">
        <v>7215</v>
      </c>
      <c r="AW10" s="339">
        <v>1908373</v>
      </c>
      <c r="AX10" s="152">
        <v>29</v>
      </c>
      <c r="AY10" s="152">
        <v>-1</v>
      </c>
      <c r="AZ10" s="152">
        <v>75</v>
      </c>
      <c r="BA10" s="152">
        <v>0.88582804999999998</v>
      </c>
      <c r="BB10" s="152">
        <v>568</v>
      </c>
      <c r="BC10" s="152">
        <v>90</v>
      </c>
      <c r="BD10" s="152">
        <v>2.78</v>
      </c>
    </row>
    <row r="11" spans="1:56" x14ac:dyDescent="0.25">
      <c r="A11" s="152" t="s">
        <v>1207</v>
      </c>
      <c r="B11" s="152">
        <v>43.609141000000001</v>
      </c>
      <c r="C11" s="152">
        <v>-96.920282999999998</v>
      </c>
      <c r="D11" s="152">
        <v>22</v>
      </c>
      <c r="E11" s="152" t="s">
        <v>697</v>
      </c>
      <c r="F11" s="152">
        <v>2018</v>
      </c>
      <c r="G11" s="340">
        <v>43426.75277777778</v>
      </c>
      <c r="H11" s="152" t="s">
        <v>637</v>
      </c>
      <c r="I11" s="152" t="s">
        <v>696</v>
      </c>
      <c r="J11" s="152" t="s">
        <v>697</v>
      </c>
      <c r="L11" s="152" t="s">
        <v>1055</v>
      </c>
      <c r="M11" s="152" t="s">
        <v>668</v>
      </c>
      <c r="N11" s="152" t="s">
        <v>637</v>
      </c>
      <c r="O11" s="152" t="s">
        <v>647</v>
      </c>
      <c r="P11" s="152" t="s">
        <v>696</v>
      </c>
      <c r="Q11" s="152" t="s">
        <v>637</v>
      </c>
      <c r="R11" s="152" t="s">
        <v>701</v>
      </c>
      <c r="S11" s="152" t="s">
        <v>637</v>
      </c>
      <c r="T11" s="152" t="s">
        <v>701</v>
      </c>
      <c r="U11" s="152" t="s">
        <v>644</v>
      </c>
      <c r="V11" s="152" t="s">
        <v>199</v>
      </c>
      <c r="W11" s="152" t="s">
        <v>643</v>
      </c>
      <c r="Y11" s="152" t="s">
        <v>637</v>
      </c>
      <c r="Z11" s="152" t="s">
        <v>642</v>
      </c>
      <c r="AA11" s="152" t="s">
        <v>665</v>
      </c>
      <c r="AB11" s="152" t="s">
        <v>640</v>
      </c>
      <c r="AC11" s="152" t="s">
        <v>701</v>
      </c>
      <c r="AD11" s="152" t="s">
        <v>673</v>
      </c>
      <c r="AE11" s="152" t="s">
        <v>637</v>
      </c>
      <c r="AF11" s="152" t="s">
        <v>637</v>
      </c>
      <c r="AG11" s="152" t="s">
        <v>637</v>
      </c>
      <c r="AH11" s="152" t="s">
        <v>664</v>
      </c>
      <c r="AI11" s="152" t="s">
        <v>699</v>
      </c>
      <c r="AJ11" s="152" t="s">
        <v>696</v>
      </c>
      <c r="AL11" s="152" t="s">
        <v>637</v>
      </c>
      <c r="AM11" s="152" t="s">
        <v>1338</v>
      </c>
      <c r="AO11" s="152" t="s">
        <v>631</v>
      </c>
      <c r="AP11" s="152" t="s">
        <v>697</v>
      </c>
      <c r="AQ11" s="152" t="s">
        <v>671</v>
      </c>
      <c r="AS11" s="152" t="s">
        <v>696</v>
      </c>
      <c r="AT11" s="152" t="s">
        <v>702</v>
      </c>
      <c r="AU11" s="152">
        <v>2018</v>
      </c>
      <c r="AV11" s="339">
        <v>7215</v>
      </c>
      <c r="AW11" s="339">
        <v>1815252</v>
      </c>
      <c r="AX11" s="152">
        <v>22</v>
      </c>
      <c r="AY11" s="152">
        <v>-1</v>
      </c>
      <c r="AZ11" s="152">
        <v>75</v>
      </c>
      <c r="BA11" s="152">
        <v>7.8026636999999996E-2</v>
      </c>
      <c r="BB11" s="152">
        <v>476</v>
      </c>
      <c r="BC11" s="152">
        <v>90</v>
      </c>
      <c r="BD11" s="152">
        <v>2.78</v>
      </c>
    </row>
    <row r="12" spans="1:56" x14ac:dyDescent="0.25">
      <c r="A12" s="152" t="s">
        <v>1207</v>
      </c>
      <c r="B12" s="152">
        <v>43.609143000000003</v>
      </c>
      <c r="C12" s="152">
        <v>-96.920030999999994</v>
      </c>
      <c r="D12" s="152">
        <v>22</v>
      </c>
      <c r="E12" s="152" t="s">
        <v>697</v>
      </c>
      <c r="F12" s="152">
        <v>2020</v>
      </c>
      <c r="G12" s="340">
        <v>43987.979166666664</v>
      </c>
      <c r="H12" s="152" t="s">
        <v>637</v>
      </c>
      <c r="I12" s="152" t="s">
        <v>696</v>
      </c>
      <c r="J12" s="152" t="s">
        <v>697</v>
      </c>
      <c r="L12" s="152" t="s">
        <v>1055</v>
      </c>
      <c r="M12" s="152" t="s">
        <v>648</v>
      </c>
      <c r="N12" s="152" t="s">
        <v>637</v>
      </c>
      <c r="O12" s="152" t="s">
        <v>647</v>
      </c>
      <c r="P12" s="152" t="s">
        <v>696</v>
      </c>
      <c r="Q12" s="152" t="s">
        <v>637</v>
      </c>
      <c r="R12" s="152" t="s">
        <v>701</v>
      </c>
      <c r="S12" s="152" t="s">
        <v>637</v>
      </c>
      <c r="T12" s="152" t="s">
        <v>701</v>
      </c>
      <c r="U12" s="152" t="s">
        <v>644</v>
      </c>
      <c r="V12" s="152" t="s">
        <v>199</v>
      </c>
      <c r="W12" s="152" t="s">
        <v>643</v>
      </c>
      <c r="Y12" s="152" t="s">
        <v>637</v>
      </c>
      <c r="Z12" s="152" t="s">
        <v>696</v>
      </c>
      <c r="AA12" s="152" t="s">
        <v>665</v>
      </c>
      <c r="AB12" s="152" t="s">
        <v>640</v>
      </c>
      <c r="AC12" s="152" t="s">
        <v>701</v>
      </c>
      <c r="AD12" s="152" t="s">
        <v>771</v>
      </c>
      <c r="AE12" s="152" t="s">
        <v>637</v>
      </c>
      <c r="AF12" s="152" t="s">
        <v>637</v>
      </c>
      <c r="AG12" s="152" t="s">
        <v>637</v>
      </c>
      <c r="AH12" s="152" t="s">
        <v>664</v>
      </c>
      <c r="AI12" s="152" t="s">
        <v>699</v>
      </c>
      <c r="AJ12" s="152" t="s">
        <v>696</v>
      </c>
      <c r="AL12" s="152" t="s">
        <v>637</v>
      </c>
      <c r="AM12" s="152" t="s">
        <v>814</v>
      </c>
      <c r="AO12" s="152" t="s">
        <v>631</v>
      </c>
      <c r="AP12" s="152" t="s">
        <v>697</v>
      </c>
      <c r="AQ12" s="152" t="s">
        <v>703</v>
      </c>
      <c r="AS12" s="152" t="s">
        <v>696</v>
      </c>
      <c r="AT12" s="152" t="s">
        <v>702</v>
      </c>
      <c r="AU12" s="152">
        <v>2020</v>
      </c>
      <c r="AV12" s="339">
        <v>7215</v>
      </c>
      <c r="AW12" s="339">
        <v>2006010</v>
      </c>
      <c r="AX12" s="152">
        <v>5</v>
      </c>
      <c r="AY12" s="152">
        <v>-1</v>
      </c>
      <c r="AZ12" s="152">
        <v>75</v>
      </c>
      <c r="BA12" s="152">
        <v>1.4181256E-2</v>
      </c>
      <c r="BB12" s="152">
        <v>688</v>
      </c>
      <c r="BC12" s="152">
        <v>90</v>
      </c>
      <c r="BD12" s="152">
        <v>2.78</v>
      </c>
    </row>
    <row r="13" spans="1:56" x14ac:dyDescent="0.25">
      <c r="A13" s="152" t="s">
        <v>1207</v>
      </c>
      <c r="B13" s="152">
        <v>43.609144999999998</v>
      </c>
      <c r="C13" s="152">
        <v>-96.924148000000002</v>
      </c>
      <c r="D13" s="152">
        <v>22</v>
      </c>
      <c r="E13" s="152" t="s">
        <v>697</v>
      </c>
      <c r="F13" s="152">
        <v>2017</v>
      </c>
      <c r="G13" s="340">
        <v>42846.909722222219</v>
      </c>
      <c r="H13" s="152" t="s">
        <v>637</v>
      </c>
      <c r="I13" s="152" t="s">
        <v>696</v>
      </c>
      <c r="J13" s="152" t="s">
        <v>697</v>
      </c>
      <c r="L13" s="152" t="s">
        <v>1055</v>
      </c>
      <c r="M13" s="152" t="s">
        <v>648</v>
      </c>
      <c r="N13" s="152" t="s">
        <v>637</v>
      </c>
      <c r="O13" s="152" t="s">
        <v>647</v>
      </c>
      <c r="P13" s="152" t="s">
        <v>696</v>
      </c>
      <c r="Q13" s="152" t="s">
        <v>637</v>
      </c>
      <c r="R13" s="152" t="s">
        <v>701</v>
      </c>
      <c r="S13" s="152" t="s">
        <v>637</v>
      </c>
      <c r="T13" s="152" t="s">
        <v>701</v>
      </c>
      <c r="U13" s="152" t="s">
        <v>644</v>
      </c>
      <c r="V13" s="152" t="s">
        <v>199</v>
      </c>
      <c r="W13" s="152" t="s">
        <v>643</v>
      </c>
      <c r="Y13" s="152" t="s">
        <v>637</v>
      </c>
      <c r="Z13" s="152" t="s">
        <v>642</v>
      </c>
      <c r="AA13" s="152" t="s">
        <v>665</v>
      </c>
      <c r="AB13" s="152" t="s">
        <v>640</v>
      </c>
      <c r="AC13" s="152" t="s">
        <v>701</v>
      </c>
      <c r="AD13" s="152" t="s">
        <v>787</v>
      </c>
      <c r="AE13" s="152" t="s">
        <v>637</v>
      </c>
      <c r="AF13" s="152" t="s">
        <v>637</v>
      </c>
      <c r="AG13" s="152" t="s">
        <v>637</v>
      </c>
      <c r="AH13" s="152" t="s">
        <v>762</v>
      </c>
      <c r="AI13" s="152" t="s">
        <v>699</v>
      </c>
      <c r="AJ13" s="152" t="s">
        <v>696</v>
      </c>
      <c r="AL13" s="152" t="s">
        <v>637</v>
      </c>
      <c r="AM13" s="152" t="s">
        <v>804</v>
      </c>
      <c r="AO13" s="152" t="s">
        <v>631</v>
      </c>
      <c r="AP13" s="152" t="s">
        <v>697</v>
      </c>
      <c r="AQ13" s="152" t="s">
        <v>703</v>
      </c>
      <c r="AS13" s="152" t="s">
        <v>696</v>
      </c>
      <c r="AT13" s="152" t="s">
        <v>702</v>
      </c>
      <c r="AU13" s="152">
        <v>2017</v>
      </c>
      <c r="AV13" s="339">
        <v>7215</v>
      </c>
      <c r="AW13" s="339">
        <v>1704563</v>
      </c>
      <c r="AX13" s="152">
        <v>21</v>
      </c>
      <c r="AY13" s="152">
        <v>-1</v>
      </c>
      <c r="AZ13" s="152">
        <v>75</v>
      </c>
      <c r="BA13" s="152">
        <v>0.117513311</v>
      </c>
      <c r="BB13" s="152">
        <v>208</v>
      </c>
      <c r="BC13" s="152">
        <v>90</v>
      </c>
      <c r="BD13" s="152">
        <v>2.78</v>
      </c>
    </row>
    <row r="14" spans="1:56" x14ac:dyDescent="0.25">
      <c r="A14" s="152" t="s">
        <v>1207</v>
      </c>
      <c r="B14" s="152">
        <v>43.609144999999998</v>
      </c>
      <c r="C14" s="152">
        <v>-96.924079000000006</v>
      </c>
      <c r="D14" s="152">
        <v>22</v>
      </c>
      <c r="E14" s="152" t="s">
        <v>821</v>
      </c>
      <c r="F14" s="152">
        <v>2018</v>
      </c>
      <c r="G14" s="340">
        <v>43463.024305555555</v>
      </c>
      <c r="H14" s="152" t="s">
        <v>633</v>
      </c>
      <c r="I14" s="152" t="s">
        <v>713</v>
      </c>
      <c r="J14" s="152" t="s">
        <v>1337</v>
      </c>
      <c r="K14" s="152" t="s">
        <v>1336</v>
      </c>
      <c r="L14" s="152" t="s">
        <v>1055</v>
      </c>
      <c r="M14" s="152" t="s">
        <v>693</v>
      </c>
      <c r="N14" s="152" t="s">
        <v>637</v>
      </c>
      <c r="O14" s="152" t="s">
        <v>647</v>
      </c>
      <c r="P14" s="152" t="s">
        <v>1000</v>
      </c>
      <c r="Q14" s="152" t="s">
        <v>633</v>
      </c>
      <c r="R14" s="152" t="s">
        <v>1335</v>
      </c>
      <c r="S14" s="152" t="s">
        <v>637</v>
      </c>
      <c r="T14" s="152" t="s">
        <v>723</v>
      </c>
      <c r="U14" s="152" t="s">
        <v>644</v>
      </c>
      <c r="V14" s="152" t="s">
        <v>199</v>
      </c>
      <c r="W14" s="152" t="s">
        <v>643</v>
      </c>
      <c r="Y14" s="152" t="s">
        <v>637</v>
      </c>
      <c r="Z14" s="152" t="s">
        <v>642</v>
      </c>
      <c r="AA14" s="152" t="s">
        <v>665</v>
      </c>
      <c r="AB14" s="152" t="s">
        <v>640</v>
      </c>
      <c r="AC14" s="152" t="s">
        <v>1102</v>
      </c>
      <c r="AD14" s="152" t="s">
        <v>681</v>
      </c>
      <c r="AE14" s="152" t="s">
        <v>637</v>
      </c>
      <c r="AF14" s="152" t="s">
        <v>633</v>
      </c>
      <c r="AG14" s="152" t="s">
        <v>637</v>
      </c>
      <c r="AH14" s="152" t="s">
        <v>636</v>
      </c>
      <c r="AI14" s="152" t="s">
        <v>628</v>
      </c>
      <c r="AJ14" s="152" t="s">
        <v>635</v>
      </c>
      <c r="AK14" s="152" t="s">
        <v>634</v>
      </c>
      <c r="AL14" s="152" t="s">
        <v>637</v>
      </c>
      <c r="AM14" s="152" t="s">
        <v>1334</v>
      </c>
      <c r="AO14" s="152" t="s">
        <v>631</v>
      </c>
      <c r="AP14" s="152" t="s">
        <v>628</v>
      </c>
      <c r="AQ14" s="152" t="s">
        <v>671</v>
      </c>
      <c r="AR14" s="152" t="s">
        <v>629</v>
      </c>
      <c r="AS14" s="152" t="s">
        <v>628</v>
      </c>
      <c r="AT14" s="152" t="s">
        <v>661</v>
      </c>
      <c r="AU14" s="152">
        <v>2018</v>
      </c>
      <c r="AV14" s="339">
        <v>7215</v>
      </c>
      <c r="AW14" s="339">
        <v>1817248</v>
      </c>
      <c r="AX14" s="152">
        <v>29</v>
      </c>
      <c r="AY14" s="152">
        <v>0</v>
      </c>
      <c r="AZ14" s="152">
        <v>75</v>
      </c>
      <c r="BA14" s="152">
        <v>4.2344626000000003E-2</v>
      </c>
      <c r="BB14" s="152">
        <v>499</v>
      </c>
      <c r="BC14" s="152">
        <v>90</v>
      </c>
      <c r="BD14" s="152">
        <v>2.78</v>
      </c>
    </row>
    <row r="15" spans="1:56" x14ac:dyDescent="0.25">
      <c r="A15" s="152" t="s">
        <v>1207</v>
      </c>
      <c r="B15" s="152">
        <v>43.609146000000003</v>
      </c>
      <c r="C15" s="152">
        <v>-96.919544999999999</v>
      </c>
      <c r="D15" s="152">
        <v>22</v>
      </c>
      <c r="E15" s="152" t="s">
        <v>697</v>
      </c>
      <c r="F15" s="152">
        <v>2020</v>
      </c>
      <c r="G15" s="340">
        <v>44158.71875</v>
      </c>
      <c r="H15" s="152" t="s">
        <v>637</v>
      </c>
      <c r="I15" s="152" t="s">
        <v>696</v>
      </c>
      <c r="J15" s="152" t="s">
        <v>697</v>
      </c>
      <c r="L15" s="152" t="s">
        <v>1055</v>
      </c>
      <c r="M15" s="152" t="s">
        <v>685</v>
      </c>
      <c r="N15" s="152" t="s">
        <v>637</v>
      </c>
      <c r="O15" s="152" t="s">
        <v>647</v>
      </c>
      <c r="P15" s="152" t="s">
        <v>696</v>
      </c>
      <c r="Q15" s="152" t="s">
        <v>637</v>
      </c>
      <c r="R15" s="152" t="s">
        <v>701</v>
      </c>
      <c r="S15" s="152" t="s">
        <v>637</v>
      </c>
      <c r="T15" s="152" t="s">
        <v>701</v>
      </c>
      <c r="U15" s="152" t="s">
        <v>644</v>
      </c>
      <c r="V15" s="152" t="s">
        <v>199</v>
      </c>
      <c r="W15" s="152" t="s">
        <v>643</v>
      </c>
      <c r="Y15" s="152" t="s">
        <v>637</v>
      </c>
      <c r="Z15" s="152" t="s">
        <v>696</v>
      </c>
      <c r="AA15" s="152" t="s">
        <v>665</v>
      </c>
      <c r="AB15" s="152" t="s">
        <v>640</v>
      </c>
      <c r="AC15" s="152" t="s">
        <v>701</v>
      </c>
      <c r="AD15" s="152" t="s">
        <v>673</v>
      </c>
      <c r="AE15" s="152" t="s">
        <v>637</v>
      </c>
      <c r="AF15" s="152" t="s">
        <v>637</v>
      </c>
      <c r="AG15" s="152" t="s">
        <v>637</v>
      </c>
      <c r="AH15" s="152" t="s">
        <v>664</v>
      </c>
      <c r="AI15" s="152" t="s">
        <v>699</v>
      </c>
      <c r="AJ15" s="152" t="s">
        <v>696</v>
      </c>
      <c r="AL15" s="152" t="s">
        <v>637</v>
      </c>
      <c r="AM15" s="152" t="s">
        <v>1002</v>
      </c>
      <c r="AO15" s="152" t="s">
        <v>715</v>
      </c>
      <c r="AP15" s="152" t="s">
        <v>697</v>
      </c>
      <c r="AQ15" s="152" t="s">
        <v>630</v>
      </c>
      <c r="AS15" s="152" t="s">
        <v>696</v>
      </c>
      <c r="AT15" s="152" t="s">
        <v>695</v>
      </c>
      <c r="AU15" s="152">
        <v>2020</v>
      </c>
      <c r="AV15" s="339">
        <v>7215</v>
      </c>
      <c r="AW15" s="339">
        <v>2015131</v>
      </c>
      <c r="AX15" s="152">
        <v>23</v>
      </c>
      <c r="AY15" s="152">
        <v>-1</v>
      </c>
      <c r="AZ15" s="152">
        <v>75</v>
      </c>
      <c r="BA15" s="152">
        <v>1.7839258E-2</v>
      </c>
      <c r="BB15" s="152">
        <v>762</v>
      </c>
      <c r="BC15" s="152">
        <v>90</v>
      </c>
      <c r="BD15" s="152">
        <v>2.78</v>
      </c>
    </row>
    <row r="16" spans="1:56" x14ac:dyDescent="0.25">
      <c r="A16" s="152" t="s">
        <v>1207</v>
      </c>
      <c r="B16" s="152">
        <v>43.609147</v>
      </c>
      <c r="C16" s="152">
        <v>-96.922538000000003</v>
      </c>
      <c r="D16" s="152">
        <v>22</v>
      </c>
      <c r="E16" s="152" t="s">
        <v>697</v>
      </c>
      <c r="F16" s="152">
        <v>2017</v>
      </c>
      <c r="G16" s="340">
        <v>42867.888888888891</v>
      </c>
      <c r="H16" s="152" t="s">
        <v>637</v>
      </c>
      <c r="I16" s="152" t="s">
        <v>696</v>
      </c>
      <c r="J16" s="152" t="s">
        <v>697</v>
      </c>
      <c r="L16" s="152" t="s">
        <v>1055</v>
      </c>
      <c r="M16" s="152" t="s">
        <v>648</v>
      </c>
      <c r="N16" s="152" t="s">
        <v>637</v>
      </c>
      <c r="O16" s="152" t="s">
        <v>647</v>
      </c>
      <c r="P16" s="152" t="s">
        <v>696</v>
      </c>
      <c r="Q16" s="152" t="s">
        <v>637</v>
      </c>
      <c r="R16" s="152" t="s">
        <v>701</v>
      </c>
      <c r="S16" s="152" t="s">
        <v>637</v>
      </c>
      <c r="T16" s="152" t="s">
        <v>701</v>
      </c>
      <c r="U16" s="152" t="s">
        <v>644</v>
      </c>
      <c r="V16" s="152" t="s">
        <v>199</v>
      </c>
      <c r="W16" s="152" t="s">
        <v>643</v>
      </c>
      <c r="Y16" s="152" t="s">
        <v>637</v>
      </c>
      <c r="Z16" s="152" t="s">
        <v>642</v>
      </c>
      <c r="AA16" s="152" t="s">
        <v>665</v>
      </c>
      <c r="AB16" s="152" t="s">
        <v>640</v>
      </c>
      <c r="AC16" s="152" t="s">
        <v>701</v>
      </c>
      <c r="AD16" s="152" t="s">
        <v>752</v>
      </c>
      <c r="AE16" s="152" t="s">
        <v>637</v>
      </c>
      <c r="AF16" s="152" t="s">
        <v>637</v>
      </c>
      <c r="AG16" s="152" t="s">
        <v>637</v>
      </c>
      <c r="AH16" s="152" t="s">
        <v>664</v>
      </c>
      <c r="AI16" s="152" t="s">
        <v>699</v>
      </c>
      <c r="AJ16" s="152" t="s">
        <v>696</v>
      </c>
      <c r="AL16" s="152" t="s">
        <v>637</v>
      </c>
      <c r="AM16" s="152" t="s">
        <v>823</v>
      </c>
      <c r="AO16" s="152" t="s">
        <v>631</v>
      </c>
      <c r="AP16" s="152" t="s">
        <v>697</v>
      </c>
      <c r="AQ16" s="152" t="s">
        <v>630</v>
      </c>
      <c r="AS16" s="152" t="s">
        <v>696</v>
      </c>
      <c r="AT16" s="152" t="s">
        <v>702</v>
      </c>
      <c r="AU16" s="152">
        <v>2017</v>
      </c>
      <c r="AV16" s="339">
        <v>7215</v>
      </c>
      <c r="AW16" s="339">
        <v>1705737</v>
      </c>
      <c r="AX16" s="152">
        <v>12</v>
      </c>
      <c r="AY16" s="152">
        <v>-1</v>
      </c>
      <c r="AZ16" s="152">
        <v>75</v>
      </c>
      <c r="BA16" s="152">
        <v>2.3227830530000002</v>
      </c>
      <c r="BB16" s="152">
        <v>226</v>
      </c>
      <c r="BC16" s="152">
        <v>90</v>
      </c>
      <c r="BD16" s="152">
        <v>2.78</v>
      </c>
    </row>
    <row r="17" spans="1:56" x14ac:dyDescent="0.25">
      <c r="A17" s="152" t="s">
        <v>1207</v>
      </c>
      <c r="B17" s="152">
        <v>43.609147</v>
      </c>
      <c r="C17" s="152">
        <v>-96.922454999999999</v>
      </c>
      <c r="D17" s="152">
        <v>22</v>
      </c>
      <c r="E17" s="152" t="s">
        <v>652</v>
      </c>
      <c r="F17" s="152">
        <v>2020</v>
      </c>
      <c r="G17" s="340">
        <v>44145.729166666664</v>
      </c>
      <c r="H17" s="152" t="s">
        <v>637</v>
      </c>
      <c r="I17" s="152" t="s">
        <v>669</v>
      </c>
      <c r="J17" s="152" t="s">
        <v>660</v>
      </c>
      <c r="L17" s="152" t="s">
        <v>1055</v>
      </c>
      <c r="M17" s="152" t="s">
        <v>736</v>
      </c>
      <c r="N17" s="152" t="s">
        <v>637</v>
      </c>
      <c r="O17" s="152" t="s">
        <v>647</v>
      </c>
      <c r="P17" s="152" t="s">
        <v>774</v>
      </c>
      <c r="Q17" s="152" t="s">
        <v>637</v>
      </c>
      <c r="R17" s="152" t="s">
        <v>656</v>
      </c>
      <c r="S17" s="152" t="s">
        <v>637</v>
      </c>
      <c r="T17" s="152" t="s">
        <v>656</v>
      </c>
      <c r="U17" s="152" t="s">
        <v>644</v>
      </c>
      <c r="V17" s="152" t="s">
        <v>199</v>
      </c>
      <c r="W17" s="152" t="s">
        <v>643</v>
      </c>
      <c r="Y17" s="152" t="s">
        <v>637</v>
      </c>
      <c r="Z17" s="152" t="s">
        <v>642</v>
      </c>
      <c r="AA17" s="152" t="s">
        <v>665</v>
      </c>
      <c r="AB17" s="152" t="s">
        <v>728</v>
      </c>
      <c r="AC17" s="152" t="s">
        <v>656</v>
      </c>
      <c r="AD17" s="152" t="s">
        <v>673</v>
      </c>
      <c r="AE17" s="152" t="s">
        <v>637</v>
      </c>
      <c r="AF17" s="152" t="s">
        <v>637</v>
      </c>
      <c r="AG17" s="152" t="s">
        <v>637</v>
      </c>
      <c r="AH17" s="152" t="s">
        <v>677</v>
      </c>
      <c r="AI17" s="152" t="s">
        <v>655</v>
      </c>
      <c r="AJ17" s="152" t="s">
        <v>635</v>
      </c>
      <c r="AK17" s="152" t="s">
        <v>634</v>
      </c>
      <c r="AL17" s="152" t="s">
        <v>637</v>
      </c>
      <c r="AM17" s="152" t="s">
        <v>930</v>
      </c>
      <c r="AO17" s="152" t="s">
        <v>631</v>
      </c>
      <c r="AP17" s="152" t="s">
        <v>628</v>
      </c>
      <c r="AQ17" s="152" t="s">
        <v>703</v>
      </c>
      <c r="AR17" s="152" t="s">
        <v>772</v>
      </c>
      <c r="AS17" s="152" t="s">
        <v>905</v>
      </c>
      <c r="AT17" s="152" t="s">
        <v>677</v>
      </c>
      <c r="AU17" s="152">
        <v>2020</v>
      </c>
      <c r="AV17" s="339">
        <v>7215</v>
      </c>
      <c r="AW17" s="339">
        <v>2015387</v>
      </c>
      <c r="AX17" s="152">
        <v>10</v>
      </c>
      <c r="AY17" s="152">
        <v>0</v>
      </c>
      <c r="AZ17" s="152">
        <v>0</v>
      </c>
      <c r="BA17" s="152">
        <v>2.382587177</v>
      </c>
      <c r="BB17" s="152">
        <v>763</v>
      </c>
      <c r="BC17" s="152">
        <v>90</v>
      </c>
      <c r="BD17" s="152">
        <v>2.78</v>
      </c>
    </row>
    <row r="18" spans="1:56" x14ac:dyDescent="0.25">
      <c r="A18" s="152" t="s">
        <v>1207</v>
      </c>
      <c r="B18" s="152">
        <v>43.609157000000003</v>
      </c>
      <c r="C18" s="152">
        <v>-96.913777999999994</v>
      </c>
      <c r="D18" s="152">
        <v>22</v>
      </c>
      <c r="E18" s="152" t="s">
        <v>652</v>
      </c>
      <c r="F18" s="152">
        <v>2019</v>
      </c>
      <c r="G18" s="340">
        <v>43751.111111111109</v>
      </c>
      <c r="H18" s="152" t="s">
        <v>633</v>
      </c>
      <c r="I18" s="152" t="s">
        <v>669</v>
      </c>
      <c r="J18" s="152" t="s">
        <v>1333</v>
      </c>
      <c r="K18" s="152" t="s">
        <v>1177</v>
      </c>
      <c r="L18" s="152" t="s">
        <v>1055</v>
      </c>
      <c r="M18" s="152" t="s">
        <v>712</v>
      </c>
      <c r="N18" s="152" t="s">
        <v>637</v>
      </c>
      <c r="O18" s="152" t="s">
        <v>647</v>
      </c>
      <c r="P18" s="152" t="s">
        <v>1332</v>
      </c>
      <c r="Q18" s="152" t="s">
        <v>637</v>
      </c>
      <c r="R18" s="152" t="s">
        <v>768</v>
      </c>
      <c r="S18" s="152" t="s">
        <v>637</v>
      </c>
      <c r="T18" s="152" t="s">
        <v>719</v>
      </c>
      <c r="U18" s="152" t="s">
        <v>644</v>
      </c>
      <c r="V18" s="152" t="s">
        <v>199</v>
      </c>
      <c r="W18" s="152" t="s">
        <v>643</v>
      </c>
      <c r="Y18" s="152" t="s">
        <v>633</v>
      </c>
      <c r="Z18" s="152" t="s">
        <v>642</v>
      </c>
      <c r="AA18" s="152" t="s">
        <v>665</v>
      </c>
      <c r="AB18" s="152" t="s">
        <v>640</v>
      </c>
      <c r="AC18" s="152" t="s">
        <v>719</v>
      </c>
      <c r="AD18" s="152" t="s">
        <v>700</v>
      </c>
      <c r="AE18" s="152" t="s">
        <v>637</v>
      </c>
      <c r="AF18" s="152" t="s">
        <v>637</v>
      </c>
      <c r="AG18" s="152" t="s">
        <v>637</v>
      </c>
      <c r="AH18" s="152" t="s">
        <v>636</v>
      </c>
      <c r="AI18" s="152" t="s">
        <v>655</v>
      </c>
      <c r="AJ18" s="152" t="s">
        <v>635</v>
      </c>
      <c r="AK18" s="152" t="s">
        <v>634</v>
      </c>
      <c r="AL18" s="152" t="s">
        <v>637</v>
      </c>
      <c r="AM18" s="152" t="s">
        <v>865</v>
      </c>
      <c r="AO18" s="152" t="s">
        <v>631</v>
      </c>
      <c r="AP18" s="152" t="s">
        <v>628</v>
      </c>
      <c r="AQ18" s="152" t="s">
        <v>630</v>
      </c>
      <c r="AR18" s="152" t="s">
        <v>629</v>
      </c>
      <c r="AS18" s="152" t="s">
        <v>628</v>
      </c>
      <c r="AT18" s="152" t="s">
        <v>797</v>
      </c>
      <c r="AU18" s="152">
        <v>2019</v>
      </c>
      <c r="AV18" s="339">
        <v>7215</v>
      </c>
      <c r="AW18" s="339">
        <v>1915552</v>
      </c>
      <c r="AX18" s="152">
        <v>13</v>
      </c>
      <c r="AY18" s="152">
        <v>0</v>
      </c>
      <c r="AZ18" s="152">
        <v>75</v>
      </c>
      <c r="BA18" s="152">
        <v>8.5451900999999997E-2</v>
      </c>
      <c r="BB18" s="152">
        <v>595</v>
      </c>
      <c r="BC18" s="152">
        <v>90</v>
      </c>
      <c r="BD18" s="152">
        <v>2.78</v>
      </c>
    </row>
    <row r="19" spans="1:56" x14ac:dyDescent="0.25">
      <c r="A19" s="152" t="s">
        <v>1207</v>
      </c>
      <c r="B19" s="152">
        <v>43.609161</v>
      </c>
      <c r="C19" s="152">
        <v>-96.917727999999997</v>
      </c>
      <c r="D19" s="152">
        <v>22</v>
      </c>
      <c r="E19" s="152" t="s">
        <v>652</v>
      </c>
      <c r="F19" s="152">
        <v>2018</v>
      </c>
      <c r="G19" s="340">
        <v>43280.43472222222</v>
      </c>
      <c r="H19" s="152" t="s">
        <v>637</v>
      </c>
      <c r="I19" s="152" t="s">
        <v>669</v>
      </c>
      <c r="J19" s="152" t="s">
        <v>650</v>
      </c>
      <c r="L19" s="152" t="s">
        <v>1055</v>
      </c>
      <c r="M19" s="152" t="s">
        <v>648</v>
      </c>
      <c r="N19" s="152" t="s">
        <v>637</v>
      </c>
      <c r="O19" s="152" t="s">
        <v>647</v>
      </c>
      <c r="P19" s="152" t="s">
        <v>628</v>
      </c>
      <c r="Q19" s="152" t="s">
        <v>637</v>
      </c>
      <c r="R19" s="152" t="s">
        <v>1295</v>
      </c>
      <c r="S19" s="152" t="s">
        <v>637</v>
      </c>
      <c r="T19" s="152" t="s">
        <v>1295</v>
      </c>
      <c r="U19" s="152" t="s">
        <v>644</v>
      </c>
      <c r="V19" s="152" t="s">
        <v>199</v>
      </c>
      <c r="W19" s="152" t="s">
        <v>643</v>
      </c>
      <c r="Y19" s="152" t="s">
        <v>637</v>
      </c>
      <c r="Z19" s="152" t="s">
        <v>642</v>
      </c>
      <c r="AA19" s="152" t="s">
        <v>641</v>
      </c>
      <c r="AB19" s="152" t="s">
        <v>640</v>
      </c>
      <c r="AC19" s="152" t="s">
        <v>1295</v>
      </c>
      <c r="AD19" s="152" t="s">
        <v>771</v>
      </c>
      <c r="AE19" s="152" t="s">
        <v>637</v>
      </c>
      <c r="AF19" s="152" t="s">
        <v>637</v>
      </c>
      <c r="AG19" s="152" t="s">
        <v>637</v>
      </c>
      <c r="AH19" s="152" t="s">
        <v>664</v>
      </c>
      <c r="AI19" s="152" t="s">
        <v>628</v>
      </c>
      <c r="AJ19" s="152" t="s">
        <v>635</v>
      </c>
      <c r="AK19" s="152" t="s">
        <v>634</v>
      </c>
      <c r="AL19" s="152" t="s">
        <v>637</v>
      </c>
      <c r="AM19" s="152" t="s">
        <v>1331</v>
      </c>
      <c r="AO19" s="152" t="s">
        <v>631</v>
      </c>
      <c r="AP19" s="152" t="s">
        <v>1293</v>
      </c>
      <c r="AQ19" s="152" t="s">
        <v>630</v>
      </c>
      <c r="AR19" s="152" t="s">
        <v>629</v>
      </c>
      <c r="AS19" s="152" t="s">
        <v>628</v>
      </c>
      <c r="AT19" s="152" t="s">
        <v>702</v>
      </c>
      <c r="AU19" s="152">
        <v>2018</v>
      </c>
      <c r="AV19" s="339">
        <v>7215</v>
      </c>
      <c r="AW19" s="339">
        <v>1807443</v>
      </c>
      <c r="AX19" s="152">
        <v>29</v>
      </c>
      <c r="AY19" s="152">
        <v>0</v>
      </c>
      <c r="AZ19" s="152">
        <v>75</v>
      </c>
      <c r="BA19" s="152">
        <v>1.2477391600000001</v>
      </c>
      <c r="BB19" s="152">
        <v>414</v>
      </c>
      <c r="BC19" s="152">
        <v>90</v>
      </c>
      <c r="BD19" s="152">
        <v>2.78</v>
      </c>
    </row>
    <row r="20" spans="1:56" x14ac:dyDescent="0.25">
      <c r="A20" s="152" t="s">
        <v>1207</v>
      </c>
      <c r="B20" s="152">
        <v>43.609161</v>
      </c>
      <c r="C20" s="152">
        <v>-96.910949000000002</v>
      </c>
      <c r="D20" s="152">
        <v>22</v>
      </c>
      <c r="E20" s="152" t="s">
        <v>697</v>
      </c>
      <c r="F20" s="152">
        <v>2018</v>
      </c>
      <c r="G20" s="340">
        <v>43241.892361111109</v>
      </c>
      <c r="H20" s="152" t="s">
        <v>637</v>
      </c>
      <c r="I20" s="152" t="s">
        <v>696</v>
      </c>
      <c r="J20" s="152" t="s">
        <v>697</v>
      </c>
      <c r="L20" s="152" t="s">
        <v>1055</v>
      </c>
      <c r="M20" s="152" t="s">
        <v>685</v>
      </c>
      <c r="N20" s="152" t="s">
        <v>637</v>
      </c>
      <c r="O20" s="152" t="s">
        <v>647</v>
      </c>
      <c r="P20" s="152" t="s">
        <v>696</v>
      </c>
      <c r="Q20" s="152" t="s">
        <v>637</v>
      </c>
      <c r="R20" s="152" t="s">
        <v>701</v>
      </c>
      <c r="S20" s="152" t="s">
        <v>637</v>
      </c>
      <c r="T20" s="152" t="s">
        <v>701</v>
      </c>
      <c r="U20" s="152" t="s">
        <v>644</v>
      </c>
      <c r="V20" s="152" t="s">
        <v>199</v>
      </c>
      <c r="W20" s="152" t="s">
        <v>643</v>
      </c>
      <c r="Y20" s="152" t="s">
        <v>637</v>
      </c>
      <c r="Z20" s="152" t="s">
        <v>642</v>
      </c>
      <c r="AA20" s="152" t="s">
        <v>665</v>
      </c>
      <c r="AB20" s="152" t="s">
        <v>640</v>
      </c>
      <c r="AC20" s="152" t="s">
        <v>701</v>
      </c>
      <c r="AD20" s="152" t="s">
        <v>752</v>
      </c>
      <c r="AE20" s="152" t="s">
        <v>637</v>
      </c>
      <c r="AF20" s="152" t="s">
        <v>637</v>
      </c>
      <c r="AG20" s="152" t="s">
        <v>637</v>
      </c>
      <c r="AH20" s="152" t="s">
        <v>664</v>
      </c>
      <c r="AI20" s="152" t="s">
        <v>699</v>
      </c>
      <c r="AJ20" s="152" t="s">
        <v>696</v>
      </c>
      <c r="AL20" s="152" t="s">
        <v>637</v>
      </c>
      <c r="AM20" s="152" t="s">
        <v>923</v>
      </c>
      <c r="AO20" s="152" t="s">
        <v>631</v>
      </c>
      <c r="AP20" s="152" t="s">
        <v>697</v>
      </c>
      <c r="AQ20" s="152" t="s">
        <v>671</v>
      </c>
      <c r="AS20" s="152" t="s">
        <v>696</v>
      </c>
      <c r="AT20" s="152" t="s">
        <v>695</v>
      </c>
      <c r="AU20" s="152">
        <v>2018</v>
      </c>
      <c r="AV20" s="339">
        <v>7215</v>
      </c>
      <c r="AW20" s="339">
        <v>1805726</v>
      </c>
      <c r="AX20" s="152">
        <v>21</v>
      </c>
      <c r="AY20" s="152">
        <v>-1</v>
      </c>
      <c r="AZ20" s="152">
        <v>75</v>
      </c>
      <c r="BA20" s="152">
        <v>6.8447752000000001E-2</v>
      </c>
      <c r="BB20" s="152">
        <v>386</v>
      </c>
      <c r="BC20" s="152">
        <v>90</v>
      </c>
      <c r="BD20" s="152">
        <v>2.78</v>
      </c>
    </row>
    <row r="21" spans="1:56" x14ac:dyDescent="0.25">
      <c r="A21" s="152" t="s">
        <v>1207</v>
      </c>
      <c r="B21" s="152">
        <v>43.609171000000003</v>
      </c>
      <c r="C21" s="152">
        <v>-96.908776000000003</v>
      </c>
      <c r="D21" s="152">
        <v>22</v>
      </c>
      <c r="E21" s="152" t="s">
        <v>697</v>
      </c>
      <c r="F21" s="152">
        <v>2018</v>
      </c>
      <c r="G21" s="340">
        <v>43241.892361111109</v>
      </c>
      <c r="H21" s="152" t="s">
        <v>637</v>
      </c>
      <c r="I21" s="152" t="s">
        <v>696</v>
      </c>
      <c r="J21" s="152" t="s">
        <v>697</v>
      </c>
      <c r="L21" s="152" t="s">
        <v>1055</v>
      </c>
      <c r="M21" s="152" t="s">
        <v>685</v>
      </c>
      <c r="N21" s="152" t="s">
        <v>637</v>
      </c>
      <c r="O21" s="152" t="s">
        <v>647</v>
      </c>
      <c r="P21" s="152" t="s">
        <v>696</v>
      </c>
      <c r="Q21" s="152" t="s">
        <v>637</v>
      </c>
      <c r="R21" s="152" t="s">
        <v>701</v>
      </c>
      <c r="S21" s="152" t="s">
        <v>637</v>
      </c>
      <c r="T21" s="152" t="s">
        <v>701</v>
      </c>
      <c r="U21" s="152" t="s">
        <v>644</v>
      </c>
      <c r="V21" s="152" t="s">
        <v>199</v>
      </c>
      <c r="W21" s="152" t="s">
        <v>643</v>
      </c>
      <c r="Y21" s="152" t="s">
        <v>637</v>
      </c>
      <c r="Z21" s="152" t="s">
        <v>642</v>
      </c>
      <c r="AA21" s="152" t="s">
        <v>665</v>
      </c>
      <c r="AB21" s="152" t="s">
        <v>640</v>
      </c>
      <c r="AC21" s="152" t="s">
        <v>701</v>
      </c>
      <c r="AD21" s="152" t="s">
        <v>752</v>
      </c>
      <c r="AE21" s="152" t="s">
        <v>637</v>
      </c>
      <c r="AF21" s="152" t="s">
        <v>637</v>
      </c>
      <c r="AG21" s="152" t="s">
        <v>637</v>
      </c>
      <c r="AH21" s="152" t="s">
        <v>664</v>
      </c>
      <c r="AI21" s="152" t="s">
        <v>699</v>
      </c>
      <c r="AJ21" s="152" t="s">
        <v>696</v>
      </c>
      <c r="AL21" s="152" t="s">
        <v>637</v>
      </c>
      <c r="AM21" s="152" t="s">
        <v>923</v>
      </c>
      <c r="AO21" s="152" t="s">
        <v>631</v>
      </c>
      <c r="AP21" s="152" t="s">
        <v>697</v>
      </c>
      <c r="AQ21" s="152" t="s">
        <v>671</v>
      </c>
      <c r="AS21" s="152" t="s">
        <v>696</v>
      </c>
      <c r="AT21" s="152" t="s">
        <v>695</v>
      </c>
      <c r="AU21" s="152">
        <v>2018</v>
      </c>
      <c r="AV21" s="339">
        <v>7215</v>
      </c>
      <c r="AW21" s="339">
        <v>1805725</v>
      </c>
      <c r="AX21" s="152">
        <v>21</v>
      </c>
      <c r="AY21" s="152">
        <v>-1</v>
      </c>
      <c r="AZ21" s="152">
        <v>75</v>
      </c>
      <c r="BA21" s="152">
        <v>0.18327426499999999</v>
      </c>
      <c r="BB21" s="152">
        <v>385</v>
      </c>
      <c r="BC21" s="152">
        <v>90</v>
      </c>
      <c r="BD21" s="152">
        <v>2.78</v>
      </c>
    </row>
    <row r="22" spans="1:56" x14ac:dyDescent="0.25">
      <c r="A22" s="152" t="s">
        <v>1207</v>
      </c>
      <c r="B22" s="152">
        <v>43.609171000000003</v>
      </c>
      <c r="C22" s="152">
        <v>-96.908354000000003</v>
      </c>
      <c r="D22" s="152">
        <v>22</v>
      </c>
      <c r="E22" s="152" t="s">
        <v>759</v>
      </c>
      <c r="F22" s="152">
        <v>2020</v>
      </c>
      <c r="G22" s="340">
        <v>43867.895833333336</v>
      </c>
      <c r="H22" s="152" t="s">
        <v>633</v>
      </c>
      <c r="I22" s="152" t="s">
        <v>669</v>
      </c>
      <c r="J22" s="152" t="s">
        <v>1330</v>
      </c>
      <c r="K22" s="152" t="s">
        <v>1177</v>
      </c>
      <c r="L22" s="152" t="s">
        <v>1055</v>
      </c>
      <c r="M22" s="152" t="s">
        <v>668</v>
      </c>
      <c r="N22" s="152" t="s">
        <v>637</v>
      </c>
      <c r="O22" s="152" t="s">
        <v>647</v>
      </c>
      <c r="P22" s="152" t="s">
        <v>1279</v>
      </c>
      <c r="Q22" s="152" t="s">
        <v>637</v>
      </c>
      <c r="R22" s="152" t="s">
        <v>825</v>
      </c>
      <c r="S22" s="152" t="s">
        <v>637</v>
      </c>
      <c r="T22" s="152" t="s">
        <v>708</v>
      </c>
      <c r="U22" s="152" t="s">
        <v>644</v>
      </c>
      <c r="V22" s="152" t="s">
        <v>199</v>
      </c>
      <c r="W22" s="152" t="s">
        <v>643</v>
      </c>
      <c r="Y22" s="152" t="s">
        <v>637</v>
      </c>
      <c r="Z22" s="152" t="s">
        <v>642</v>
      </c>
      <c r="AA22" s="152" t="s">
        <v>665</v>
      </c>
      <c r="AB22" s="152" t="s">
        <v>640</v>
      </c>
      <c r="AC22" s="152" t="s">
        <v>708</v>
      </c>
      <c r="AD22" s="152" t="s">
        <v>718</v>
      </c>
      <c r="AE22" s="152" t="s">
        <v>637</v>
      </c>
      <c r="AF22" s="152" t="s">
        <v>633</v>
      </c>
      <c r="AG22" s="152" t="s">
        <v>637</v>
      </c>
      <c r="AH22" s="152" t="s">
        <v>664</v>
      </c>
      <c r="AI22" s="152" t="s">
        <v>628</v>
      </c>
      <c r="AJ22" s="152" t="s">
        <v>635</v>
      </c>
      <c r="AK22" s="152" t="s">
        <v>634</v>
      </c>
      <c r="AL22" s="152" t="s">
        <v>637</v>
      </c>
      <c r="AM22" s="152" t="s">
        <v>843</v>
      </c>
      <c r="AO22" s="152" t="s">
        <v>631</v>
      </c>
      <c r="AP22" s="152" t="s">
        <v>628</v>
      </c>
      <c r="AQ22" s="152" t="s">
        <v>630</v>
      </c>
      <c r="AR22" s="152" t="s">
        <v>629</v>
      </c>
      <c r="AS22" s="152" t="s">
        <v>628</v>
      </c>
      <c r="AT22" s="152" t="s">
        <v>702</v>
      </c>
      <c r="AU22" s="152">
        <v>2020</v>
      </c>
      <c r="AV22" s="339">
        <v>7215</v>
      </c>
      <c r="AW22" s="339">
        <v>2002174</v>
      </c>
      <c r="AX22" s="152">
        <v>6</v>
      </c>
      <c r="AY22" s="152">
        <v>0</v>
      </c>
      <c r="AZ22" s="152">
        <v>75</v>
      </c>
      <c r="BA22" s="152">
        <v>0.16801096300000001</v>
      </c>
      <c r="BB22" s="152">
        <v>661</v>
      </c>
      <c r="BC22" s="152">
        <v>90</v>
      </c>
      <c r="BD22" s="152">
        <v>2.78</v>
      </c>
    </row>
    <row r="23" spans="1:56" x14ac:dyDescent="0.25">
      <c r="A23" s="152" t="s">
        <v>1207</v>
      </c>
      <c r="B23" s="152">
        <v>43.609171000000003</v>
      </c>
      <c r="C23" s="152">
        <v>-96.905207000000004</v>
      </c>
      <c r="D23" s="152">
        <v>22</v>
      </c>
      <c r="E23" s="152" t="s">
        <v>652</v>
      </c>
      <c r="F23" s="152">
        <v>2017</v>
      </c>
      <c r="G23" s="340">
        <v>42800.8125</v>
      </c>
      <c r="H23" s="152" t="s">
        <v>637</v>
      </c>
      <c r="I23" s="152" t="s">
        <v>669</v>
      </c>
      <c r="J23" s="152" t="s">
        <v>660</v>
      </c>
      <c r="L23" s="152" t="s">
        <v>1055</v>
      </c>
      <c r="M23" s="152" t="s">
        <v>685</v>
      </c>
      <c r="N23" s="152" t="s">
        <v>637</v>
      </c>
      <c r="O23" s="152" t="s">
        <v>647</v>
      </c>
      <c r="P23" s="152" t="s">
        <v>628</v>
      </c>
      <c r="Q23" s="152" t="s">
        <v>637</v>
      </c>
      <c r="R23" s="152" t="s">
        <v>1156</v>
      </c>
      <c r="S23" s="152" t="s">
        <v>637</v>
      </c>
      <c r="T23" s="152" t="s">
        <v>656</v>
      </c>
      <c r="U23" s="152" t="s">
        <v>644</v>
      </c>
      <c r="V23" s="152" t="s">
        <v>199</v>
      </c>
      <c r="W23" s="152" t="s">
        <v>643</v>
      </c>
      <c r="Y23" s="152" t="s">
        <v>637</v>
      </c>
      <c r="Z23" s="152" t="s">
        <v>642</v>
      </c>
      <c r="AA23" s="152" t="s">
        <v>665</v>
      </c>
      <c r="AB23" s="152" t="s">
        <v>657</v>
      </c>
      <c r="AC23" s="152" t="s">
        <v>656</v>
      </c>
      <c r="AD23" s="152" t="s">
        <v>691</v>
      </c>
      <c r="AE23" s="152" t="s">
        <v>637</v>
      </c>
      <c r="AF23" s="152" t="s">
        <v>637</v>
      </c>
      <c r="AG23" s="152" t="s">
        <v>637</v>
      </c>
      <c r="AH23" s="152" t="s">
        <v>664</v>
      </c>
      <c r="AI23" s="152" t="s">
        <v>628</v>
      </c>
      <c r="AJ23" s="152" t="s">
        <v>635</v>
      </c>
      <c r="AK23" s="152" t="s">
        <v>634</v>
      </c>
      <c r="AL23" s="152" t="s">
        <v>637</v>
      </c>
      <c r="AM23" s="152" t="s">
        <v>707</v>
      </c>
      <c r="AO23" s="152" t="s">
        <v>631</v>
      </c>
      <c r="AP23" s="152" t="s">
        <v>628</v>
      </c>
      <c r="AQ23" s="152" t="s">
        <v>832</v>
      </c>
      <c r="AR23" s="152" t="s">
        <v>629</v>
      </c>
      <c r="AS23" s="152" t="s">
        <v>628</v>
      </c>
      <c r="AT23" s="152" t="s">
        <v>702</v>
      </c>
      <c r="AU23" s="152">
        <v>2017</v>
      </c>
      <c r="AV23" s="339">
        <v>7215</v>
      </c>
      <c r="AW23" s="339">
        <v>1703291</v>
      </c>
      <c r="AX23" s="152">
        <v>6</v>
      </c>
      <c r="AY23" s="152">
        <v>0</v>
      </c>
      <c r="AZ23" s="152">
        <v>75</v>
      </c>
      <c r="BA23" s="152">
        <v>0.18035988</v>
      </c>
      <c r="BB23" s="152">
        <v>199</v>
      </c>
      <c r="BC23" s="152">
        <v>90</v>
      </c>
      <c r="BD23" s="152">
        <v>2.78</v>
      </c>
    </row>
    <row r="24" spans="1:56" x14ac:dyDescent="0.25">
      <c r="A24" s="152" t="s">
        <v>1207</v>
      </c>
      <c r="B24" s="152">
        <v>43.609181</v>
      </c>
      <c r="C24" s="152">
        <v>-96.900056000000006</v>
      </c>
      <c r="D24" s="152">
        <v>22</v>
      </c>
      <c r="E24" s="152" t="s">
        <v>652</v>
      </c>
      <c r="F24" s="152">
        <v>2018</v>
      </c>
      <c r="G24" s="340">
        <v>43136.4375</v>
      </c>
      <c r="H24" s="152" t="s">
        <v>637</v>
      </c>
      <c r="I24" s="152" t="s">
        <v>713</v>
      </c>
      <c r="J24" s="152" t="s">
        <v>650</v>
      </c>
      <c r="L24" s="152" t="s">
        <v>1055</v>
      </c>
      <c r="M24" s="152" t="s">
        <v>685</v>
      </c>
      <c r="N24" s="152" t="s">
        <v>637</v>
      </c>
      <c r="O24" s="152" t="s">
        <v>647</v>
      </c>
      <c r="P24" s="152" t="s">
        <v>646</v>
      </c>
      <c r="Q24" s="152" t="s">
        <v>637</v>
      </c>
      <c r="R24" s="152" t="s">
        <v>778</v>
      </c>
      <c r="S24" s="152" t="s">
        <v>637</v>
      </c>
      <c r="T24" s="152" t="s">
        <v>984</v>
      </c>
      <c r="U24" s="152" t="s">
        <v>644</v>
      </c>
      <c r="V24" s="152" t="s">
        <v>199</v>
      </c>
      <c r="W24" s="152" t="s">
        <v>643</v>
      </c>
      <c r="Y24" s="152" t="s">
        <v>637</v>
      </c>
      <c r="Z24" s="152" t="s">
        <v>642</v>
      </c>
      <c r="AA24" s="152" t="s">
        <v>641</v>
      </c>
      <c r="AB24" s="152" t="s">
        <v>640</v>
      </c>
      <c r="AC24" s="152" t="s">
        <v>777</v>
      </c>
      <c r="AD24" s="152" t="s">
        <v>718</v>
      </c>
      <c r="AE24" s="152" t="s">
        <v>637</v>
      </c>
      <c r="AF24" s="152" t="s">
        <v>637</v>
      </c>
      <c r="AG24" s="152" t="s">
        <v>637</v>
      </c>
      <c r="AH24" s="152" t="s">
        <v>677</v>
      </c>
      <c r="AI24" s="152" t="s">
        <v>655</v>
      </c>
      <c r="AJ24" s="152" t="s">
        <v>635</v>
      </c>
      <c r="AK24" s="152" t="s">
        <v>634</v>
      </c>
      <c r="AL24" s="152" t="s">
        <v>633</v>
      </c>
      <c r="AM24" s="152" t="s">
        <v>776</v>
      </c>
      <c r="AO24" s="152" t="s">
        <v>631</v>
      </c>
      <c r="AP24" s="152" t="s">
        <v>628</v>
      </c>
      <c r="AQ24" s="152" t="s">
        <v>630</v>
      </c>
      <c r="AR24" s="152" t="s">
        <v>629</v>
      </c>
      <c r="AS24" s="152" t="s">
        <v>628</v>
      </c>
      <c r="AT24" s="152" t="s">
        <v>677</v>
      </c>
      <c r="AU24" s="152">
        <v>2018</v>
      </c>
      <c r="AV24" s="339">
        <v>7215</v>
      </c>
      <c r="AW24" s="339">
        <v>1803073</v>
      </c>
      <c r="AX24" s="152">
        <v>5</v>
      </c>
      <c r="AY24" s="152">
        <v>0</v>
      </c>
      <c r="AZ24" s="152">
        <v>75</v>
      </c>
      <c r="BA24" s="152">
        <v>3.6584350790000002</v>
      </c>
      <c r="BB24" s="152">
        <v>340</v>
      </c>
      <c r="BC24" s="152">
        <v>90</v>
      </c>
      <c r="BD24" s="152">
        <v>2.78</v>
      </c>
    </row>
    <row r="25" spans="1:56" x14ac:dyDescent="0.25">
      <c r="A25" s="152" t="s">
        <v>1207</v>
      </c>
      <c r="B25" s="152">
        <v>43.609183999999999</v>
      </c>
      <c r="C25" s="152">
        <v>-96.899687999999998</v>
      </c>
      <c r="D25" s="152">
        <v>22</v>
      </c>
      <c r="E25" s="152" t="s">
        <v>652</v>
      </c>
      <c r="F25" s="152">
        <v>2020</v>
      </c>
      <c r="G25" s="340">
        <v>43984.743750000001</v>
      </c>
      <c r="H25" s="152" t="s">
        <v>633</v>
      </c>
      <c r="I25" s="152" t="s">
        <v>745</v>
      </c>
      <c r="J25" s="152" t="s">
        <v>1329</v>
      </c>
      <c r="K25" s="152" t="s">
        <v>775</v>
      </c>
      <c r="L25" s="152" t="s">
        <v>1055</v>
      </c>
      <c r="M25" s="152" t="s">
        <v>736</v>
      </c>
      <c r="N25" s="152" t="s">
        <v>637</v>
      </c>
      <c r="O25" s="152" t="s">
        <v>647</v>
      </c>
      <c r="P25" s="152" t="s">
        <v>774</v>
      </c>
      <c r="Q25" s="152" t="s">
        <v>637</v>
      </c>
      <c r="R25" s="152" t="s">
        <v>1328</v>
      </c>
      <c r="S25" s="152" t="s">
        <v>637</v>
      </c>
      <c r="T25" s="152" t="s">
        <v>656</v>
      </c>
      <c r="U25" s="152" t="s">
        <v>644</v>
      </c>
      <c r="V25" s="152" t="s">
        <v>199</v>
      </c>
      <c r="W25" s="152" t="s">
        <v>643</v>
      </c>
      <c r="Y25" s="152" t="s">
        <v>637</v>
      </c>
      <c r="Z25" s="152" t="s">
        <v>642</v>
      </c>
      <c r="AA25" s="152" t="s">
        <v>641</v>
      </c>
      <c r="AB25" s="152" t="s">
        <v>728</v>
      </c>
      <c r="AC25" s="152" t="s">
        <v>1327</v>
      </c>
      <c r="AD25" s="152" t="s">
        <v>771</v>
      </c>
      <c r="AE25" s="152" t="s">
        <v>637</v>
      </c>
      <c r="AF25" s="152" t="s">
        <v>637</v>
      </c>
      <c r="AG25" s="152" t="s">
        <v>637</v>
      </c>
      <c r="AH25" s="152" t="s">
        <v>664</v>
      </c>
      <c r="AI25" s="152" t="s">
        <v>628</v>
      </c>
      <c r="AJ25" s="152" t="s">
        <v>635</v>
      </c>
      <c r="AK25" s="152" t="s">
        <v>634</v>
      </c>
      <c r="AL25" s="152" t="s">
        <v>637</v>
      </c>
      <c r="AM25" s="152" t="s">
        <v>1326</v>
      </c>
      <c r="AO25" s="152" t="s">
        <v>631</v>
      </c>
      <c r="AP25" s="152" t="s">
        <v>628</v>
      </c>
      <c r="AQ25" s="152" t="s">
        <v>773</v>
      </c>
      <c r="AR25" s="152" t="s">
        <v>772</v>
      </c>
      <c r="AS25" s="152" t="s">
        <v>628</v>
      </c>
      <c r="AT25" s="152" t="s">
        <v>695</v>
      </c>
      <c r="AU25" s="152">
        <v>2020</v>
      </c>
      <c r="AV25" s="339">
        <v>7215</v>
      </c>
      <c r="AW25" s="339">
        <v>2005929</v>
      </c>
      <c r="AX25" s="152">
        <v>2</v>
      </c>
      <c r="AY25" s="152">
        <v>0</v>
      </c>
      <c r="AZ25" s="152">
        <v>75</v>
      </c>
      <c r="BA25" s="152">
        <v>4.5334670849999998</v>
      </c>
      <c r="BB25" s="152">
        <v>686</v>
      </c>
      <c r="BC25" s="152">
        <v>90</v>
      </c>
      <c r="BD25" s="152">
        <v>2.78</v>
      </c>
    </row>
    <row r="26" spans="1:56" x14ac:dyDescent="0.25">
      <c r="A26" s="152" t="s">
        <v>1207</v>
      </c>
      <c r="B26" s="152">
        <v>43.609183999999999</v>
      </c>
      <c r="C26" s="152">
        <v>-96.899629000000004</v>
      </c>
      <c r="D26" s="152">
        <v>22</v>
      </c>
      <c r="E26" s="152" t="s">
        <v>652</v>
      </c>
      <c r="F26" s="152">
        <v>2016</v>
      </c>
      <c r="G26" s="340">
        <v>42530.482638888891</v>
      </c>
      <c r="H26" s="152" t="s">
        <v>637</v>
      </c>
      <c r="I26" s="152" t="s">
        <v>669</v>
      </c>
      <c r="J26" s="152" t="s">
        <v>660</v>
      </c>
      <c r="L26" s="152" t="s">
        <v>1055</v>
      </c>
      <c r="M26" s="152" t="s">
        <v>668</v>
      </c>
      <c r="N26" s="152" t="s">
        <v>637</v>
      </c>
      <c r="O26" s="152" t="s">
        <v>647</v>
      </c>
      <c r="P26" s="152" t="s">
        <v>628</v>
      </c>
      <c r="Q26" s="152" t="s">
        <v>637</v>
      </c>
      <c r="R26" s="152" t="s">
        <v>849</v>
      </c>
      <c r="S26" s="152" t="s">
        <v>637</v>
      </c>
      <c r="T26" s="152" t="s">
        <v>656</v>
      </c>
      <c r="U26" s="152" t="s">
        <v>644</v>
      </c>
      <c r="V26" s="152" t="s">
        <v>199</v>
      </c>
      <c r="W26" s="152" t="s">
        <v>643</v>
      </c>
      <c r="Y26" s="152" t="s">
        <v>637</v>
      </c>
      <c r="Z26" s="152" t="s">
        <v>642</v>
      </c>
      <c r="AA26" s="152" t="s">
        <v>641</v>
      </c>
      <c r="AB26" s="152" t="s">
        <v>657</v>
      </c>
      <c r="AC26" s="152" t="s">
        <v>656</v>
      </c>
      <c r="AD26" s="152" t="s">
        <v>771</v>
      </c>
      <c r="AE26" s="152" t="s">
        <v>637</v>
      </c>
      <c r="AF26" s="152" t="s">
        <v>637</v>
      </c>
      <c r="AG26" s="152" t="s">
        <v>637</v>
      </c>
      <c r="AH26" s="152" t="s">
        <v>664</v>
      </c>
      <c r="AI26" s="152" t="s">
        <v>628</v>
      </c>
      <c r="AJ26" s="152" t="s">
        <v>635</v>
      </c>
      <c r="AK26" s="152" t="s">
        <v>634</v>
      </c>
      <c r="AL26" s="152" t="s">
        <v>637</v>
      </c>
      <c r="AM26" s="152" t="s">
        <v>1325</v>
      </c>
      <c r="AO26" s="152" t="s">
        <v>631</v>
      </c>
      <c r="AP26" s="152" t="s">
        <v>1324</v>
      </c>
      <c r="AQ26" s="152" t="s">
        <v>1323</v>
      </c>
      <c r="AR26" s="152" t="s">
        <v>629</v>
      </c>
      <c r="AS26" s="152" t="s">
        <v>628</v>
      </c>
      <c r="AT26" s="152" t="s">
        <v>702</v>
      </c>
      <c r="AU26" s="152">
        <v>2016</v>
      </c>
      <c r="AV26" s="339">
        <v>7215</v>
      </c>
      <c r="AW26" s="339">
        <v>1607214</v>
      </c>
      <c r="AX26" s="152">
        <v>9</v>
      </c>
      <c r="AY26" s="152">
        <v>0</v>
      </c>
      <c r="AZ26" s="152">
        <v>75</v>
      </c>
      <c r="BA26" s="152">
        <v>4.4983434940000002</v>
      </c>
      <c r="BB26" s="152">
        <v>75</v>
      </c>
      <c r="BC26" s="152">
        <v>90</v>
      </c>
      <c r="BD26" s="152">
        <v>2.78</v>
      </c>
    </row>
    <row r="27" spans="1:56" x14ac:dyDescent="0.25">
      <c r="A27" s="152" t="s">
        <v>1207</v>
      </c>
      <c r="B27" s="152">
        <v>43.609184999999997</v>
      </c>
      <c r="C27" s="152">
        <v>-96.899524999999997</v>
      </c>
      <c r="D27" s="152">
        <v>22</v>
      </c>
      <c r="E27" s="152" t="s">
        <v>652</v>
      </c>
      <c r="F27" s="152">
        <v>2016</v>
      </c>
      <c r="G27" s="340">
        <v>42594.65625</v>
      </c>
      <c r="H27" s="152" t="s">
        <v>637</v>
      </c>
      <c r="I27" s="152" t="s">
        <v>713</v>
      </c>
      <c r="J27" s="152" t="s">
        <v>1098</v>
      </c>
      <c r="K27" s="152" t="s">
        <v>659</v>
      </c>
      <c r="L27" s="152" t="s">
        <v>1055</v>
      </c>
      <c r="M27" s="152" t="s">
        <v>648</v>
      </c>
      <c r="N27" s="152" t="s">
        <v>637</v>
      </c>
      <c r="O27" s="152" t="s">
        <v>647</v>
      </c>
      <c r="P27" s="152" t="s">
        <v>646</v>
      </c>
      <c r="Q27" s="152" t="s">
        <v>637</v>
      </c>
      <c r="R27" s="152" t="s">
        <v>1322</v>
      </c>
      <c r="S27" s="152" t="s">
        <v>637</v>
      </c>
      <c r="T27" s="152" t="s">
        <v>656</v>
      </c>
      <c r="U27" s="152" t="s">
        <v>644</v>
      </c>
      <c r="V27" s="152" t="s">
        <v>199</v>
      </c>
      <c r="W27" s="152" t="s">
        <v>643</v>
      </c>
      <c r="Y27" s="152" t="s">
        <v>637</v>
      </c>
      <c r="Z27" s="152" t="s">
        <v>642</v>
      </c>
      <c r="AA27" s="152" t="s">
        <v>641</v>
      </c>
      <c r="AB27" s="152" t="s">
        <v>740</v>
      </c>
      <c r="AC27" s="152" t="s">
        <v>656</v>
      </c>
      <c r="AD27" s="152" t="s">
        <v>738</v>
      </c>
      <c r="AE27" s="152" t="s">
        <v>637</v>
      </c>
      <c r="AF27" s="152" t="s">
        <v>637</v>
      </c>
      <c r="AG27" s="152" t="s">
        <v>637</v>
      </c>
      <c r="AH27" s="152" t="s">
        <v>762</v>
      </c>
      <c r="AI27" s="152" t="s">
        <v>655</v>
      </c>
      <c r="AJ27" s="152" t="s">
        <v>680</v>
      </c>
      <c r="AK27" s="152" t="s">
        <v>634</v>
      </c>
      <c r="AL27" s="152" t="s">
        <v>633</v>
      </c>
      <c r="AM27" s="152" t="s">
        <v>1321</v>
      </c>
      <c r="AO27" s="152" t="s">
        <v>631</v>
      </c>
      <c r="AP27" s="152" t="s">
        <v>628</v>
      </c>
      <c r="AQ27" s="152" t="s">
        <v>920</v>
      </c>
      <c r="AR27" s="152" t="s">
        <v>629</v>
      </c>
      <c r="AS27" s="152" t="s">
        <v>678</v>
      </c>
      <c r="AT27" s="152" t="s">
        <v>1112</v>
      </c>
      <c r="AU27" s="152">
        <v>2016</v>
      </c>
      <c r="AV27" s="339">
        <v>7215</v>
      </c>
      <c r="AW27" s="339">
        <v>1610541</v>
      </c>
      <c r="AX27" s="152">
        <v>12</v>
      </c>
      <c r="AY27" s="152">
        <v>0</v>
      </c>
      <c r="AZ27" s="152">
        <v>75</v>
      </c>
      <c r="BA27" s="152">
        <v>4.8012286849999999</v>
      </c>
      <c r="BB27" s="152">
        <v>101</v>
      </c>
      <c r="BC27" s="152">
        <v>90</v>
      </c>
      <c r="BD27" s="152">
        <v>2.78</v>
      </c>
    </row>
    <row r="28" spans="1:56" x14ac:dyDescent="0.25">
      <c r="A28" s="152" t="s">
        <v>1207</v>
      </c>
      <c r="B28" s="152">
        <v>43.609184999999997</v>
      </c>
      <c r="C28" s="152">
        <v>-96.899491999999995</v>
      </c>
      <c r="D28" s="152">
        <v>22</v>
      </c>
      <c r="E28" s="152" t="s">
        <v>697</v>
      </c>
      <c r="F28" s="152">
        <v>2019</v>
      </c>
      <c r="G28" s="340">
        <v>43617.896527777775</v>
      </c>
      <c r="H28" s="152" t="s">
        <v>637</v>
      </c>
      <c r="I28" s="152" t="s">
        <v>696</v>
      </c>
      <c r="J28" s="152" t="s">
        <v>697</v>
      </c>
      <c r="L28" s="152" t="s">
        <v>1055</v>
      </c>
      <c r="M28" s="152" t="s">
        <v>693</v>
      </c>
      <c r="N28" s="152" t="s">
        <v>637</v>
      </c>
      <c r="O28" s="152" t="s">
        <v>647</v>
      </c>
      <c r="P28" s="152" t="s">
        <v>696</v>
      </c>
      <c r="Q28" s="152" t="s">
        <v>637</v>
      </c>
      <c r="R28" s="152" t="s">
        <v>701</v>
      </c>
      <c r="S28" s="152" t="s">
        <v>637</v>
      </c>
      <c r="T28" s="152" t="s">
        <v>701</v>
      </c>
      <c r="U28" s="152" t="s">
        <v>644</v>
      </c>
      <c r="V28" s="152" t="s">
        <v>199</v>
      </c>
      <c r="W28" s="152" t="s">
        <v>643</v>
      </c>
      <c r="Y28" s="152" t="s">
        <v>637</v>
      </c>
      <c r="Z28" s="152" t="s">
        <v>696</v>
      </c>
      <c r="AA28" s="152" t="s">
        <v>665</v>
      </c>
      <c r="AB28" s="152" t="s">
        <v>640</v>
      </c>
      <c r="AC28" s="152" t="s">
        <v>701</v>
      </c>
      <c r="AD28" s="152" t="s">
        <v>771</v>
      </c>
      <c r="AE28" s="152" t="s">
        <v>637</v>
      </c>
      <c r="AF28" s="152" t="s">
        <v>637</v>
      </c>
      <c r="AG28" s="152" t="s">
        <v>637</v>
      </c>
      <c r="AH28" s="152" t="s">
        <v>664</v>
      </c>
      <c r="AI28" s="152" t="s">
        <v>699</v>
      </c>
      <c r="AJ28" s="152" t="s">
        <v>696</v>
      </c>
      <c r="AL28" s="152" t="s">
        <v>637</v>
      </c>
      <c r="AM28" s="152" t="s">
        <v>961</v>
      </c>
      <c r="AO28" s="152" t="s">
        <v>631</v>
      </c>
      <c r="AP28" s="152" t="s">
        <v>697</v>
      </c>
      <c r="AQ28" s="152" t="s">
        <v>630</v>
      </c>
      <c r="AS28" s="152" t="s">
        <v>696</v>
      </c>
      <c r="AT28" s="152" t="s">
        <v>702</v>
      </c>
      <c r="AU28" s="152">
        <v>2019</v>
      </c>
      <c r="AV28" s="339">
        <v>7215</v>
      </c>
      <c r="AW28" s="339">
        <v>1908047</v>
      </c>
      <c r="AX28" s="152">
        <v>1</v>
      </c>
      <c r="AY28" s="152">
        <v>-1</v>
      </c>
      <c r="AZ28" s="152">
        <v>75</v>
      </c>
      <c r="BA28" s="152">
        <v>4.7816651639999996</v>
      </c>
      <c r="BB28" s="152">
        <v>565</v>
      </c>
      <c r="BC28" s="152">
        <v>90</v>
      </c>
      <c r="BD28" s="152">
        <v>2.78</v>
      </c>
    </row>
    <row r="29" spans="1:56" x14ac:dyDescent="0.25">
      <c r="A29" s="152" t="s">
        <v>1207</v>
      </c>
      <c r="B29" s="152">
        <v>43.609188000000003</v>
      </c>
      <c r="C29" s="152">
        <v>-96.899062000000001</v>
      </c>
      <c r="D29" s="152">
        <v>22</v>
      </c>
      <c r="E29" s="152" t="s">
        <v>652</v>
      </c>
      <c r="F29" s="152">
        <v>2017</v>
      </c>
      <c r="G29" s="340">
        <v>42980.480555555558</v>
      </c>
      <c r="H29" s="152" t="s">
        <v>637</v>
      </c>
      <c r="I29" s="152" t="s">
        <v>669</v>
      </c>
      <c r="J29" s="152" t="s">
        <v>660</v>
      </c>
      <c r="K29" s="152" t="s">
        <v>1320</v>
      </c>
      <c r="L29" s="152" t="s">
        <v>1055</v>
      </c>
      <c r="M29" s="152" t="s">
        <v>693</v>
      </c>
      <c r="N29" s="152" t="s">
        <v>637</v>
      </c>
      <c r="O29" s="152" t="s">
        <v>647</v>
      </c>
      <c r="P29" s="152" t="s">
        <v>1319</v>
      </c>
      <c r="Q29" s="152" t="s">
        <v>637</v>
      </c>
      <c r="R29" s="152" t="s">
        <v>729</v>
      </c>
      <c r="S29" s="152" t="s">
        <v>637</v>
      </c>
      <c r="T29" s="152" t="s">
        <v>656</v>
      </c>
      <c r="U29" s="152" t="s">
        <v>644</v>
      </c>
      <c r="V29" s="152" t="s">
        <v>199</v>
      </c>
      <c r="W29" s="152" t="s">
        <v>643</v>
      </c>
      <c r="Y29" s="152" t="s">
        <v>637</v>
      </c>
      <c r="Z29" s="152" t="s">
        <v>642</v>
      </c>
      <c r="AA29" s="152" t="s">
        <v>641</v>
      </c>
      <c r="AB29" s="152" t="s">
        <v>657</v>
      </c>
      <c r="AC29" s="152" t="s">
        <v>656</v>
      </c>
      <c r="AD29" s="152" t="s">
        <v>706</v>
      </c>
      <c r="AE29" s="152" t="s">
        <v>637</v>
      </c>
      <c r="AF29" s="152" t="s">
        <v>637</v>
      </c>
      <c r="AG29" s="152" t="s">
        <v>637</v>
      </c>
      <c r="AH29" s="152" t="s">
        <v>664</v>
      </c>
      <c r="AI29" s="152" t="s">
        <v>628</v>
      </c>
      <c r="AJ29" s="152" t="s">
        <v>680</v>
      </c>
      <c r="AK29" s="152" t="s">
        <v>634</v>
      </c>
      <c r="AL29" s="152" t="s">
        <v>637</v>
      </c>
      <c r="AM29" s="152" t="s">
        <v>1318</v>
      </c>
      <c r="AO29" s="152" t="s">
        <v>631</v>
      </c>
      <c r="AP29" s="152" t="s">
        <v>628</v>
      </c>
      <c r="AQ29" s="152" t="s">
        <v>630</v>
      </c>
      <c r="AR29" s="152" t="s">
        <v>1317</v>
      </c>
      <c r="AS29" s="152" t="s">
        <v>628</v>
      </c>
      <c r="AT29" s="152" t="s">
        <v>702</v>
      </c>
      <c r="AU29" s="152">
        <v>2017</v>
      </c>
      <c r="AV29" s="339">
        <v>7215</v>
      </c>
      <c r="AW29" s="339">
        <v>1711788</v>
      </c>
      <c r="AX29" s="152">
        <v>2</v>
      </c>
      <c r="AY29" s="152">
        <v>0</v>
      </c>
      <c r="AZ29" s="152">
        <v>75</v>
      </c>
      <c r="BA29" s="152">
        <v>5.6207576929999998</v>
      </c>
      <c r="BB29" s="152">
        <v>282</v>
      </c>
      <c r="BC29" s="152">
        <v>90</v>
      </c>
      <c r="BD29" s="152">
        <v>2.78</v>
      </c>
    </row>
    <row r="30" spans="1:56" x14ac:dyDescent="0.25">
      <c r="A30" s="152" t="s">
        <v>1207</v>
      </c>
      <c r="B30" s="152">
        <v>43.609197999999999</v>
      </c>
      <c r="C30" s="152">
        <v>-96.897132999999997</v>
      </c>
      <c r="D30" s="152">
        <v>22</v>
      </c>
      <c r="E30" s="152" t="s">
        <v>652</v>
      </c>
      <c r="F30" s="152">
        <v>2020</v>
      </c>
      <c r="G30" s="340">
        <v>43946.597222222219</v>
      </c>
      <c r="H30" s="152" t="s">
        <v>637</v>
      </c>
      <c r="I30" s="152" t="s">
        <v>669</v>
      </c>
      <c r="J30" s="152" t="s">
        <v>660</v>
      </c>
      <c r="L30" s="152" t="s">
        <v>1055</v>
      </c>
      <c r="M30" s="152" t="s">
        <v>693</v>
      </c>
      <c r="N30" s="152" t="s">
        <v>637</v>
      </c>
      <c r="O30" s="152" t="s">
        <v>647</v>
      </c>
      <c r="P30" s="152" t="s">
        <v>646</v>
      </c>
      <c r="Q30" s="152" t="s">
        <v>637</v>
      </c>
      <c r="R30" s="152" t="s">
        <v>656</v>
      </c>
      <c r="S30" s="152" t="s">
        <v>637</v>
      </c>
      <c r="T30" s="152" t="s">
        <v>656</v>
      </c>
      <c r="U30" s="152" t="s">
        <v>644</v>
      </c>
      <c r="V30" s="152" t="s">
        <v>199</v>
      </c>
      <c r="W30" s="152" t="s">
        <v>643</v>
      </c>
      <c r="Y30" s="152" t="s">
        <v>637</v>
      </c>
      <c r="Z30" s="152" t="s">
        <v>642</v>
      </c>
      <c r="AA30" s="152" t="s">
        <v>641</v>
      </c>
      <c r="AB30" s="152" t="s">
        <v>728</v>
      </c>
      <c r="AC30" s="152" t="s">
        <v>656</v>
      </c>
      <c r="AD30" s="152" t="s">
        <v>787</v>
      </c>
      <c r="AE30" s="152" t="s">
        <v>637</v>
      </c>
      <c r="AF30" s="152" t="s">
        <v>637</v>
      </c>
      <c r="AG30" s="152" t="s">
        <v>637</v>
      </c>
      <c r="AH30" s="152" t="s">
        <v>762</v>
      </c>
      <c r="AI30" s="152" t="s">
        <v>834</v>
      </c>
      <c r="AJ30" s="152" t="s">
        <v>680</v>
      </c>
      <c r="AK30" s="152" t="s">
        <v>634</v>
      </c>
      <c r="AL30" s="152" t="s">
        <v>633</v>
      </c>
      <c r="AM30" s="152" t="s">
        <v>1316</v>
      </c>
      <c r="AO30" s="152" t="s">
        <v>631</v>
      </c>
      <c r="AP30" s="152" t="s">
        <v>628</v>
      </c>
      <c r="AQ30" s="152" t="s">
        <v>779</v>
      </c>
      <c r="AR30" s="152" t="s">
        <v>629</v>
      </c>
      <c r="AS30" s="152" t="s">
        <v>678</v>
      </c>
      <c r="AT30" s="152" t="s">
        <v>760</v>
      </c>
      <c r="AU30" s="152">
        <v>2020</v>
      </c>
      <c r="AV30" s="339">
        <v>7215</v>
      </c>
      <c r="AW30" s="339">
        <v>2004849</v>
      </c>
      <c r="AX30" s="152">
        <v>25</v>
      </c>
      <c r="AY30" s="152">
        <v>0</v>
      </c>
      <c r="AZ30" s="152">
        <v>75</v>
      </c>
      <c r="BA30" s="152">
        <v>8.1311259699999994</v>
      </c>
      <c r="BB30" s="152">
        <v>677</v>
      </c>
      <c r="BC30" s="152">
        <v>90</v>
      </c>
      <c r="BD30" s="152">
        <v>2.78</v>
      </c>
    </row>
    <row r="31" spans="1:56" x14ac:dyDescent="0.25">
      <c r="A31" s="152" t="s">
        <v>1207</v>
      </c>
      <c r="B31" s="152">
        <v>43.609200000000001</v>
      </c>
      <c r="C31" s="152">
        <v>-96.896068999999997</v>
      </c>
      <c r="D31" s="152">
        <v>22</v>
      </c>
      <c r="E31" s="152" t="s">
        <v>652</v>
      </c>
      <c r="F31" s="152">
        <v>2017</v>
      </c>
      <c r="G31" s="340">
        <v>42890.975694444445</v>
      </c>
      <c r="H31" s="152" t="s">
        <v>637</v>
      </c>
      <c r="I31" s="152" t="s">
        <v>669</v>
      </c>
      <c r="J31" s="152" t="s">
        <v>650</v>
      </c>
      <c r="L31" s="152" t="s">
        <v>1055</v>
      </c>
      <c r="M31" s="152" t="s">
        <v>712</v>
      </c>
      <c r="N31" s="152" t="s">
        <v>637</v>
      </c>
      <c r="O31" s="152" t="s">
        <v>647</v>
      </c>
      <c r="P31" s="152" t="s">
        <v>628</v>
      </c>
      <c r="Q31" s="152" t="s">
        <v>637</v>
      </c>
      <c r="R31" s="152" t="s">
        <v>830</v>
      </c>
      <c r="S31" s="152" t="s">
        <v>637</v>
      </c>
      <c r="T31" s="152" t="s">
        <v>723</v>
      </c>
      <c r="U31" s="152" t="s">
        <v>644</v>
      </c>
      <c r="V31" s="152" t="s">
        <v>199</v>
      </c>
      <c r="W31" s="152" t="s">
        <v>643</v>
      </c>
      <c r="Y31" s="152" t="s">
        <v>637</v>
      </c>
      <c r="Z31" s="152" t="s">
        <v>642</v>
      </c>
      <c r="AA31" s="152" t="s">
        <v>1315</v>
      </c>
      <c r="AB31" s="152" t="s">
        <v>640</v>
      </c>
      <c r="AC31" s="152" t="s">
        <v>723</v>
      </c>
      <c r="AD31" s="152" t="s">
        <v>771</v>
      </c>
      <c r="AE31" s="152" t="s">
        <v>637</v>
      </c>
      <c r="AF31" s="152" t="s">
        <v>637</v>
      </c>
      <c r="AG31" s="152" t="s">
        <v>637</v>
      </c>
      <c r="AH31" s="152" t="s">
        <v>664</v>
      </c>
      <c r="AI31" s="152" t="s">
        <v>628</v>
      </c>
      <c r="AJ31" s="152" t="s">
        <v>635</v>
      </c>
      <c r="AK31" s="152" t="s">
        <v>634</v>
      </c>
      <c r="AL31" s="152" t="s">
        <v>637</v>
      </c>
      <c r="AM31" s="152" t="s">
        <v>959</v>
      </c>
      <c r="AO31" s="152" t="s">
        <v>631</v>
      </c>
      <c r="AP31" s="152" t="s">
        <v>937</v>
      </c>
      <c r="AQ31" s="152" t="s">
        <v>630</v>
      </c>
      <c r="AR31" s="152" t="s">
        <v>629</v>
      </c>
      <c r="AS31" s="152" t="s">
        <v>628</v>
      </c>
      <c r="AT31" s="152" t="s">
        <v>702</v>
      </c>
      <c r="AU31" s="152">
        <v>2017</v>
      </c>
      <c r="AV31" s="339">
        <v>7215</v>
      </c>
      <c r="AW31" s="339">
        <v>1706907</v>
      </c>
      <c r="AX31" s="152">
        <v>4</v>
      </c>
      <c r="AY31" s="152">
        <v>0</v>
      </c>
      <c r="AZ31" s="152">
        <v>75</v>
      </c>
      <c r="BA31" s="152">
        <v>8.2395721920000007</v>
      </c>
      <c r="BB31" s="152">
        <v>242</v>
      </c>
      <c r="BC31" s="152">
        <v>90</v>
      </c>
      <c r="BD31" s="152">
        <v>2.78</v>
      </c>
    </row>
    <row r="32" spans="1:56" x14ac:dyDescent="0.25">
      <c r="A32" s="152" t="s">
        <v>1207</v>
      </c>
      <c r="B32" s="152">
        <v>43.609200999999999</v>
      </c>
      <c r="C32" s="152">
        <v>-96.895588000000004</v>
      </c>
      <c r="D32" s="152">
        <v>22</v>
      </c>
      <c r="E32" s="152" t="s">
        <v>652</v>
      </c>
      <c r="F32" s="152">
        <v>2018</v>
      </c>
      <c r="G32" s="340">
        <v>43256.71875</v>
      </c>
      <c r="H32" s="152" t="s">
        <v>637</v>
      </c>
      <c r="I32" s="152" t="s">
        <v>669</v>
      </c>
      <c r="J32" s="152" t="s">
        <v>660</v>
      </c>
      <c r="L32" s="152" t="s">
        <v>1055</v>
      </c>
      <c r="M32" s="152" t="s">
        <v>736</v>
      </c>
      <c r="N32" s="152" t="s">
        <v>637</v>
      </c>
      <c r="O32" s="152" t="s">
        <v>647</v>
      </c>
      <c r="P32" s="152" t="s">
        <v>628</v>
      </c>
      <c r="Q32" s="152" t="s">
        <v>637</v>
      </c>
      <c r="R32" s="152" t="s">
        <v>849</v>
      </c>
      <c r="S32" s="152" t="s">
        <v>637</v>
      </c>
      <c r="T32" s="152" t="s">
        <v>656</v>
      </c>
      <c r="U32" s="152" t="s">
        <v>644</v>
      </c>
      <c r="V32" s="152" t="s">
        <v>199</v>
      </c>
      <c r="W32" s="152" t="s">
        <v>643</v>
      </c>
      <c r="Y32" s="152" t="s">
        <v>637</v>
      </c>
      <c r="Z32" s="152" t="s">
        <v>642</v>
      </c>
      <c r="AA32" s="152" t="s">
        <v>641</v>
      </c>
      <c r="AB32" s="152" t="s">
        <v>657</v>
      </c>
      <c r="AC32" s="152" t="s">
        <v>656</v>
      </c>
      <c r="AD32" s="152" t="s">
        <v>771</v>
      </c>
      <c r="AE32" s="152" t="s">
        <v>637</v>
      </c>
      <c r="AF32" s="152" t="s">
        <v>637</v>
      </c>
      <c r="AG32" s="152" t="s">
        <v>637</v>
      </c>
      <c r="AH32" s="152" t="s">
        <v>664</v>
      </c>
      <c r="AI32" s="152" t="s">
        <v>628</v>
      </c>
      <c r="AJ32" s="152" t="s">
        <v>680</v>
      </c>
      <c r="AK32" s="152" t="s">
        <v>634</v>
      </c>
      <c r="AL32" s="152" t="s">
        <v>637</v>
      </c>
      <c r="AM32" s="152" t="s">
        <v>1002</v>
      </c>
      <c r="AO32" s="152" t="s">
        <v>631</v>
      </c>
      <c r="AP32" s="152" t="s">
        <v>758</v>
      </c>
      <c r="AQ32" s="152" t="s">
        <v>1314</v>
      </c>
      <c r="AR32" s="152" t="s">
        <v>629</v>
      </c>
      <c r="AS32" s="152" t="s">
        <v>628</v>
      </c>
      <c r="AT32" s="152" t="s">
        <v>702</v>
      </c>
      <c r="AU32" s="152">
        <v>2018</v>
      </c>
      <c r="AV32" s="339">
        <v>7215</v>
      </c>
      <c r="AW32" s="339">
        <v>1806448</v>
      </c>
      <c r="AX32" s="152">
        <v>5</v>
      </c>
      <c r="AY32" s="152">
        <v>0</v>
      </c>
      <c r="AZ32" s="152">
        <v>75</v>
      </c>
      <c r="BA32" s="152">
        <v>8.3248524649999993</v>
      </c>
      <c r="BB32" s="152">
        <v>401</v>
      </c>
      <c r="BC32" s="152">
        <v>90</v>
      </c>
      <c r="BD32" s="152">
        <v>2.78</v>
      </c>
    </row>
    <row r="33" spans="1:56" x14ac:dyDescent="0.25">
      <c r="A33" s="152" t="s">
        <v>1207</v>
      </c>
      <c r="B33" s="152">
        <v>43.609012</v>
      </c>
      <c r="C33" s="152">
        <v>-97.019043999999994</v>
      </c>
      <c r="D33" s="152">
        <v>29</v>
      </c>
      <c r="E33" s="152" t="s">
        <v>652</v>
      </c>
      <c r="F33" s="152">
        <v>2018</v>
      </c>
      <c r="G33" s="340">
        <v>43362.756944444445</v>
      </c>
      <c r="H33" s="152" t="s">
        <v>637</v>
      </c>
      <c r="I33" s="152" t="s">
        <v>669</v>
      </c>
      <c r="J33" s="152" t="s">
        <v>1313</v>
      </c>
      <c r="L33" s="152" t="s">
        <v>1055</v>
      </c>
      <c r="M33" s="152" t="s">
        <v>676</v>
      </c>
      <c r="N33" s="152" t="s">
        <v>637</v>
      </c>
      <c r="O33" s="152" t="s">
        <v>647</v>
      </c>
      <c r="P33" s="152" t="s">
        <v>897</v>
      </c>
      <c r="Q33" s="152" t="s">
        <v>637</v>
      </c>
      <c r="R33" s="152" t="s">
        <v>1312</v>
      </c>
      <c r="S33" s="152" t="s">
        <v>637</v>
      </c>
      <c r="T33" s="152" t="s">
        <v>656</v>
      </c>
      <c r="U33" s="152" t="s">
        <v>644</v>
      </c>
      <c r="V33" s="152" t="s">
        <v>199</v>
      </c>
      <c r="W33" s="152" t="s">
        <v>643</v>
      </c>
      <c r="Y33" s="152" t="s">
        <v>637</v>
      </c>
      <c r="Z33" s="152" t="s">
        <v>642</v>
      </c>
      <c r="AA33" s="152" t="s">
        <v>641</v>
      </c>
      <c r="AB33" s="152" t="s">
        <v>740</v>
      </c>
      <c r="AC33" s="152" t="s">
        <v>656</v>
      </c>
      <c r="AD33" s="152" t="s">
        <v>706</v>
      </c>
      <c r="AE33" s="152" t="s">
        <v>637</v>
      </c>
      <c r="AF33" s="152" t="s">
        <v>637</v>
      </c>
      <c r="AG33" s="152" t="s">
        <v>637</v>
      </c>
      <c r="AH33" s="152" t="s">
        <v>762</v>
      </c>
      <c r="AI33" s="152" t="s">
        <v>834</v>
      </c>
      <c r="AJ33" s="152" t="s">
        <v>635</v>
      </c>
      <c r="AK33" s="152" t="s">
        <v>634</v>
      </c>
      <c r="AL33" s="152" t="s">
        <v>637</v>
      </c>
      <c r="AM33" s="152" t="s">
        <v>1311</v>
      </c>
      <c r="AO33" s="152" t="s">
        <v>631</v>
      </c>
      <c r="AP33" s="152" t="s">
        <v>628</v>
      </c>
      <c r="AQ33" s="152" t="s">
        <v>773</v>
      </c>
      <c r="AR33" s="152" t="s">
        <v>772</v>
      </c>
      <c r="AS33" s="152" t="s">
        <v>905</v>
      </c>
      <c r="AT33" s="152" t="s">
        <v>760</v>
      </c>
      <c r="AU33" s="152">
        <v>2018</v>
      </c>
      <c r="AV33" s="339">
        <v>6995</v>
      </c>
      <c r="AW33" s="339">
        <v>1811895</v>
      </c>
      <c r="AX33" s="152">
        <v>19</v>
      </c>
      <c r="AY33" s="152">
        <v>0</v>
      </c>
      <c r="AZ33" s="152">
        <v>75</v>
      </c>
      <c r="BA33" s="152">
        <v>0.18634439799999999</v>
      </c>
      <c r="BB33" s="152">
        <v>446</v>
      </c>
      <c r="BC33" s="152">
        <v>90</v>
      </c>
      <c r="BD33" s="152">
        <v>7.8189998000000003</v>
      </c>
    </row>
    <row r="34" spans="1:56" x14ac:dyDescent="0.25">
      <c r="A34" s="152" t="s">
        <v>1207</v>
      </c>
      <c r="B34" s="152">
        <v>43.609012</v>
      </c>
      <c r="C34" s="152">
        <v>-97.019000000000005</v>
      </c>
      <c r="D34" s="152">
        <v>29</v>
      </c>
      <c r="E34" s="152" t="s">
        <v>697</v>
      </c>
      <c r="F34" s="152">
        <v>2016</v>
      </c>
      <c r="G34" s="340">
        <v>42683.770833333336</v>
      </c>
      <c r="H34" s="152" t="s">
        <v>637</v>
      </c>
      <c r="I34" s="152" t="s">
        <v>696</v>
      </c>
      <c r="J34" s="152" t="s">
        <v>697</v>
      </c>
      <c r="L34" s="152" t="s">
        <v>1055</v>
      </c>
      <c r="M34" s="152" t="s">
        <v>676</v>
      </c>
      <c r="N34" s="152" t="s">
        <v>637</v>
      </c>
      <c r="O34" s="152" t="s">
        <v>647</v>
      </c>
      <c r="P34" s="152" t="s">
        <v>696</v>
      </c>
      <c r="Q34" s="152" t="s">
        <v>637</v>
      </c>
      <c r="R34" s="152" t="s">
        <v>701</v>
      </c>
      <c r="S34" s="152" t="s">
        <v>637</v>
      </c>
      <c r="T34" s="152" t="s">
        <v>701</v>
      </c>
      <c r="U34" s="152" t="s">
        <v>644</v>
      </c>
      <c r="V34" s="152" t="s">
        <v>199</v>
      </c>
      <c r="W34" s="152" t="s">
        <v>643</v>
      </c>
      <c r="Y34" s="152" t="s">
        <v>637</v>
      </c>
      <c r="Z34" s="152" t="s">
        <v>642</v>
      </c>
      <c r="AA34" s="152" t="s">
        <v>665</v>
      </c>
      <c r="AB34" s="152" t="s">
        <v>640</v>
      </c>
      <c r="AC34" s="152" t="s">
        <v>701</v>
      </c>
      <c r="AD34" s="152" t="s">
        <v>673</v>
      </c>
      <c r="AE34" s="152" t="s">
        <v>637</v>
      </c>
      <c r="AF34" s="152" t="s">
        <v>637</v>
      </c>
      <c r="AG34" s="152" t="s">
        <v>637</v>
      </c>
      <c r="AH34" s="152" t="s">
        <v>664</v>
      </c>
      <c r="AI34" s="152" t="s">
        <v>699</v>
      </c>
      <c r="AJ34" s="152" t="s">
        <v>696</v>
      </c>
      <c r="AL34" s="152" t="s">
        <v>637</v>
      </c>
      <c r="AM34" s="152" t="s">
        <v>857</v>
      </c>
      <c r="AO34" s="152" t="s">
        <v>631</v>
      </c>
      <c r="AP34" s="152" t="s">
        <v>697</v>
      </c>
      <c r="AQ34" s="152" t="s">
        <v>630</v>
      </c>
      <c r="AS34" s="152" t="s">
        <v>696</v>
      </c>
      <c r="AT34" s="152" t="s">
        <v>702</v>
      </c>
      <c r="AU34" s="152">
        <v>2016</v>
      </c>
      <c r="AV34" s="339">
        <v>6995</v>
      </c>
      <c r="AW34" s="339">
        <v>1614194</v>
      </c>
      <c r="AX34" s="152">
        <v>9</v>
      </c>
      <c r="AY34" s="152">
        <v>-1</v>
      </c>
      <c r="AZ34" s="152">
        <v>75</v>
      </c>
      <c r="BA34" s="152">
        <v>0.171957742</v>
      </c>
      <c r="BB34" s="152">
        <v>126</v>
      </c>
      <c r="BC34" s="152">
        <v>90</v>
      </c>
      <c r="BD34" s="152">
        <v>7.8189998000000003</v>
      </c>
    </row>
    <row r="35" spans="1:56" x14ac:dyDescent="0.25">
      <c r="A35" s="152" t="s">
        <v>1207</v>
      </c>
      <c r="B35" s="152">
        <v>43.609012999999997</v>
      </c>
      <c r="C35" s="152">
        <v>-97.017756000000006</v>
      </c>
      <c r="D35" s="152">
        <v>29</v>
      </c>
      <c r="E35" s="152" t="s">
        <v>652</v>
      </c>
      <c r="F35" s="152">
        <v>2020</v>
      </c>
      <c r="G35" s="340">
        <v>43833.650694444441</v>
      </c>
      <c r="H35" s="152" t="s">
        <v>637</v>
      </c>
      <c r="I35" s="152" t="s">
        <v>669</v>
      </c>
      <c r="J35" s="152" t="s">
        <v>650</v>
      </c>
      <c r="L35" s="152" t="s">
        <v>1055</v>
      </c>
      <c r="M35" s="152" t="s">
        <v>648</v>
      </c>
      <c r="N35" s="152" t="s">
        <v>637</v>
      </c>
      <c r="O35" s="152" t="s">
        <v>647</v>
      </c>
      <c r="P35" s="152" t="s">
        <v>646</v>
      </c>
      <c r="Q35" s="152" t="s">
        <v>637</v>
      </c>
      <c r="R35" s="152" t="s">
        <v>825</v>
      </c>
      <c r="S35" s="152" t="s">
        <v>637</v>
      </c>
      <c r="T35" s="152" t="s">
        <v>708</v>
      </c>
      <c r="U35" s="152" t="s">
        <v>644</v>
      </c>
      <c r="V35" s="152" t="s">
        <v>199</v>
      </c>
      <c r="W35" s="152" t="s">
        <v>643</v>
      </c>
      <c r="Y35" s="152" t="s">
        <v>637</v>
      </c>
      <c r="Z35" s="152" t="s">
        <v>642</v>
      </c>
      <c r="AA35" s="152" t="s">
        <v>641</v>
      </c>
      <c r="AB35" s="152" t="s">
        <v>640</v>
      </c>
      <c r="AC35" s="152" t="s">
        <v>708</v>
      </c>
      <c r="AD35" s="152" t="s">
        <v>638</v>
      </c>
      <c r="AE35" s="152" t="s">
        <v>637</v>
      </c>
      <c r="AF35" s="152" t="s">
        <v>637</v>
      </c>
      <c r="AG35" s="152" t="s">
        <v>637</v>
      </c>
      <c r="AH35" s="152" t="s">
        <v>677</v>
      </c>
      <c r="AI35" s="152" t="s">
        <v>628</v>
      </c>
      <c r="AJ35" s="152" t="s">
        <v>635</v>
      </c>
      <c r="AK35" s="152" t="s">
        <v>634</v>
      </c>
      <c r="AL35" s="152" t="s">
        <v>633</v>
      </c>
      <c r="AM35" s="152" t="s">
        <v>1310</v>
      </c>
      <c r="AO35" s="152" t="s">
        <v>631</v>
      </c>
      <c r="AP35" s="152" t="s">
        <v>628</v>
      </c>
      <c r="AQ35" s="152" t="s">
        <v>671</v>
      </c>
      <c r="AR35" s="152" t="s">
        <v>629</v>
      </c>
      <c r="AS35" s="152" t="s">
        <v>628</v>
      </c>
      <c r="AT35" s="152" t="s">
        <v>627</v>
      </c>
      <c r="AU35" s="152">
        <v>2020</v>
      </c>
      <c r="AV35" s="339">
        <v>6995</v>
      </c>
      <c r="AW35" s="339">
        <v>2000164</v>
      </c>
      <c r="AX35" s="152">
        <v>3</v>
      </c>
      <c r="AY35" s="152">
        <v>0</v>
      </c>
      <c r="AZ35" s="152">
        <v>75</v>
      </c>
      <c r="BA35" s="152">
        <v>0.13212735</v>
      </c>
      <c r="BB35" s="152">
        <v>640</v>
      </c>
      <c r="BC35" s="152">
        <v>90</v>
      </c>
      <c r="BD35" s="152">
        <v>7.8189998000000003</v>
      </c>
    </row>
    <row r="36" spans="1:56" x14ac:dyDescent="0.25">
      <c r="A36" s="152" t="s">
        <v>1207</v>
      </c>
      <c r="B36" s="152">
        <v>43.609012999999997</v>
      </c>
      <c r="C36" s="152">
        <v>-97.017504000000002</v>
      </c>
      <c r="D36" s="152">
        <v>29</v>
      </c>
      <c r="E36" s="152" t="s">
        <v>697</v>
      </c>
      <c r="F36" s="152">
        <v>2018</v>
      </c>
      <c r="G36" s="340">
        <v>43428.28125</v>
      </c>
      <c r="H36" s="152" t="s">
        <v>637</v>
      </c>
      <c r="I36" s="152" t="s">
        <v>696</v>
      </c>
      <c r="J36" s="152" t="s">
        <v>697</v>
      </c>
      <c r="L36" s="152" t="s">
        <v>1055</v>
      </c>
      <c r="M36" s="152" t="s">
        <v>693</v>
      </c>
      <c r="N36" s="152" t="s">
        <v>637</v>
      </c>
      <c r="O36" s="152" t="s">
        <v>647</v>
      </c>
      <c r="P36" s="152" t="s">
        <v>696</v>
      </c>
      <c r="Q36" s="152" t="s">
        <v>637</v>
      </c>
      <c r="R36" s="152" t="s">
        <v>701</v>
      </c>
      <c r="S36" s="152" t="s">
        <v>637</v>
      </c>
      <c r="T36" s="152" t="s">
        <v>701</v>
      </c>
      <c r="U36" s="152" t="s">
        <v>644</v>
      </c>
      <c r="V36" s="152" t="s">
        <v>199</v>
      </c>
      <c r="W36" s="152" t="s">
        <v>643</v>
      </c>
      <c r="Y36" s="152" t="s">
        <v>637</v>
      </c>
      <c r="Z36" s="152" t="s">
        <v>642</v>
      </c>
      <c r="AA36" s="152" t="s">
        <v>782</v>
      </c>
      <c r="AB36" s="152" t="s">
        <v>640</v>
      </c>
      <c r="AC36" s="152" t="s">
        <v>701</v>
      </c>
      <c r="AD36" s="152" t="s">
        <v>673</v>
      </c>
      <c r="AE36" s="152" t="s">
        <v>637</v>
      </c>
      <c r="AF36" s="152" t="s">
        <v>637</v>
      </c>
      <c r="AG36" s="152" t="s">
        <v>637</v>
      </c>
      <c r="AH36" s="152" t="s">
        <v>664</v>
      </c>
      <c r="AI36" s="152" t="s">
        <v>699</v>
      </c>
      <c r="AJ36" s="152" t="s">
        <v>696</v>
      </c>
      <c r="AL36" s="152" t="s">
        <v>637</v>
      </c>
      <c r="AM36" s="152" t="s">
        <v>883</v>
      </c>
      <c r="AO36" s="152" t="s">
        <v>631</v>
      </c>
      <c r="AP36" s="152" t="s">
        <v>697</v>
      </c>
      <c r="AQ36" s="152" t="s">
        <v>769</v>
      </c>
      <c r="AS36" s="152" t="s">
        <v>696</v>
      </c>
      <c r="AT36" s="152" t="s">
        <v>702</v>
      </c>
      <c r="AU36" s="152">
        <v>2018</v>
      </c>
      <c r="AV36" s="339">
        <v>6995</v>
      </c>
      <c r="AW36" s="339">
        <v>1815222</v>
      </c>
      <c r="AX36" s="152">
        <v>24</v>
      </c>
      <c r="AY36" s="152">
        <v>-1</v>
      </c>
      <c r="AZ36" s="152">
        <v>75</v>
      </c>
      <c r="BA36" s="152">
        <v>5.0862311E-2</v>
      </c>
      <c r="BB36" s="152">
        <v>475</v>
      </c>
      <c r="BC36" s="152">
        <v>90</v>
      </c>
      <c r="BD36" s="152">
        <v>7.8189998000000003</v>
      </c>
    </row>
    <row r="37" spans="1:56" x14ac:dyDescent="0.25">
      <c r="A37" s="152" t="s">
        <v>1207</v>
      </c>
      <c r="B37" s="152">
        <v>43.609014000000002</v>
      </c>
      <c r="C37" s="152">
        <v>-97.016721000000004</v>
      </c>
      <c r="D37" s="152">
        <v>29</v>
      </c>
      <c r="E37" s="152" t="s">
        <v>697</v>
      </c>
      <c r="F37" s="152">
        <v>2017</v>
      </c>
      <c r="G37" s="340">
        <v>42813.843055555553</v>
      </c>
      <c r="H37" s="152" t="s">
        <v>637</v>
      </c>
      <c r="I37" s="152" t="s">
        <v>696</v>
      </c>
      <c r="J37" s="152" t="s">
        <v>697</v>
      </c>
      <c r="L37" s="152" t="s">
        <v>1055</v>
      </c>
      <c r="M37" s="152" t="s">
        <v>712</v>
      </c>
      <c r="N37" s="152" t="s">
        <v>637</v>
      </c>
      <c r="O37" s="152" t="s">
        <v>647</v>
      </c>
      <c r="P37" s="152" t="s">
        <v>696</v>
      </c>
      <c r="Q37" s="152" t="s">
        <v>637</v>
      </c>
      <c r="R37" s="152" t="s">
        <v>701</v>
      </c>
      <c r="S37" s="152" t="s">
        <v>637</v>
      </c>
      <c r="T37" s="152" t="s">
        <v>701</v>
      </c>
      <c r="U37" s="152" t="s">
        <v>644</v>
      </c>
      <c r="V37" s="152" t="s">
        <v>199</v>
      </c>
      <c r="W37" s="152" t="s">
        <v>643</v>
      </c>
      <c r="Y37" s="152" t="s">
        <v>637</v>
      </c>
      <c r="Z37" s="152" t="s">
        <v>642</v>
      </c>
      <c r="AA37" s="152" t="s">
        <v>665</v>
      </c>
      <c r="AB37" s="152" t="s">
        <v>640</v>
      </c>
      <c r="AC37" s="152" t="s">
        <v>701</v>
      </c>
      <c r="AD37" s="152" t="s">
        <v>691</v>
      </c>
      <c r="AE37" s="152" t="s">
        <v>637</v>
      </c>
      <c r="AF37" s="152" t="s">
        <v>637</v>
      </c>
      <c r="AG37" s="152" t="s">
        <v>637</v>
      </c>
      <c r="AH37" s="152" t="s">
        <v>664</v>
      </c>
      <c r="AI37" s="152" t="s">
        <v>699</v>
      </c>
      <c r="AJ37" s="152" t="s">
        <v>696</v>
      </c>
      <c r="AL37" s="152" t="s">
        <v>637</v>
      </c>
      <c r="AM37" s="152" t="s">
        <v>1227</v>
      </c>
      <c r="AO37" s="152" t="s">
        <v>631</v>
      </c>
      <c r="AP37" s="152" t="s">
        <v>697</v>
      </c>
      <c r="AQ37" s="152" t="s">
        <v>671</v>
      </c>
      <c r="AS37" s="152" t="s">
        <v>696</v>
      </c>
      <c r="AT37" s="152" t="s">
        <v>702</v>
      </c>
      <c r="AU37" s="152">
        <v>2017</v>
      </c>
      <c r="AV37" s="339">
        <v>6995</v>
      </c>
      <c r="AW37" s="339">
        <v>1703384</v>
      </c>
      <c r="AX37" s="152">
        <v>19</v>
      </c>
      <c r="AY37" s="152">
        <v>-1</v>
      </c>
      <c r="AZ37" s="152">
        <v>75</v>
      </c>
      <c r="BA37" s="152">
        <v>0.16383636700000001</v>
      </c>
      <c r="BB37" s="152">
        <v>203</v>
      </c>
      <c r="BC37" s="152">
        <v>90</v>
      </c>
      <c r="BD37" s="152">
        <v>7.8189998000000003</v>
      </c>
    </row>
    <row r="38" spans="1:56" x14ac:dyDescent="0.25">
      <c r="A38" s="152" t="s">
        <v>1207</v>
      </c>
      <c r="B38" s="152">
        <v>43.609014000000002</v>
      </c>
      <c r="C38" s="152">
        <v>-97.016665000000003</v>
      </c>
      <c r="D38" s="152">
        <v>29</v>
      </c>
      <c r="E38" s="152" t="s">
        <v>652</v>
      </c>
      <c r="F38" s="152">
        <v>2020</v>
      </c>
      <c r="G38" s="340">
        <v>44107.979166666664</v>
      </c>
      <c r="H38" s="152" t="s">
        <v>637</v>
      </c>
      <c r="I38" s="152" t="s">
        <v>651</v>
      </c>
      <c r="J38" s="152" t="s">
        <v>694</v>
      </c>
      <c r="L38" s="152" t="s">
        <v>1055</v>
      </c>
      <c r="M38" s="152" t="s">
        <v>693</v>
      </c>
      <c r="N38" s="152" t="s">
        <v>637</v>
      </c>
      <c r="O38" s="152" t="s">
        <v>647</v>
      </c>
      <c r="P38" s="152" t="s">
        <v>721</v>
      </c>
      <c r="Q38" s="152" t="s">
        <v>637</v>
      </c>
      <c r="R38" s="152" t="s">
        <v>825</v>
      </c>
      <c r="S38" s="152" t="s">
        <v>637</v>
      </c>
      <c r="T38" s="152" t="s">
        <v>708</v>
      </c>
      <c r="U38" s="152" t="s">
        <v>644</v>
      </c>
      <c r="V38" s="152" t="s">
        <v>199</v>
      </c>
      <c r="W38" s="152" t="s">
        <v>643</v>
      </c>
      <c r="Y38" s="152" t="s">
        <v>637</v>
      </c>
      <c r="Z38" s="152" t="s">
        <v>642</v>
      </c>
      <c r="AA38" s="152" t="s">
        <v>665</v>
      </c>
      <c r="AB38" s="152" t="s">
        <v>640</v>
      </c>
      <c r="AC38" s="152" t="s">
        <v>708</v>
      </c>
      <c r="AD38" s="152" t="s">
        <v>700</v>
      </c>
      <c r="AE38" s="152" t="s">
        <v>637</v>
      </c>
      <c r="AF38" s="152" t="s">
        <v>637</v>
      </c>
      <c r="AG38" s="152" t="s">
        <v>637</v>
      </c>
      <c r="AH38" s="152" t="s">
        <v>664</v>
      </c>
      <c r="AI38" s="152" t="s">
        <v>628</v>
      </c>
      <c r="AJ38" s="152" t="s">
        <v>635</v>
      </c>
      <c r="AK38" s="152" t="s">
        <v>634</v>
      </c>
      <c r="AL38" s="152" t="s">
        <v>637</v>
      </c>
      <c r="AM38" s="152" t="s">
        <v>814</v>
      </c>
      <c r="AO38" s="152" t="s">
        <v>631</v>
      </c>
      <c r="AP38" s="152" t="s">
        <v>628</v>
      </c>
      <c r="AQ38" s="152" t="s">
        <v>671</v>
      </c>
      <c r="AR38" s="152" t="s">
        <v>629</v>
      </c>
      <c r="AS38" s="152" t="s">
        <v>628</v>
      </c>
      <c r="AT38" s="152" t="s">
        <v>702</v>
      </c>
      <c r="AU38" s="152">
        <v>2020</v>
      </c>
      <c r="AV38" s="339">
        <v>6995</v>
      </c>
      <c r="AW38" s="339">
        <v>2012215</v>
      </c>
      <c r="AX38" s="152">
        <v>3</v>
      </c>
      <c r="AY38" s="152">
        <v>0</v>
      </c>
      <c r="AZ38" s="152">
        <v>75</v>
      </c>
      <c r="BA38" s="152">
        <v>0.14603392600000001</v>
      </c>
      <c r="BB38" s="152">
        <v>727</v>
      </c>
      <c r="BC38" s="152">
        <v>90</v>
      </c>
      <c r="BD38" s="152">
        <v>7.8189998000000003</v>
      </c>
    </row>
    <row r="39" spans="1:56" x14ac:dyDescent="0.25">
      <c r="A39" s="152" t="s">
        <v>1207</v>
      </c>
      <c r="B39" s="152">
        <v>43.609015999999997</v>
      </c>
      <c r="C39" s="152">
        <v>-97.014594000000002</v>
      </c>
      <c r="D39" s="152">
        <v>29</v>
      </c>
      <c r="E39" s="152" t="s">
        <v>652</v>
      </c>
      <c r="F39" s="152">
        <v>2016</v>
      </c>
      <c r="G39" s="340">
        <v>42423.28125</v>
      </c>
      <c r="H39" s="152" t="s">
        <v>637</v>
      </c>
      <c r="I39" s="152" t="s">
        <v>669</v>
      </c>
      <c r="J39" s="152" t="s">
        <v>650</v>
      </c>
      <c r="K39" s="152" t="s">
        <v>1309</v>
      </c>
      <c r="L39" s="152" t="s">
        <v>1055</v>
      </c>
      <c r="M39" s="152" t="s">
        <v>736</v>
      </c>
      <c r="N39" s="152" t="s">
        <v>637</v>
      </c>
      <c r="O39" s="152" t="s">
        <v>647</v>
      </c>
      <c r="P39" s="152" t="s">
        <v>721</v>
      </c>
      <c r="Q39" s="152" t="s">
        <v>637</v>
      </c>
      <c r="R39" s="152" t="s">
        <v>709</v>
      </c>
      <c r="S39" s="152" t="s">
        <v>637</v>
      </c>
      <c r="T39" s="152" t="s">
        <v>708</v>
      </c>
      <c r="U39" s="152" t="s">
        <v>644</v>
      </c>
      <c r="V39" s="152" t="s">
        <v>199</v>
      </c>
      <c r="W39" s="152" t="s">
        <v>643</v>
      </c>
      <c r="Y39" s="152" t="s">
        <v>637</v>
      </c>
      <c r="Z39" s="152" t="s">
        <v>642</v>
      </c>
      <c r="AA39" s="152" t="s">
        <v>782</v>
      </c>
      <c r="AB39" s="152" t="s">
        <v>640</v>
      </c>
      <c r="AC39" s="152" t="s">
        <v>708</v>
      </c>
      <c r="AD39" s="152" t="s">
        <v>718</v>
      </c>
      <c r="AE39" s="152" t="s">
        <v>637</v>
      </c>
      <c r="AF39" s="152" t="s">
        <v>637</v>
      </c>
      <c r="AG39" s="152" t="s">
        <v>637</v>
      </c>
      <c r="AH39" s="152" t="s">
        <v>664</v>
      </c>
      <c r="AI39" s="152" t="s">
        <v>628</v>
      </c>
      <c r="AJ39" s="152" t="s">
        <v>635</v>
      </c>
      <c r="AK39" s="152" t="s">
        <v>824</v>
      </c>
      <c r="AL39" s="152" t="s">
        <v>637</v>
      </c>
      <c r="AM39" s="152" t="s">
        <v>883</v>
      </c>
      <c r="AO39" s="152" t="s">
        <v>715</v>
      </c>
      <c r="AP39" s="152" t="s">
        <v>628</v>
      </c>
      <c r="AQ39" s="152" t="s">
        <v>769</v>
      </c>
      <c r="AR39" s="152" t="s">
        <v>629</v>
      </c>
      <c r="AS39" s="152" t="s">
        <v>628</v>
      </c>
      <c r="AT39" s="152" t="s">
        <v>702</v>
      </c>
      <c r="AU39" s="152">
        <v>2016</v>
      </c>
      <c r="AV39" s="339">
        <v>6995</v>
      </c>
      <c r="AW39" s="339">
        <v>1602481</v>
      </c>
      <c r="AX39" s="152">
        <v>23</v>
      </c>
      <c r="AY39" s="152">
        <v>0</v>
      </c>
      <c r="AZ39" s="152">
        <v>75</v>
      </c>
      <c r="BA39" s="152">
        <v>0.21988349500000001</v>
      </c>
      <c r="BB39" s="152">
        <v>34</v>
      </c>
      <c r="BC39" s="152">
        <v>90</v>
      </c>
      <c r="BD39" s="152">
        <v>7.8189998000000003</v>
      </c>
    </row>
    <row r="40" spans="1:56" x14ac:dyDescent="0.25">
      <c r="A40" s="152" t="s">
        <v>1207</v>
      </c>
      <c r="B40" s="152">
        <v>43.609019000000004</v>
      </c>
      <c r="C40" s="152">
        <v>-97.012511000000003</v>
      </c>
      <c r="D40" s="152">
        <v>29</v>
      </c>
      <c r="E40" s="152" t="s">
        <v>759</v>
      </c>
      <c r="F40" s="152">
        <v>2017</v>
      </c>
      <c r="G40" s="340">
        <v>43073.729166666664</v>
      </c>
      <c r="H40" s="152" t="s">
        <v>637</v>
      </c>
      <c r="I40" s="152" t="s">
        <v>669</v>
      </c>
      <c r="J40" s="152" t="s">
        <v>660</v>
      </c>
      <c r="L40" s="152" t="s">
        <v>1055</v>
      </c>
      <c r="M40" s="152" t="s">
        <v>685</v>
      </c>
      <c r="N40" s="152" t="s">
        <v>637</v>
      </c>
      <c r="O40" s="152" t="s">
        <v>647</v>
      </c>
      <c r="P40" s="152" t="s">
        <v>897</v>
      </c>
      <c r="Q40" s="152" t="s">
        <v>637</v>
      </c>
      <c r="R40" s="152" t="s">
        <v>656</v>
      </c>
      <c r="S40" s="152" t="s">
        <v>637</v>
      </c>
      <c r="T40" s="152" t="s">
        <v>656</v>
      </c>
      <c r="U40" s="152" t="s">
        <v>644</v>
      </c>
      <c r="V40" s="152" t="s">
        <v>199</v>
      </c>
      <c r="W40" s="152" t="s">
        <v>643</v>
      </c>
      <c r="Y40" s="152" t="s">
        <v>637</v>
      </c>
      <c r="Z40" s="152" t="s">
        <v>642</v>
      </c>
      <c r="AA40" s="152" t="s">
        <v>665</v>
      </c>
      <c r="AB40" s="152" t="s">
        <v>740</v>
      </c>
      <c r="AC40" s="152" t="s">
        <v>656</v>
      </c>
      <c r="AD40" s="152" t="s">
        <v>681</v>
      </c>
      <c r="AE40" s="152" t="s">
        <v>637</v>
      </c>
      <c r="AF40" s="152" t="s">
        <v>637</v>
      </c>
      <c r="AG40" s="152" t="s">
        <v>637</v>
      </c>
      <c r="AH40" s="152" t="s">
        <v>677</v>
      </c>
      <c r="AI40" s="152" t="s">
        <v>1308</v>
      </c>
      <c r="AJ40" s="152" t="s">
        <v>635</v>
      </c>
      <c r="AK40" s="152" t="s">
        <v>634</v>
      </c>
      <c r="AL40" s="152" t="s">
        <v>637</v>
      </c>
      <c r="AM40" s="152" t="s">
        <v>930</v>
      </c>
      <c r="AO40" s="152" t="s">
        <v>631</v>
      </c>
      <c r="AP40" s="152" t="s">
        <v>897</v>
      </c>
      <c r="AQ40" s="152" t="s">
        <v>755</v>
      </c>
      <c r="AR40" s="152" t="s">
        <v>629</v>
      </c>
      <c r="AS40" s="152" t="s">
        <v>905</v>
      </c>
      <c r="AT40" s="152" t="s">
        <v>677</v>
      </c>
      <c r="AU40" s="152">
        <v>2017</v>
      </c>
      <c r="AV40" s="339">
        <v>6995</v>
      </c>
      <c r="AW40" s="339">
        <v>1717327</v>
      </c>
      <c r="AX40" s="152">
        <v>4</v>
      </c>
      <c r="AY40" s="152">
        <v>0</v>
      </c>
      <c r="AZ40" s="152">
        <v>75</v>
      </c>
      <c r="BA40" s="152">
        <v>3.708525E-2</v>
      </c>
      <c r="BB40" s="152">
        <v>312</v>
      </c>
      <c r="BC40" s="152">
        <v>90</v>
      </c>
      <c r="BD40" s="152">
        <v>7.8189998000000003</v>
      </c>
    </row>
    <row r="41" spans="1:56" x14ac:dyDescent="0.25">
      <c r="A41" s="152" t="s">
        <v>1207</v>
      </c>
      <c r="B41" s="152">
        <v>43.609019000000004</v>
      </c>
      <c r="C41" s="152">
        <v>-96.95026</v>
      </c>
      <c r="D41" s="152">
        <v>29</v>
      </c>
      <c r="E41" s="152" t="s">
        <v>759</v>
      </c>
      <c r="F41" s="152">
        <v>2016</v>
      </c>
      <c r="G41" s="340">
        <v>42664.329861111109</v>
      </c>
      <c r="H41" s="152" t="s">
        <v>637</v>
      </c>
      <c r="I41" s="152" t="s">
        <v>669</v>
      </c>
      <c r="J41" s="152" t="s">
        <v>660</v>
      </c>
      <c r="K41" s="152" t="s">
        <v>1307</v>
      </c>
      <c r="L41" s="152" t="s">
        <v>1055</v>
      </c>
      <c r="M41" s="152" t="s">
        <v>648</v>
      </c>
      <c r="N41" s="152" t="s">
        <v>637</v>
      </c>
      <c r="P41" s="152" t="s">
        <v>990</v>
      </c>
      <c r="Q41" s="152" t="s">
        <v>637</v>
      </c>
      <c r="R41" s="152" t="s">
        <v>656</v>
      </c>
      <c r="S41" s="152" t="s">
        <v>637</v>
      </c>
      <c r="T41" s="152" t="s">
        <v>656</v>
      </c>
      <c r="U41" s="152" t="s">
        <v>1265</v>
      </c>
      <c r="V41" s="152" t="s">
        <v>199</v>
      </c>
      <c r="W41" s="152" t="s">
        <v>1103</v>
      </c>
      <c r="Y41" s="152" t="s">
        <v>637</v>
      </c>
      <c r="Z41" s="152" t="s">
        <v>783</v>
      </c>
      <c r="AA41" s="152" t="s">
        <v>641</v>
      </c>
      <c r="AB41" s="152" t="s">
        <v>740</v>
      </c>
      <c r="AC41" s="152" t="s">
        <v>656</v>
      </c>
      <c r="AD41" s="152" t="s">
        <v>700</v>
      </c>
      <c r="AE41" s="152" t="s">
        <v>637</v>
      </c>
      <c r="AF41" s="152" t="s">
        <v>637</v>
      </c>
      <c r="AG41" s="152" t="s">
        <v>637</v>
      </c>
      <c r="AH41" s="152" t="s">
        <v>664</v>
      </c>
      <c r="AI41" s="152" t="s">
        <v>628</v>
      </c>
      <c r="AJ41" s="152" t="s">
        <v>635</v>
      </c>
      <c r="AK41" s="152" t="s">
        <v>634</v>
      </c>
      <c r="AL41" s="152" t="s">
        <v>637</v>
      </c>
      <c r="AM41" s="152" t="s">
        <v>1223</v>
      </c>
      <c r="AN41" s="152" t="s">
        <v>1306</v>
      </c>
      <c r="AO41" s="152" t="s">
        <v>1099</v>
      </c>
      <c r="AP41" s="152" t="s">
        <v>628</v>
      </c>
      <c r="AQ41" s="152" t="s">
        <v>773</v>
      </c>
      <c r="AR41" s="152" t="s">
        <v>1172</v>
      </c>
      <c r="AS41" s="152" t="s">
        <v>628</v>
      </c>
      <c r="AT41" s="152" t="s">
        <v>702</v>
      </c>
      <c r="AU41" s="152">
        <v>2016</v>
      </c>
      <c r="AV41" s="339">
        <v>6995</v>
      </c>
      <c r="AW41" s="339">
        <v>1613606</v>
      </c>
      <c r="AX41" s="152">
        <v>21</v>
      </c>
      <c r="AY41" s="152">
        <v>0</v>
      </c>
      <c r="AZ41" s="152">
        <v>45</v>
      </c>
      <c r="BA41" s="152">
        <v>28.554932209</v>
      </c>
      <c r="BB41" s="152">
        <v>120</v>
      </c>
      <c r="BD41" s="152">
        <v>7.8189998000000003</v>
      </c>
    </row>
    <row r="42" spans="1:56" x14ac:dyDescent="0.25">
      <c r="A42" s="152" t="s">
        <v>1207</v>
      </c>
      <c r="B42" s="152">
        <v>43.609020999999998</v>
      </c>
      <c r="C42" s="152">
        <v>-97.011647999999994</v>
      </c>
      <c r="D42" s="152">
        <v>29</v>
      </c>
      <c r="E42" s="152" t="s">
        <v>697</v>
      </c>
      <c r="F42" s="152">
        <v>2018</v>
      </c>
      <c r="G42" s="340">
        <v>43250.589583333334</v>
      </c>
      <c r="H42" s="152" t="s">
        <v>637</v>
      </c>
      <c r="I42" s="152" t="s">
        <v>696</v>
      </c>
      <c r="J42" s="152" t="s">
        <v>697</v>
      </c>
      <c r="L42" s="152" t="s">
        <v>1055</v>
      </c>
      <c r="M42" s="152" t="s">
        <v>676</v>
      </c>
      <c r="N42" s="152" t="s">
        <v>637</v>
      </c>
      <c r="O42" s="152" t="s">
        <v>647</v>
      </c>
      <c r="P42" s="152" t="s">
        <v>696</v>
      </c>
      <c r="Q42" s="152" t="s">
        <v>637</v>
      </c>
      <c r="R42" s="152" t="s">
        <v>701</v>
      </c>
      <c r="S42" s="152" t="s">
        <v>637</v>
      </c>
      <c r="T42" s="152" t="s">
        <v>701</v>
      </c>
      <c r="U42" s="152" t="s">
        <v>644</v>
      </c>
      <c r="V42" s="152" t="s">
        <v>199</v>
      </c>
      <c r="W42" s="152" t="s">
        <v>643</v>
      </c>
      <c r="Y42" s="152" t="s">
        <v>637</v>
      </c>
      <c r="Z42" s="152" t="s">
        <v>642</v>
      </c>
      <c r="AA42" s="152" t="s">
        <v>641</v>
      </c>
      <c r="AB42" s="152" t="s">
        <v>640</v>
      </c>
      <c r="AC42" s="152" t="s">
        <v>701</v>
      </c>
      <c r="AD42" s="152" t="s">
        <v>752</v>
      </c>
      <c r="AE42" s="152" t="s">
        <v>637</v>
      </c>
      <c r="AF42" s="152" t="s">
        <v>637</v>
      </c>
      <c r="AG42" s="152" t="s">
        <v>637</v>
      </c>
      <c r="AH42" s="152" t="s">
        <v>664</v>
      </c>
      <c r="AI42" s="152" t="s">
        <v>699</v>
      </c>
      <c r="AJ42" s="152" t="s">
        <v>696</v>
      </c>
      <c r="AL42" s="152" t="s">
        <v>637</v>
      </c>
      <c r="AM42" s="152" t="s">
        <v>1305</v>
      </c>
      <c r="AO42" s="152" t="s">
        <v>631</v>
      </c>
      <c r="AP42" s="152" t="s">
        <v>697</v>
      </c>
      <c r="AQ42" s="152" t="s">
        <v>671</v>
      </c>
      <c r="AS42" s="152" t="s">
        <v>696</v>
      </c>
      <c r="AT42" s="152" t="s">
        <v>695</v>
      </c>
      <c r="AU42" s="152">
        <v>2018</v>
      </c>
      <c r="AV42" s="339">
        <v>6995</v>
      </c>
      <c r="AW42" s="339">
        <v>1806119</v>
      </c>
      <c r="AX42" s="152">
        <v>30</v>
      </c>
      <c r="AY42" s="152">
        <v>-1</v>
      </c>
      <c r="AZ42" s="152">
        <v>75</v>
      </c>
      <c r="BA42" s="152">
        <v>2.7394858000000001E-2</v>
      </c>
      <c r="BB42" s="152">
        <v>398</v>
      </c>
      <c r="BC42" s="152">
        <v>90</v>
      </c>
      <c r="BD42" s="152">
        <v>7.8189998000000003</v>
      </c>
    </row>
    <row r="43" spans="1:56" x14ac:dyDescent="0.25">
      <c r="A43" s="152" t="s">
        <v>1207</v>
      </c>
      <c r="B43" s="152">
        <v>43.609026999999998</v>
      </c>
      <c r="C43" s="152">
        <v>-97.021901</v>
      </c>
      <c r="D43" s="152">
        <v>29</v>
      </c>
      <c r="E43" s="152" t="s">
        <v>652</v>
      </c>
      <c r="F43" s="152">
        <v>2016</v>
      </c>
      <c r="G43" s="340">
        <v>42544.818055555559</v>
      </c>
      <c r="H43" s="152" t="s">
        <v>637</v>
      </c>
      <c r="I43" s="152" t="s">
        <v>669</v>
      </c>
      <c r="J43" s="152" t="s">
        <v>650</v>
      </c>
      <c r="L43" s="152" t="s">
        <v>1055</v>
      </c>
      <c r="M43" s="152" t="s">
        <v>668</v>
      </c>
      <c r="N43" s="152" t="s">
        <v>637</v>
      </c>
      <c r="O43" s="152" t="s">
        <v>647</v>
      </c>
      <c r="P43" s="152" t="s">
        <v>628</v>
      </c>
      <c r="Q43" s="152" t="s">
        <v>637</v>
      </c>
      <c r="R43" s="152" t="s">
        <v>709</v>
      </c>
      <c r="S43" s="152" t="s">
        <v>637</v>
      </c>
      <c r="T43" s="152" t="s">
        <v>708</v>
      </c>
      <c r="U43" s="152" t="s">
        <v>644</v>
      </c>
      <c r="V43" s="152" t="s">
        <v>199</v>
      </c>
      <c r="W43" s="152" t="s">
        <v>643</v>
      </c>
      <c r="Y43" s="152" t="s">
        <v>637</v>
      </c>
      <c r="Z43" s="152" t="s">
        <v>642</v>
      </c>
      <c r="AA43" s="152" t="s">
        <v>641</v>
      </c>
      <c r="AB43" s="152" t="s">
        <v>640</v>
      </c>
      <c r="AC43" s="152" t="s">
        <v>708</v>
      </c>
      <c r="AD43" s="152" t="s">
        <v>771</v>
      </c>
      <c r="AE43" s="152" t="s">
        <v>637</v>
      </c>
      <c r="AF43" s="152" t="s">
        <v>637</v>
      </c>
      <c r="AG43" s="152" t="s">
        <v>637</v>
      </c>
      <c r="AH43" s="152" t="s">
        <v>664</v>
      </c>
      <c r="AI43" s="152" t="s">
        <v>628</v>
      </c>
      <c r="AJ43" s="152" t="s">
        <v>635</v>
      </c>
      <c r="AK43" s="152" t="s">
        <v>634</v>
      </c>
      <c r="AL43" s="152" t="s">
        <v>637</v>
      </c>
      <c r="AM43" s="152" t="s">
        <v>1304</v>
      </c>
      <c r="AO43" s="152" t="s">
        <v>715</v>
      </c>
      <c r="AP43" s="152" t="s">
        <v>628</v>
      </c>
      <c r="AQ43" s="152" t="s">
        <v>671</v>
      </c>
      <c r="AR43" s="152" t="s">
        <v>629</v>
      </c>
      <c r="AS43" s="152" t="s">
        <v>628</v>
      </c>
      <c r="AT43" s="152" t="s">
        <v>1303</v>
      </c>
      <c r="AU43" s="152">
        <v>2016</v>
      </c>
      <c r="AV43" s="339">
        <v>6995</v>
      </c>
      <c r="AW43" s="339">
        <v>1607889</v>
      </c>
      <c r="AX43" s="152">
        <v>23</v>
      </c>
      <c r="AY43" s="152">
        <v>0</v>
      </c>
      <c r="AZ43" s="152">
        <v>75</v>
      </c>
      <c r="BA43" s="152">
        <v>3.446224473</v>
      </c>
      <c r="BB43" s="152">
        <v>83</v>
      </c>
      <c r="BC43" s="152">
        <v>90</v>
      </c>
      <c r="BD43" s="152">
        <v>7.8189998000000003</v>
      </c>
    </row>
    <row r="44" spans="1:56" x14ac:dyDescent="0.25">
      <c r="A44" s="152" t="s">
        <v>1207</v>
      </c>
      <c r="B44" s="152">
        <v>43.609040999999998</v>
      </c>
      <c r="C44" s="152">
        <v>-96.989832000000007</v>
      </c>
      <c r="D44" s="152">
        <v>29</v>
      </c>
      <c r="E44" s="152" t="s">
        <v>652</v>
      </c>
      <c r="F44" s="152">
        <v>2020</v>
      </c>
      <c r="G44" s="340">
        <v>43920.787499999999</v>
      </c>
      <c r="H44" s="152" t="s">
        <v>637</v>
      </c>
      <c r="I44" s="152" t="s">
        <v>669</v>
      </c>
      <c r="J44" s="152" t="s">
        <v>650</v>
      </c>
      <c r="K44" s="152" t="s">
        <v>1302</v>
      </c>
      <c r="L44" s="152" t="s">
        <v>1055</v>
      </c>
      <c r="M44" s="152" t="s">
        <v>685</v>
      </c>
      <c r="N44" s="152" t="s">
        <v>637</v>
      </c>
      <c r="O44" s="152" t="s">
        <v>647</v>
      </c>
      <c r="P44" s="152" t="s">
        <v>758</v>
      </c>
      <c r="Q44" s="152" t="s">
        <v>637</v>
      </c>
      <c r="R44" s="152" t="s">
        <v>1270</v>
      </c>
      <c r="S44" s="152" t="s">
        <v>637</v>
      </c>
      <c r="T44" s="152" t="s">
        <v>1270</v>
      </c>
      <c r="U44" s="152" t="s">
        <v>644</v>
      </c>
      <c r="V44" s="152" t="s">
        <v>199</v>
      </c>
      <c r="W44" s="152" t="s">
        <v>643</v>
      </c>
      <c r="Y44" s="152" t="s">
        <v>637</v>
      </c>
      <c r="Z44" s="152" t="s">
        <v>642</v>
      </c>
      <c r="AA44" s="152" t="s">
        <v>641</v>
      </c>
      <c r="AB44" s="152" t="s">
        <v>640</v>
      </c>
      <c r="AC44" s="152" t="s">
        <v>1270</v>
      </c>
      <c r="AD44" s="152" t="s">
        <v>691</v>
      </c>
      <c r="AE44" s="152" t="s">
        <v>637</v>
      </c>
      <c r="AF44" s="152" t="s">
        <v>637</v>
      </c>
      <c r="AG44" s="152" t="s">
        <v>637</v>
      </c>
      <c r="AH44" s="152" t="s">
        <v>664</v>
      </c>
      <c r="AI44" s="152" t="s">
        <v>628</v>
      </c>
      <c r="AJ44" s="152" t="s">
        <v>680</v>
      </c>
      <c r="AK44" s="152" t="s">
        <v>634</v>
      </c>
      <c r="AL44" s="152" t="s">
        <v>637</v>
      </c>
      <c r="AM44" s="152" t="s">
        <v>1301</v>
      </c>
      <c r="AO44" s="152" t="s">
        <v>631</v>
      </c>
      <c r="AP44" s="152" t="s">
        <v>628</v>
      </c>
      <c r="AQ44" s="152" t="s">
        <v>662</v>
      </c>
      <c r="AR44" s="152" t="s">
        <v>629</v>
      </c>
      <c r="AS44" s="152" t="s">
        <v>628</v>
      </c>
      <c r="AT44" s="152" t="s">
        <v>702</v>
      </c>
      <c r="AU44" s="152">
        <v>2020</v>
      </c>
      <c r="AV44" s="339">
        <v>6995</v>
      </c>
      <c r="AW44" s="339">
        <v>2004684</v>
      </c>
      <c r="AX44" s="152">
        <v>30</v>
      </c>
      <c r="AY44" s="152">
        <v>0</v>
      </c>
      <c r="AZ44" s="152">
        <v>75</v>
      </c>
      <c r="BA44" s="152">
        <v>2.4424716999999999E-2</v>
      </c>
      <c r="BB44" s="152">
        <v>676</v>
      </c>
      <c r="BC44" s="152">
        <v>90</v>
      </c>
      <c r="BD44" s="152">
        <v>7.8189998000000003</v>
      </c>
    </row>
    <row r="45" spans="1:56" x14ac:dyDescent="0.25">
      <c r="A45" s="152" t="s">
        <v>1207</v>
      </c>
      <c r="B45" s="152">
        <v>43.609046999999997</v>
      </c>
      <c r="C45" s="152">
        <v>-96.997333999999995</v>
      </c>
      <c r="D45" s="152">
        <v>29</v>
      </c>
      <c r="E45" s="152" t="s">
        <v>697</v>
      </c>
      <c r="F45" s="152">
        <v>2019</v>
      </c>
      <c r="G45" s="340">
        <v>43735.001388888886</v>
      </c>
      <c r="H45" s="152" t="s">
        <v>637</v>
      </c>
      <c r="I45" s="152" t="s">
        <v>696</v>
      </c>
      <c r="J45" s="152" t="s">
        <v>697</v>
      </c>
      <c r="L45" s="152" t="s">
        <v>1055</v>
      </c>
      <c r="M45" s="152" t="s">
        <v>648</v>
      </c>
      <c r="N45" s="152" t="s">
        <v>637</v>
      </c>
      <c r="O45" s="152" t="s">
        <v>647</v>
      </c>
      <c r="P45" s="152" t="s">
        <v>696</v>
      </c>
      <c r="Q45" s="152" t="s">
        <v>637</v>
      </c>
      <c r="R45" s="152" t="s">
        <v>701</v>
      </c>
      <c r="S45" s="152" t="s">
        <v>637</v>
      </c>
      <c r="T45" s="152" t="s">
        <v>701</v>
      </c>
      <c r="U45" s="152" t="s">
        <v>644</v>
      </c>
      <c r="V45" s="152" t="s">
        <v>199</v>
      </c>
      <c r="W45" s="152" t="s">
        <v>643</v>
      </c>
      <c r="Y45" s="152" t="s">
        <v>637</v>
      </c>
      <c r="Z45" s="152" t="s">
        <v>696</v>
      </c>
      <c r="AA45" s="152" t="s">
        <v>665</v>
      </c>
      <c r="AB45" s="152" t="s">
        <v>640</v>
      </c>
      <c r="AC45" s="152" t="s">
        <v>701</v>
      </c>
      <c r="AD45" s="152" t="s">
        <v>706</v>
      </c>
      <c r="AE45" s="152" t="s">
        <v>637</v>
      </c>
      <c r="AF45" s="152" t="s">
        <v>637</v>
      </c>
      <c r="AG45" s="152" t="s">
        <v>637</v>
      </c>
      <c r="AH45" s="152" t="s">
        <v>664</v>
      </c>
      <c r="AI45" s="152" t="s">
        <v>699</v>
      </c>
      <c r="AJ45" s="152" t="s">
        <v>696</v>
      </c>
      <c r="AL45" s="152" t="s">
        <v>637</v>
      </c>
      <c r="AM45" s="152" t="s">
        <v>1300</v>
      </c>
      <c r="AO45" s="152" t="s">
        <v>631</v>
      </c>
      <c r="AP45" s="152" t="s">
        <v>697</v>
      </c>
      <c r="AQ45" s="152" t="s">
        <v>671</v>
      </c>
      <c r="AS45" s="152" t="s">
        <v>696</v>
      </c>
      <c r="AT45" s="152" t="s">
        <v>702</v>
      </c>
      <c r="AU45" s="152">
        <v>2019</v>
      </c>
      <c r="AV45" s="339">
        <v>6995</v>
      </c>
      <c r="AW45" s="339">
        <v>1913030</v>
      </c>
      <c r="AX45" s="152">
        <v>27</v>
      </c>
      <c r="AY45" s="152">
        <v>-1</v>
      </c>
      <c r="AZ45" s="152">
        <v>75</v>
      </c>
      <c r="BA45" s="152">
        <v>8.0519075999999995E-2</v>
      </c>
      <c r="BB45" s="152">
        <v>587</v>
      </c>
      <c r="BC45" s="152">
        <v>90</v>
      </c>
      <c r="BD45" s="152">
        <v>7.8189998000000003</v>
      </c>
    </row>
    <row r="46" spans="1:56" x14ac:dyDescent="0.25">
      <c r="A46" s="152" t="s">
        <v>1207</v>
      </c>
      <c r="B46" s="152">
        <v>43.609048000000001</v>
      </c>
      <c r="C46" s="152">
        <v>-96.998945000000006</v>
      </c>
      <c r="D46" s="152">
        <v>29</v>
      </c>
      <c r="E46" s="152" t="s">
        <v>697</v>
      </c>
      <c r="F46" s="152">
        <v>2017</v>
      </c>
      <c r="G46" s="340">
        <v>42927.571527777778</v>
      </c>
      <c r="H46" s="152" t="s">
        <v>637</v>
      </c>
      <c r="I46" s="152" t="s">
        <v>696</v>
      </c>
      <c r="J46" s="152" t="s">
        <v>697</v>
      </c>
      <c r="L46" s="152" t="s">
        <v>1055</v>
      </c>
      <c r="M46" s="152" t="s">
        <v>736</v>
      </c>
      <c r="N46" s="152" t="s">
        <v>637</v>
      </c>
      <c r="O46" s="152" t="s">
        <v>647</v>
      </c>
      <c r="P46" s="152" t="s">
        <v>696</v>
      </c>
      <c r="Q46" s="152" t="s">
        <v>637</v>
      </c>
      <c r="R46" s="152" t="s">
        <v>701</v>
      </c>
      <c r="S46" s="152" t="s">
        <v>637</v>
      </c>
      <c r="T46" s="152" t="s">
        <v>701</v>
      </c>
      <c r="U46" s="152" t="s">
        <v>644</v>
      </c>
      <c r="V46" s="152" t="s">
        <v>199</v>
      </c>
      <c r="W46" s="152" t="s">
        <v>643</v>
      </c>
      <c r="Y46" s="152" t="s">
        <v>637</v>
      </c>
      <c r="Z46" s="152" t="s">
        <v>642</v>
      </c>
      <c r="AA46" s="152" t="s">
        <v>641</v>
      </c>
      <c r="AB46" s="152" t="s">
        <v>640</v>
      </c>
      <c r="AC46" s="152" t="s">
        <v>701</v>
      </c>
      <c r="AD46" s="152" t="s">
        <v>805</v>
      </c>
      <c r="AE46" s="152" t="s">
        <v>637</v>
      </c>
      <c r="AF46" s="152" t="s">
        <v>637</v>
      </c>
      <c r="AG46" s="152" t="s">
        <v>637</v>
      </c>
      <c r="AH46" s="152" t="s">
        <v>664</v>
      </c>
      <c r="AI46" s="152" t="s">
        <v>699</v>
      </c>
      <c r="AJ46" s="152" t="s">
        <v>696</v>
      </c>
      <c r="AL46" s="152" t="s">
        <v>637</v>
      </c>
      <c r="AM46" s="152" t="s">
        <v>1299</v>
      </c>
      <c r="AO46" s="152" t="s">
        <v>631</v>
      </c>
      <c r="AP46" s="152" t="s">
        <v>697</v>
      </c>
      <c r="AQ46" s="152" t="s">
        <v>630</v>
      </c>
      <c r="AS46" s="152" t="s">
        <v>696</v>
      </c>
      <c r="AT46" s="152" t="s">
        <v>702</v>
      </c>
      <c r="AU46" s="152">
        <v>2017</v>
      </c>
      <c r="AV46" s="339">
        <v>6995</v>
      </c>
      <c r="AW46" s="339">
        <v>1708450</v>
      </c>
      <c r="AX46" s="152">
        <v>11</v>
      </c>
      <c r="AY46" s="152">
        <v>-1</v>
      </c>
      <c r="AZ46" s="152">
        <v>75</v>
      </c>
      <c r="BA46" s="152">
        <v>3.9085229999999999E-2</v>
      </c>
      <c r="BB46" s="152">
        <v>258</v>
      </c>
      <c r="BC46" s="152">
        <v>90</v>
      </c>
      <c r="BD46" s="152">
        <v>7.8189998000000003</v>
      </c>
    </row>
    <row r="47" spans="1:56" x14ac:dyDescent="0.25">
      <c r="A47" s="152" t="s">
        <v>1207</v>
      </c>
      <c r="B47" s="152">
        <v>43.609048000000001</v>
      </c>
      <c r="C47" s="152">
        <v>-96.995902999999998</v>
      </c>
      <c r="D47" s="152">
        <v>29</v>
      </c>
      <c r="E47" s="152" t="s">
        <v>652</v>
      </c>
      <c r="F47" s="152">
        <v>2019</v>
      </c>
      <c r="G47" s="340">
        <v>43795.6875</v>
      </c>
      <c r="H47" s="152" t="s">
        <v>637</v>
      </c>
      <c r="I47" s="152" t="s">
        <v>669</v>
      </c>
      <c r="J47" s="152" t="s">
        <v>694</v>
      </c>
      <c r="L47" s="152" t="s">
        <v>1055</v>
      </c>
      <c r="M47" s="152" t="s">
        <v>736</v>
      </c>
      <c r="N47" s="152" t="s">
        <v>637</v>
      </c>
      <c r="O47" s="152" t="s">
        <v>647</v>
      </c>
      <c r="P47" s="152" t="s">
        <v>646</v>
      </c>
      <c r="Q47" s="152" t="s">
        <v>637</v>
      </c>
      <c r="R47" s="152" t="s">
        <v>957</v>
      </c>
      <c r="S47" s="152" t="s">
        <v>637</v>
      </c>
      <c r="T47" s="152" t="s">
        <v>956</v>
      </c>
      <c r="U47" s="152" t="s">
        <v>644</v>
      </c>
      <c r="V47" s="152" t="s">
        <v>199</v>
      </c>
      <c r="W47" s="152" t="s">
        <v>643</v>
      </c>
      <c r="Y47" s="152" t="s">
        <v>637</v>
      </c>
      <c r="Z47" s="152" t="s">
        <v>642</v>
      </c>
      <c r="AA47" s="152" t="s">
        <v>856</v>
      </c>
      <c r="AB47" s="152" t="s">
        <v>640</v>
      </c>
      <c r="AC47" s="152" t="s">
        <v>956</v>
      </c>
      <c r="AD47" s="152" t="s">
        <v>673</v>
      </c>
      <c r="AE47" s="152" t="s">
        <v>637</v>
      </c>
      <c r="AF47" s="152" t="s">
        <v>637</v>
      </c>
      <c r="AG47" s="152" t="s">
        <v>637</v>
      </c>
      <c r="AH47" s="152" t="s">
        <v>677</v>
      </c>
      <c r="AI47" s="152" t="s">
        <v>655</v>
      </c>
      <c r="AJ47" s="152" t="s">
        <v>635</v>
      </c>
      <c r="AK47" s="152" t="s">
        <v>634</v>
      </c>
      <c r="AL47" s="152" t="s">
        <v>633</v>
      </c>
      <c r="AM47" s="152" t="s">
        <v>710</v>
      </c>
      <c r="AO47" s="152" t="s">
        <v>631</v>
      </c>
      <c r="AP47" s="152" t="s">
        <v>628</v>
      </c>
      <c r="AQ47" s="152" t="s">
        <v>630</v>
      </c>
      <c r="AR47" s="152" t="s">
        <v>629</v>
      </c>
      <c r="AS47" s="152" t="s">
        <v>628</v>
      </c>
      <c r="AT47" s="152" t="s">
        <v>689</v>
      </c>
      <c r="AU47" s="152">
        <v>2019</v>
      </c>
      <c r="AV47" s="339">
        <v>6995</v>
      </c>
      <c r="AW47" s="339">
        <v>1917909</v>
      </c>
      <c r="AX47" s="152">
        <v>26</v>
      </c>
      <c r="AY47" s="152">
        <v>0</v>
      </c>
      <c r="AZ47" s="152">
        <v>75</v>
      </c>
      <c r="BA47" s="152">
        <v>0.23312499</v>
      </c>
      <c r="BB47" s="152">
        <v>615</v>
      </c>
      <c r="BC47" s="152">
        <v>90</v>
      </c>
      <c r="BD47" s="152">
        <v>7.8189998000000003</v>
      </c>
    </row>
    <row r="48" spans="1:56" x14ac:dyDescent="0.25">
      <c r="A48" s="152" t="s">
        <v>1207</v>
      </c>
      <c r="B48" s="152">
        <v>43.609048000000001</v>
      </c>
      <c r="C48" s="152">
        <v>-96.995523000000006</v>
      </c>
      <c r="D48" s="152">
        <v>29</v>
      </c>
      <c r="E48" s="152" t="s">
        <v>652</v>
      </c>
      <c r="F48" s="152">
        <v>2017</v>
      </c>
      <c r="G48" s="340">
        <v>42851.634027777778</v>
      </c>
      <c r="H48" s="152" t="s">
        <v>637</v>
      </c>
      <c r="I48" s="152" t="s">
        <v>669</v>
      </c>
      <c r="J48" s="152" t="s">
        <v>650</v>
      </c>
      <c r="L48" s="152" t="s">
        <v>1055</v>
      </c>
      <c r="M48" s="152" t="s">
        <v>676</v>
      </c>
      <c r="N48" s="152" t="s">
        <v>637</v>
      </c>
      <c r="O48" s="152" t="s">
        <v>647</v>
      </c>
      <c r="P48" s="152" t="s">
        <v>628</v>
      </c>
      <c r="Q48" s="152" t="s">
        <v>637</v>
      </c>
      <c r="R48" s="152" t="s">
        <v>1295</v>
      </c>
      <c r="S48" s="152" t="s">
        <v>637</v>
      </c>
      <c r="T48" s="152" t="s">
        <v>1295</v>
      </c>
      <c r="U48" s="152" t="s">
        <v>644</v>
      </c>
      <c r="V48" s="152" t="s">
        <v>199</v>
      </c>
      <c r="W48" s="152" t="s">
        <v>643</v>
      </c>
      <c r="Y48" s="152" t="s">
        <v>637</v>
      </c>
      <c r="Z48" s="152" t="s">
        <v>642</v>
      </c>
      <c r="AA48" s="152" t="s">
        <v>641</v>
      </c>
      <c r="AB48" s="152" t="s">
        <v>640</v>
      </c>
      <c r="AC48" s="152" t="s">
        <v>1295</v>
      </c>
      <c r="AD48" s="152" t="s">
        <v>787</v>
      </c>
      <c r="AE48" s="152" t="s">
        <v>637</v>
      </c>
      <c r="AF48" s="152" t="s">
        <v>637</v>
      </c>
      <c r="AG48" s="152" t="s">
        <v>637</v>
      </c>
      <c r="AH48" s="152" t="s">
        <v>664</v>
      </c>
      <c r="AI48" s="152" t="s">
        <v>628</v>
      </c>
      <c r="AJ48" s="152" t="s">
        <v>635</v>
      </c>
      <c r="AK48" s="152" t="s">
        <v>634</v>
      </c>
      <c r="AL48" s="152" t="s">
        <v>637</v>
      </c>
      <c r="AM48" s="152" t="s">
        <v>1298</v>
      </c>
      <c r="AO48" s="152" t="s">
        <v>631</v>
      </c>
      <c r="AP48" s="152" t="s">
        <v>1297</v>
      </c>
      <c r="AQ48" s="152" t="s">
        <v>630</v>
      </c>
      <c r="AR48" s="152" t="s">
        <v>629</v>
      </c>
      <c r="AS48" s="152" t="s">
        <v>628</v>
      </c>
      <c r="AT48" s="152" t="s">
        <v>702</v>
      </c>
      <c r="AU48" s="152">
        <v>2017</v>
      </c>
      <c r="AV48" s="339">
        <v>6995</v>
      </c>
      <c r="AW48" s="339">
        <v>1704963</v>
      </c>
      <c r="AX48" s="152">
        <v>26</v>
      </c>
      <c r="AY48" s="152">
        <v>0</v>
      </c>
      <c r="AZ48" s="152">
        <v>75</v>
      </c>
      <c r="BA48" s="152">
        <v>9.8634166999999995E-2</v>
      </c>
      <c r="BB48" s="152">
        <v>212</v>
      </c>
      <c r="BC48" s="152">
        <v>90</v>
      </c>
      <c r="BD48" s="152">
        <v>7.8189998000000003</v>
      </c>
    </row>
    <row r="49" spans="1:56" x14ac:dyDescent="0.25">
      <c r="A49" s="152" t="s">
        <v>1207</v>
      </c>
      <c r="B49" s="152">
        <v>43.609048999999999</v>
      </c>
      <c r="C49" s="152">
        <v>-97.000236000000001</v>
      </c>
      <c r="D49" s="152">
        <v>29</v>
      </c>
      <c r="E49" s="152" t="s">
        <v>697</v>
      </c>
      <c r="F49" s="152">
        <v>2019</v>
      </c>
      <c r="G49" s="340">
        <v>43571.927083333336</v>
      </c>
      <c r="H49" s="152" t="s">
        <v>637</v>
      </c>
      <c r="I49" s="152" t="s">
        <v>696</v>
      </c>
      <c r="J49" s="152" t="s">
        <v>697</v>
      </c>
      <c r="L49" s="152" t="s">
        <v>1055</v>
      </c>
      <c r="M49" s="152" t="s">
        <v>736</v>
      </c>
      <c r="N49" s="152" t="s">
        <v>637</v>
      </c>
      <c r="O49" s="152" t="s">
        <v>647</v>
      </c>
      <c r="P49" s="152" t="s">
        <v>696</v>
      </c>
      <c r="Q49" s="152" t="s">
        <v>637</v>
      </c>
      <c r="R49" s="152" t="s">
        <v>701</v>
      </c>
      <c r="S49" s="152" t="s">
        <v>637</v>
      </c>
      <c r="T49" s="152" t="s">
        <v>701</v>
      </c>
      <c r="U49" s="152" t="s">
        <v>644</v>
      </c>
      <c r="V49" s="152" t="s">
        <v>199</v>
      </c>
      <c r="W49" s="152" t="s">
        <v>643</v>
      </c>
      <c r="Y49" s="152" t="s">
        <v>637</v>
      </c>
      <c r="Z49" s="152" t="s">
        <v>696</v>
      </c>
      <c r="AA49" s="152" t="s">
        <v>665</v>
      </c>
      <c r="AB49" s="152" t="s">
        <v>640</v>
      </c>
      <c r="AC49" s="152" t="s">
        <v>701</v>
      </c>
      <c r="AD49" s="152" t="s">
        <v>787</v>
      </c>
      <c r="AE49" s="152" t="s">
        <v>637</v>
      </c>
      <c r="AF49" s="152" t="s">
        <v>637</v>
      </c>
      <c r="AG49" s="152" t="s">
        <v>637</v>
      </c>
      <c r="AH49" s="152" t="s">
        <v>664</v>
      </c>
      <c r="AI49" s="152" t="s">
        <v>699</v>
      </c>
      <c r="AJ49" s="152" t="s">
        <v>696</v>
      </c>
      <c r="AL49" s="152" t="s">
        <v>637</v>
      </c>
      <c r="AM49" s="152" t="s">
        <v>987</v>
      </c>
      <c r="AO49" s="152" t="s">
        <v>631</v>
      </c>
      <c r="AP49" s="152" t="s">
        <v>697</v>
      </c>
      <c r="AQ49" s="152" t="s">
        <v>630</v>
      </c>
      <c r="AS49" s="152" t="s">
        <v>696</v>
      </c>
      <c r="AT49" s="152" t="s">
        <v>702</v>
      </c>
      <c r="AU49" s="152">
        <v>2019</v>
      </c>
      <c r="AV49" s="339">
        <v>6995</v>
      </c>
      <c r="AW49" s="339">
        <v>1903834</v>
      </c>
      <c r="AX49" s="152">
        <v>16</v>
      </c>
      <c r="AY49" s="152">
        <v>-1</v>
      </c>
      <c r="AZ49" s="152">
        <v>75</v>
      </c>
      <c r="BA49" s="152">
        <v>8.4112782999999997E-2</v>
      </c>
      <c r="BB49" s="152">
        <v>528</v>
      </c>
      <c r="BC49" s="152">
        <v>90</v>
      </c>
      <c r="BD49" s="152">
        <v>7.8189998000000003</v>
      </c>
    </row>
    <row r="50" spans="1:56" x14ac:dyDescent="0.25">
      <c r="A50" s="152" t="s">
        <v>1207</v>
      </c>
      <c r="B50" s="152">
        <v>43.609050000000003</v>
      </c>
      <c r="C50" s="152">
        <v>-96.997579999999999</v>
      </c>
      <c r="D50" s="152">
        <v>29</v>
      </c>
      <c r="E50" s="152" t="s">
        <v>652</v>
      </c>
      <c r="F50" s="152">
        <v>2017</v>
      </c>
      <c r="G50" s="340">
        <v>42971.920138888891</v>
      </c>
      <c r="H50" s="152" t="s">
        <v>637</v>
      </c>
      <c r="I50" s="152" t="s">
        <v>669</v>
      </c>
      <c r="J50" s="152" t="s">
        <v>650</v>
      </c>
      <c r="L50" s="152" t="s">
        <v>1055</v>
      </c>
      <c r="M50" s="152" t="s">
        <v>668</v>
      </c>
      <c r="N50" s="152" t="s">
        <v>637</v>
      </c>
      <c r="O50" s="152" t="s">
        <v>647</v>
      </c>
      <c r="P50" s="152" t="s">
        <v>628</v>
      </c>
      <c r="Q50" s="152" t="s">
        <v>637</v>
      </c>
      <c r="R50" s="152" t="s">
        <v>1296</v>
      </c>
      <c r="S50" s="152" t="s">
        <v>637</v>
      </c>
      <c r="T50" s="152" t="s">
        <v>1295</v>
      </c>
      <c r="U50" s="152" t="s">
        <v>644</v>
      </c>
      <c r="V50" s="152" t="s">
        <v>199</v>
      </c>
      <c r="W50" s="152" t="s">
        <v>643</v>
      </c>
      <c r="Y50" s="152" t="s">
        <v>637</v>
      </c>
      <c r="Z50" s="152" t="s">
        <v>642</v>
      </c>
      <c r="AA50" s="152" t="s">
        <v>665</v>
      </c>
      <c r="AB50" s="152" t="s">
        <v>640</v>
      </c>
      <c r="AC50" s="152" t="s">
        <v>1295</v>
      </c>
      <c r="AD50" s="152" t="s">
        <v>738</v>
      </c>
      <c r="AE50" s="152" t="s">
        <v>637</v>
      </c>
      <c r="AF50" s="152" t="s">
        <v>637</v>
      </c>
      <c r="AG50" s="152" t="s">
        <v>637</v>
      </c>
      <c r="AH50" s="152" t="s">
        <v>664</v>
      </c>
      <c r="AI50" s="152" t="s">
        <v>628</v>
      </c>
      <c r="AJ50" s="152" t="s">
        <v>680</v>
      </c>
      <c r="AK50" s="152" t="s">
        <v>634</v>
      </c>
      <c r="AL50" s="152" t="s">
        <v>637</v>
      </c>
      <c r="AM50" s="152" t="s">
        <v>1294</v>
      </c>
      <c r="AO50" s="152" t="s">
        <v>631</v>
      </c>
      <c r="AP50" s="152" t="s">
        <v>1293</v>
      </c>
      <c r="AQ50" s="152" t="s">
        <v>630</v>
      </c>
      <c r="AR50" s="152" t="s">
        <v>629</v>
      </c>
      <c r="AS50" s="152" t="s">
        <v>628</v>
      </c>
      <c r="AT50" s="152" t="s">
        <v>702</v>
      </c>
      <c r="AU50" s="152">
        <v>2017</v>
      </c>
      <c r="AV50" s="339">
        <v>6995</v>
      </c>
      <c r="AW50" s="339">
        <v>1710525</v>
      </c>
      <c r="AX50" s="152">
        <v>24</v>
      </c>
      <c r="AY50" s="152">
        <v>0</v>
      </c>
      <c r="AZ50" s="152">
        <v>75</v>
      </c>
      <c r="BA50" s="152">
        <v>1.1112706210000001</v>
      </c>
      <c r="BB50" s="152">
        <v>273</v>
      </c>
      <c r="BC50" s="152">
        <v>90</v>
      </c>
      <c r="BD50" s="152">
        <v>7.8189998000000003</v>
      </c>
    </row>
    <row r="51" spans="1:56" x14ac:dyDescent="0.25">
      <c r="A51" s="152" t="s">
        <v>1207</v>
      </c>
      <c r="B51" s="152">
        <v>43.609050000000003</v>
      </c>
      <c r="C51" s="152">
        <v>-96.993328000000005</v>
      </c>
      <c r="D51" s="152">
        <v>29</v>
      </c>
      <c r="E51" s="152" t="s">
        <v>697</v>
      </c>
      <c r="F51" s="152">
        <v>2017</v>
      </c>
      <c r="G51" s="340">
        <v>42914.9375</v>
      </c>
      <c r="H51" s="152" t="s">
        <v>637</v>
      </c>
      <c r="I51" s="152" t="s">
        <v>696</v>
      </c>
      <c r="J51" s="152" t="s">
        <v>697</v>
      </c>
      <c r="L51" s="152" t="s">
        <v>1055</v>
      </c>
      <c r="M51" s="152" t="s">
        <v>676</v>
      </c>
      <c r="N51" s="152" t="s">
        <v>637</v>
      </c>
      <c r="O51" s="152" t="s">
        <v>647</v>
      </c>
      <c r="P51" s="152" t="s">
        <v>696</v>
      </c>
      <c r="Q51" s="152" t="s">
        <v>637</v>
      </c>
      <c r="R51" s="152" t="s">
        <v>701</v>
      </c>
      <c r="S51" s="152" t="s">
        <v>637</v>
      </c>
      <c r="T51" s="152" t="s">
        <v>701</v>
      </c>
      <c r="U51" s="152" t="s">
        <v>644</v>
      </c>
      <c r="V51" s="152" t="s">
        <v>199</v>
      </c>
      <c r="W51" s="152" t="s">
        <v>643</v>
      </c>
      <c r="Y51" s="152" t="s">
        <v>637</v>
      </c>
      <c r="Z51" s="152" t="s">
        <v>642</v>
      </c>
      <c r="AA51" s="152" t="s">
        <v>665</v>
      </c>
      <c r="AB51" s="152" t="s">
        <v>640</v>
      </c>
      <c r="AC51" s="152" t="s">
        <v>701</v>
      </c>
      <c r="AD51" s="152" t="s">
        <v>771</v>
      </c>
      <c r="AE51" s="152" t="s">
        <v>637</v>
      </c>
      <c r="AF51" s="152" t="s">
        <v>637</v>
      </c>
      <c r="AG51" s="152" t="s">
        <v>637</v>
      </c>
      <c r="AH51" s="152" t="s">
        <v>664</v>
      </c>
      <c r="AI51" s="152" t="s">
        <v>699</v>
      </c>
      <c r="AJ51" s="152" t="s">
        <v>696</v>
      </c>
      <c r="AL51" s="152" t="s">
        <v>637</v>
      </c>
      <c r="AM51" s="152" t="s">
        <v>770</v>
      </c>
      <c r="AO51" s="152" t="s">
        <v>631</v>
      </c>
      <c r="AP51" s="152" t="s">
        <v>697</v>
      </c>
      <c r="AQ51" s="152" t="s">
        <v>630</v>
      </c>
      <c r="AS51" s="152" t="s">
        <v>696</v>
      </c>
      <c r="AT51" s="152" t="s">
        <v>702</v>
      </c>
      <c r="AU51" s="152">
        <v>2017</v>
      </c>
      <c r="AV51" s="339">
        <v>6995</v>
      </c>
      <c r="AW51" s="339">
        <v>1707995</v>
      </c>
      <c r="AX51" s="152">
        <v>28</v>
      </c>
      <c r="AY51" s="152">
        <v>-1</v>
      </c>
      <c r="AZ51" s="152">
        <v>75</v>
      </c>
      <c r="BA51" s="152">
        <v>5.8852608000000001E-2</v>
      </c>
      <c r="BB51" s="152">
        <v>252</v>
      </c>
      <c r="BC51" s="152">
        <v>90</v>
      </c>
      <c r="BD51" s="152">
        <v>7.8189998000000003</v>
      </c>
    </row>
    <row r="52" spans="1:56" x14ac:dyDescent="0.25">
      <c r="A52" s="152" t="s">
        <v>1207</v>
      </c>
      <c r="B52" s="152">
        <v>43.609059999999999</v>
      </c>
      <c r="C52" s="152">
        <v>-96.979375000000005</v>
      </c>
      <c r="D52" s="152">
        <v>29</v>
      </c>
      <c r="E52" s="152" t="s">
        <v>652</v>
      </c>
      <c r="F52" s="152">
        <v>2019</v>
      </c>
      <c r="G52" s="340">
        <v>43534.367361111108</v>
      </c>
      <c r="H52" s="152" t="s">
        <v>637</v>
      </c>
      <c r="I52" s="152" t="s">
        <v>669</v>
      </c>
      <c r="J52" s="152" t="s">
        <v>650</v>
      </c>
      <c r="K52" s="152" t="s">
        <v>743</v>
      </c>
      <c r="L52" s="152" t="s">
        <v>1055</v>
      </c>
      <c r="M52" s="152" t="s">
        <v>712</v>
      </c>
      <c r="N52" s="152" t="s">
        <v>637</v>
      </c>
      <c r="O52" s="152" t="s">
        <v>647</v>
      </c>
      <c r="P52" s="152" t="s">
        <v>758</v>
      </c>
      <c r="Q52" s="152" t="s">
        <v>637</v>
      </c>
      <c r="R52" s="152" t="s">
        <v>825</v>
      </c>
      <c r="S52" s="152" t="s">
        <v>637</v>
      </c>
      <c r="T52" s="152" t="s">
        <v>708</v>
      </c>
      <c r="U52" s="152" t="s">
        <v>644</v>
      </c>
      <c r="V52" s="152" t="s">
        <v>199</v>
      </c>
      <c r="W52" s="152" t="s">
        <v>643</v>
      </c>
      <c r="Y52" s="152" t="s">
        <v>637</v>
      </c>
      <c r="Z52" s="152" t="s">
        <v>642</v>
      </c>
      <c r="AA52" s="152" t="s">
        <v>641</v>
      </c>
      <c r="AB52" s="152" t="s">
        <v>640</v>
      </c>
      <c r="AC52" s="152" t="s">
        <v>708</v>
      </c>
      <c r="AD52" s="152" t="s">
        <v>691</v>
      </c>
      <c r="AE52" s="152" t="s">
        <v>637</v>
      </c>
      <c r="AF52" s="152" t="s">
        <v>637</v>
      </c>
      <c r="AG52" s="152" t="s">
        <v>637</v>
      </c>
      <c r="AH52" s="152" t="s">
        <v>636</v>
      </c>
      <c r="AI52" s="152" t="s">
        <v>655</v>
      </c>
      <c r="AJ52" s="152" t="s">
        <v>635</v>
      </c>
      <c r="AK52" s="152" t="s">
        <v>634</v>
      </c>
      <c r="AL52" s="152" t="s">
        <v>637</v>
      </c>
      <c r="AM52" s="152" t="s">
        <v>1292</v>
      </c>
      <c r="AO52" s="152" t="s">
        <v>631</v>
      </c>
      <c r="AP52" s="152" t="s">
        <v>628</v>
      </c>
      <c r="AQ52" s="152" t="s">
        <v>671</v>
      </c>
      <c r="AR52" s="152" t="s">
        <v>629</v>
      </c>
      <c r="AS52" s="152" t="s">
        <v>628</v>
      </c>
      <c r="AT52" s="152" t="s">
        <v>702</v>
      </c>
      <c r="AU52" s="152">
        <v>2019</v>
      </c>
      <c r="AV52" s="339">
        <v>6995</v>
      </c>
      <c r="AW52" s="339">
        <v>1902612</v>
      </c>
      <c r="AX52" s="152">
        <v>10</v>
      </c>
      <c r="AY52" s="152">
        <v>0</v>
      </c>
      <c r="AZ52" s="152">
        <v>75</v>
      </c>
      <c r="BA52" s="152">
        <v>6.0518230999999999E-2</v>
      </c>
      <c r="BB52" s="152">
        <v>518</v>
      </c>
      <c r="BC52" s="152">
        <v>90</v>
      </c>
      <c r="BD52" s="152">
        <v>7.8189998000000003</v>
      </c>
    </row>
    <row r="53" spans="1:56" x14ac:dyDescent="0.25">
      <c r="A53" s="152" t="s">
        <v>1207</v>
      </c>
      <c r="B53" s="152">
        <v>43.609062000000002</v>
      </c>
      <c r="C53" s="152">
        <v>-96.973654999999994</v>
      </c>
      <c r="D53" s="152">
        <v>29</v>
      </c>
      <c r="E53" s="152" t="s">
        <v>652</v>
      </c>
      <c r="F53" s="152">
        <v>2016</v>
      </c>
      <c r="G53" s="340">
        <v>42590.416666666664</v>
      </c>
      <c r="H53" s="152" t="s">
        <v>637</v>
      </c>
      <c r="I53" s="152" t="s">
        <v>669</v>
      </c>
      <c r="J53" s="152" t="s">
        <v>935</v>
      </c>
      <c r="K53" s="152" t="s">
        <v>775</v>
      </c>
      <c r="L53" s="152" t="s">
        <v>1055</v>
      </c>
      <c r="M53" s="152" t="s">
        <v>685</v>
      </c>
      <c r="N53" s="152" t="s">
        <v>637</v>
      </c>
      <c r="O53" s="152" t="s">
        <v>647</v>
      </c>
      <c r="P53" s="152" t="s">
        <v>774</v>
      </c>
      <c r="Q53" s="152" t="s">
        <v>637</v>
      </c>
      <c r="R53" s="152" t="s">
        <v>656</v>
      </c>
      <c r="S53" s="152" t="s">
        <v>637</v>
      </c>
      <c r="T53" s="152" t="s">
        <v>656</v>
      </c>
      <c r="U53" s="152" t="s">
        <v>644</v>
      </c>
      <c r="V53" s="152" t="s">
        <v>199</v>
      </c>
      <c r="W53" s="152" t="s">
        <v>643</v>
      </c>
      <c r="Y53" s="152" t="s">
        <v>637</v>
      </c>
      <c r="Z53" s="152" t="s">
        <v>642</v>
      </c>
      <c r="AA53" s="152" t="s">
        <v>641</v>
      </c>
      <c r="AB53" s="152" t="s">
        <v>728</v>
      </c>
      <c r="AC53" s="152" t="s">
        <v>656</v>
      </c>
      <c r="AD53" s="152" t="s">
        <v>738</v>
      </c>
      <c r="AE53" s="152" t="s">
        <v>637</v>
      </c>
      <c r="AF53" s="152" t="s">
        <v>637</v>
      </c>
      <c r="AG53" s="152" t="s">
        <v>637</v>
      </c>
      <c r="AH53" s="152" t="s">
        <v>664</v>
      </c>
      <c r="AI53" s="152" t="s">
        <v>628</v>
      </c>
      <c r="AJ53" s="152" t="s">
        <v>635</v>
      </c>
      <c r="AK53" s="152" t="s">
        <v>634</v>
      </c>
      <c r="AL53" s="152" t="s">
        <v>637</v>
      </c>
      <c r="AM53" s="152" t="s">
        <v>898</v>
      </c>
      <c r="AO53" s="152" t="s">
        <v>631</v>
      </c>
      <c r="AP53" s="152" t="s">
        <v>628</v>
      </c>
      <c r="AQ53" s="152" t="s">
        <v>779</v>
      </c>
      <c r="AR53" s="152" t="s">
        <v>772</v>
      </c>
      <c r="AS53" s="152" t="s">
        <v>628</v>
      </c>
      <c r="AT53" s="152" t="s">
        <v>702</v>
      </c>
      <c r="AU53" s="152">
        <v>2016</v>
      </c>
      <c r="AV53" s="339">
        <v>6995</v>
      </c>
      <c r="AW53" s="339">
        <v>1609563</v>
      </c>
      <c r="AX53" s="152">
        <v>8</v>
      </c>
      <c r="AY53" s="152">
        <v>0</v>
      </c>
      <c r="AZ53" s="152">
        <v>75</v>
      </c>
      <c r="BA53" s="152">
        <v>2.093888384</v>
      </c>
      <c r="BB53" s="152">
        <v>96</v>
      </c>
      <c r="BC53" s="152">
        <v>90</v>
      </c>
      <c r="BD53" s="152">
        <v>7.8189998000000003</v>
      </c>
    </row>
    <row r="54" spans="1:56" x14ac:dyDescent="0.25">
      <c r="A54" s="152" t="s">
        <v>1207</v>
      </c>
      <c r="B54" s="152">
        <v>43.609062999999999</v>
      </c>
      <c r="C54" s="152">
        <v>-96.978430000000003</v>
      </c>
      <c r="D54" s="152">
        <v>29</v>
      </c>
      <c r="E54" s="152" t="s">
        <v>652</v>
      </c>
      <c r="F54" s="152">
        <v>2016</v>
      </c>
      <c r="G54" s="340">
        <v>42408.283333333333</v>
      </c>
      <c r="H54" s="152" t="s">
        <v>637</v>
      </c>
      <c r="I54" s="152" t="s">
        <v>669</v>
      </c>
      <c r="J54" s="152" t="s">
        <v>1291</v>
      </c>
      <c r="L54" s="152" t="s">
        <v>1055</v>
      </c>
      <c r="M54" s="152" t="s">
        <v>685</v>
      </c>
      <c r="N54" s="152" t="s">
        <v>637</v>
      </c>
      <c r="O54" s="152" t="s">
        <v>647</v>
      </c>
      <c r="P54" s="152" t="s">
        <v>1290</v>
      </c>
      <c r="Q54" s="152" t="s">
        <v>637</v>
      </c>
      <c r="R54" s="152" t="s">
        <v>1289</v>
      </c>
      <c r="S54" s="152" t="s">
        <v>637</v>
      </c>
      <c r="T54" s="152" t="s">
        <v>1237</v>
      </c>
      <c r="U54" s="152" t="s">
        <v>644</v>
      </c>
      <c r="V54" s="152" t="s">
        <v>199</v>
      </c>
      <c r="W54" s="152" t="s">
        <v>643</v>
      </c>
      <c r="Y54" s="152" t="s">
        <v>637</v>
      </c>
      <c r="Z54" s="152" t="s">
        <v>642</v>
      </c>
      <c r="AA54" s="152" t="s">
        <v>782</v>
      </c>
      <c r="AB54" s="152" t="s">
        <v>640</v>
      </c>
      <c r="AC54" s="152" t="s">
        <v>1236</v>
      </c>
      <c r="AD54" s="152" t="s">
        <v>718</v>
      </c>
      <c r="AE54" s="152" t="s">
        <v>637</v>
      </c>
      <c r="AF54" s="152" t="s">
        <v>637</v>
      </c>
      <c r="AG54" s="152" t="s">
        <v>637</v>
      </c>
      <c r="AH54" s="152" t="s">
        <v>677</v>
      </c>
      <c r="AI54" s="152" t="s">
        <v>1235</v>
      </c>
      <c r="AJ54" s="152" t="s">
        <v>635</v>
      </c>
      <c r="AK54" s="152" t="s">
        <v>634</v>
      </c>
      <c r="AL54" s="152" t="s">
        <v>637</v>
      </c>
      <c r="AM54" s="152" t="s">
        <v>1288</v>
      </c>
      <c r="AO54" s="152" t="s">
        <v>1233</v>
      </c>
      <c r="AP54" s="152" t="s">
        <v>986</v>
      </c>
      <c r="AQ54" s="152" t="s">
        <v>703</v>
      </c>
      <c r="AR54" s="152" t="s">
        <v>1232</v>
      </c>
      <c r="AS54" s="152" t="s">
        <v>986</v>
      </c>
      <c r="AT54" s="152" t="s">
        <v>627</v>
      </c>
      <c r="AU54" s="152">
        <v>2016</v>
      </c>
      <c r="AV54" s="339">
        <v>6995</v>
      </c>
      <c r="AW54" s="339">
        <v>1601430</v>
      </c>
      <c r="AX54" s="152">
        <v>8</v>
      </c>
      <c r="AY54" s="152">
        <v>0</v>
      </c>
      <c r="AZ54" s="152">
        <v>75</v>
      </c>
      <c r="BA54" s="152">
        <v>0.28560728400000002</v>
      </c>
      <c r="BB54" s="152">
        <v>25</v>
      </c>
      <c r="BC54" s="152">
        <v>90</v>
      </c>
      <c r="BD54" s="152">
        <v>7.8189998000000003</v>
      </c>
    </row>
    <row r="55" spans="1:56" x14ac:dyDescent="0.25">
      <c r="A55" s="152" t="s">
        <v>1207</v>
      </c>
      <c r="B55" s="152">
        <v>43.609062999999999</v>
      </c>
      <c r="C55" s="152">
        <v>-96.978430000000003</v>
      </c>
      <c r="D55" s="152">
        <v>29</v>
      </c>
      <c r="E55" s="152" t="s">
        <v>652</v>
      </c>
      <c r="F55" s="152">
        <v>2016</v>
      </c>
      <c r="G55" s="340">
        <v>42408.45</v>
      </c>
      <c r="H55" s="152" t="s">
        <v>637</v>
      </c>
      <c r="I55" s="152" t="s">
        <v>669</v>
      </c>
      <c r="J55" s="152" t="s">
        <v>650</v>
      </c>
      <c r="L55" s="152" t="s">
        <v>1055</v>
      </c>
      <c r="M55" s="152" t="s">
        <v>685</v>
      </c>
      <c r="N55" s="152" t="s">
        <v>637</v>
      </c>
      <c r="O55" s="152" t="s">
        <v>647</v>
      </c>
      <c r="P55" s="152" t="s">
        <v>684</v>
      </c>
      <c r="Q55" s="152" t="s">
        <v>637</v>
      </c>
      <c r="R55" s="152" t="s">
        <v>709</v>
      </c>
      <c r="S55" s="152" t="s">
        <v>637</v>
      </c>
      <c r="T55" s="152" t="s">
        <v>708</v>
      </c>
      <c r="U55" s="152" t="s">
        <v>644</v>
      </c>
      <c r="V55" s="152" t="s">
        <v>199</v>
      </c>
      <c r="W55" s="152" t="s">
        <v>643</v>
      </c>
      <c r="Y55" s="152" t="s">
        <v>637</v>
      </c>
      <c r="Z55" s="152" t="s">
        <v>642</v>
      </c>
      <c r="AA55" s="152" t="s">
        <v>641</v>
      </c>
      <c r="AB55" s="152" t="s">
        <v>640</v>
      </c>
      <c r="AC55" s="152" t="s">
        <v>708</v>
      </c>
      <c r="AD55" s="152" t="s">
        <v>718</v>
      </c>
      <c r="AE55" s="152" t="s">
        <v>637</v>
      </c>
      <c r="AF55" s="152" t="s">
        <v>637</v>
      </c>
      <c r="AG55" s="152" t="s">
        <v>637</v>
      </c>
      <c r="AH55" s="152" t="s">
        <v>636</v>
      </c>
      <c r="AI55" s="152" t="s">
        <v>655</v>
      </c>
      <c r="AJ55" s="152" t="s">
        <v>635</v>
      </c>
      <c r="AK55" s="152" t="s">
        <v>634</v>
      </c>
      <c r="AL55" s="152" t="s">
        <v>637</v>
      </c>
      <c r="AM55" s="152" t="s">
        <v>1287</v>
      </c>
      <c r="AO55" s="152" t="s">
        <v>631</v>
      </c>
      <c r="AP55" s="152" t="s">
        <v>628</v>
      </c>
      <c r="AQ55" s="152" t="s">
        <v>671</v>
      </c>
      <c r="AR55" s="152" t="s">
        <v>629</v>
      </c>
      <c r="AS55" s="152" t="s">
        <v>628</v>
      </c>
      <c r="AT55" s="152" t="s">
        <v>627</v>
      </c>
      <c r="AU55" s="152">
        <v>2016</v>
      </c>
      <c r="AV55" s="339">
        <v>6995</v>
      </c>
      <c r="AW55" s="339">
        <v>1601431</v>
      </c>
      <c r="AX55" s="152">
        <v>8</v>
      </c>
      <c r="AY55" s="152">
        <v>0</v>
      </c>
      <c r="AZ55" s="152">
        <v>75</v>
      </c>
      <c r="BA55" s="152">
        <v>0.28560728400000002</v>
      </c>
      <c r="BB55" s="152">
        <v>26</v>
      </c>
      <c r="BC55" s="152">
        <v>90</v>
      </c>
      <c r="BD55" s="152">
        <v>7.8189998000000003</v>
      </c>
    </row>
    <row r="56" spans="1:56" x14ac:dyDescent="0.25">
      <c r="A56" s="152" t="s">
        <v>1207</v>
      </c>
      <c r="B56" s="152">
        <v>43.609071999999998</v>
      </c>
      <c r="C56" s="152">
        <v>-96.962356</v>
      </c>
      <c r="D56" s="152">
        <v>29</v>
      </c>
      <c r="E56" s="152" t="s">
        <v>697</v>
      </c>
      <c r="F56" s="152">
        <v>2017</v>
      </c>
      <c r="G56" s="340">
        <v>42833.243055555555</v>
      </c>
      <c r="H56" s="152" t="s">
        <v>637</v>
      </c>
      <c r="I56" s="152" t="s">
        <v>696</v>
      </c>
      <c r="J56" s="152" t="s">
        <v>697</v>
      </c>
      <c r="L56" s="152" t="s">
        <v>1055</v>
      </c>
      <c r="M56" s="152" t="s">
        <v>693</v>
      </c>
      <c r="N56" s="152" t="s">
        <v>637</v>
      </c>
      <c r="O56" s="152" t="s">
        <v>647</v>
      </c>
      <c r="P56" s="152" t="s">
        <v>696</v>
      </c>
      <c r="Q56" s="152" t="s">
        <v>637</v>
      </c>
      <c r="R56" s="152" t="s">
        <v>701</v>
      </c>
      <c r="S56" s="152" t="s">
        <v>637</v>
      </c>
      <c r="T56" s="152" t="s">
        <v>701</v>
      </c>
      <c r="U56" s="152" t="s">
        <v>644</v>
      </c>
      <c r="V56" s="152" t="s">
        <v>199</v>
      </c>
      <c r="W56" s="152" t="s">
        <v>643</v>
      </c>
      <c r="Y56" s="152" t="s">
        <v>637</v>
      </c>
      <c r="Z56" s="152" t="s">
        <v>642</v>
      </c>
      <c r="AA56" s="152" t="s">
        <v>665</v>
      </c>
      <c r="AB56" s="152" t="s">
        <v>640</v>
      </c>
      <c r="AC56" s="152" t="s">
        <v>701</v>
      </c>
      <c r="AD56" s="152" t="s">
        <v>787</v>
      </c>
      <c r="AE56" s="152" t="s">
        <v>637</v>
      </c>
      <c r="AF56" s="152" t="s">
        <v>637</v>
      </c>
      <c r="AG56" s="152" t="s">
        <v>637</v>
      </c>
      <c r="AH56" s="152" t="s">
        <v>664</v>
      </c>
      <c r="AI56" s="152" t="s">
        <v>699</v>
      </c>
      <c r="AJ56" s="152" t="s">
        <v>696</v>
      </c>
      <c r="AL56" s="152" t="s">
        <v>637</v>
      </c>
      <c r="AM56" s="152" t="s">
        <v>869</v>
      </c>
      <c r="AO56" s="152" t="s">
        <v>631</v>
      </c>
      <c r="AP56" s="152" t="s">
        <v>697</v>
      </c>
      <c r="AQ56" s="152" t="s">
        <v>703</v>
      </c>
      <c r="AS56" s="152" t="s">
        <v>696</v>
      </c>
      <c r="AT56" s="152" t="s">
        <v>702</v>
      </c>
      <c r="AU56" s="152">
        <v>2017</v>
      </c>
      <c r="AV56" s="339">
        <v>6995</v>
      </c>
      <c r="AW56" s="339">
        <v>1704044</v>
      </c>
      <c r="AX56" s="152">
        <v>8</v>
      </c>
      <c r="AY56" s="152">
        <v>-1</v>
      </c>
      <c r="AZ56" s="152">
        <v>75</v>
      </c>
      <c r="BA56" s="152">
        <v>0.47471389400000003</v>
      </c>
      <c r="BB56" s="152">
        <v>205</v>
      </c>
      <c r="BC56" s="152">
        <v>90</v>
      </c>
      <c r="BD56" s="152">
        <v>7.8189998000000003</v>
      </c>
    </row>
    <row r="57" spans="1:56" x14ac:dyDescent="0.25">
      <c r="A57" s="152" t="s">
        <v>1207</v>
      </c>
      <c r="B57" s="152">
        <v>43.609071999999998</v>
      </c>
      <c r="C57" s="152">
        <v>-96.962235000000007</v>
      </c>
      <c r="D57" s="152">
        <v>29</v>
      </c>
      <c r="E57" s="152" t="s">
        <v>697</v>
      </c>
      <c r="F57" s="152">
        <v>2018</v>
      </c>
      <c r="G57" s="340">
        <v>43404.254166666666</v>
      </c>
      <c r="H57" s="152" t="s">
        <v>637</v>
      </c>
      <c r="I57" s="152" t="s">
        <v>696</v>
      </c>
      <c r="J57" s="152" t="s">
        <v>697</v>
      </c>
      <c r="L57" s="152" t="s">
        <v>1055</v>
      </c>
      <c r="M57" s="152" t="s">
        <v>676</v>
      </c>
      <c r="N57" s="152" t="s">
        <v>637</v>
      </c>
      <c r="O57" s="152" t="s">
        <v>647</v>
      </c>
      <c r="P57" s="152" t="s">
        <v>696</v>
      </c>
      <c r="Q57" s="152" t="s">
        <v>637</v>
      </c>
      <c r="R57" s="152" t="s">
        <v>701</v>
      </c>
      <c r="S57" s="152" t="s">
        <v>637</v>
      </c>
      <c r="T57" s="152" t="s">
        <v>701</v>
      </c>
      <c r="U57" s="152" t="s">
        <v>644</v>
      </c>
      <c r="V57" s="152" t="s">
        <v>199</v>
      </c>
      <c r="W57" s="152" t="s">
        <v>643</v>
      </c>
      <c r="Y57" s="152" t="s">
        <v>637</v>
      </c>
      <c r="Z57" s="152" t="s">
        <v>642</v>
      </c>
      <c r="AA57" s="152" t="s">
        <v>665</v>
      </c>
      <c r="AB57" s="152" t="s">
        <v>640</v>
      </c>
      <c r="AC57" s="152" t="s">
        <v>701</v>
      </c>
      <c r="AD57" s="152" t="s">
        <v>700</v>
      </c>
      <c r="AE57" s="152" t="s">
        <v>637</v>
      </c>
      <c r="AF57" s="152" t="s">
        <v>637</v>
      </c>
      <c r="AG57" s="152" t="s">
        <v>637</v>
      </c>
      <c r="AH57" s="152" t="s">
        <v>664</v>
      </c>
      <c r="AI57" s="152" t="s">
        <v>699</v>
      </c>
      <c r="AJ57" s="152" t="s">
        <v>696</v>
      </c>
      <c r="AL57" s="152" t="s">
        <v>637</v>
      </c>
      <c r="AM57" s="152" t="s">
        <v>1214</v>
      </c>
      <c r="AO57" s="152" t="s">
        <v>631</v>
      </c>
      <c r="AP57" s="152" t="s">
        <v>697</v>
      </c>
      <c r="AQ57" s="152" t="s">
        <v>703</v>
      </c>
      <c r="AS57" s="152" t="s">
        <v>696</v>
      </c>
      <c r="AT57" s="152" t="s">
        <v>702</v>
      </c>
      <c r="AU57" s="152">
        <v>2018</v>
      </c>
      <c r="AV57" s="339">
        <v>6995</v>
      </c>
      <c r="AW57" s="339">
        <v>1814378</v>
      </c>
      <c r="AX57" s="152">
        <v>31</v>
      </c>
      <c r="AY57" s="152">
        <v>-1</v>
      </c>
      <c r="AZ57" s="152">
        <v>75</v>
      </c>
      <c r="BA57" s="152">
        <v>0.47301610399999999</v>
      </c>
      <c r="BB57" s="152">
        <v>465</v>
      </c>
      <c r="BC57" s="152">
        <v>90</v>
      </c>
      <c r="BD57" s="152">
        <v>7.8189998000000003</v>
      </c>
    </row>
    <row r="58" spans="1:56" x14ac:dyDescent="0.25">
      <c r="A58" s="152" t="s">
        <v>1207</v>
      </c>
      <c r="B58" s="152">
        <v>43.609073000000002</v>
      </c>
      <c r="C58" s="152">
        <v>-96.974058999999997</v>
      </c>
      <c r="D58" s="152">
        <v>29</v>
      </c>
      <c r="E58" s="152" t="s">
        <v>697</v>
      </c>
      <c r="F58" s="152">
        <v>2016</v>
      </c>
      <c r="G58" s="340">
        <v>42551.097222222219</v>
      </c>
      <c r="H58" s="152" t="s">
        <v>637</v>
      </c>
      <c r="I58" s="152" t="s">
        <v>696</v>
      </c>
      <c r="J58" s="152" t="s">
        <v>697</v>
      </c>
      <c r="L58" s="152" t="s">
        <v>1055</v>
      </c>
      <c r="M58" s="152" t="s">
        <v>668</v>
      </c>
      <c r="N58" s="152" t="s">
        <v>637</v>
      </c>
      <c r="O58" s="152" t="s">
        <v>647</v>
      </c>
      <c r="P58" s="152" t="s">
        <v>696</v>
      </c>
      <c r="Q58" s="152" t="s">
        <v>637</v>
      </c>
      <c r="R58" s="152" t="s">
        <v>701</v>
      </c>
      <c r="S58" s="152" t="s">
        <v>637</v>
      </c>
      <c r="T58" s="152" t="s">
        <v>701</v>
      </c>
      <c r="U58" s="152" t="s">
        <v>644</v>
      </c>
      <c r="V58" s="152" t="s">
        <v>199</v>
      </c>
      <c r="W58" s="152" t="s">
        <v>643</v>
      </c>
      <c r="Y58" s="152" t="s">
        <v>637</v>
      </c>
      <c r="Z58" s="152" t="s">
        <v>642</v>
      </c>
      <c r="AA58" s="152" t="s">
        <v>665</v>
      </c>
      <c r="AB58" s="152" t="s">
        <v>640</v>
      </c>
      <c r="AC58" s="152" t="s">
        <v>701</v>
      </c>
      <c r="AD58" s="152" t="s">
        <v>771</v>
      </c>
      <c r="AE58" s="152" t="s">
        <v>637</v>
      </c>
      <c r="AF58" s="152" t="s">
        <v>637</v>
      </c>
      <c r="AG58" s="152" t="s">
        <v>637</v>
      </c>
      <c r="AH58" s="152" t="s">
        <v>664</v>
      </c>
      <c r="AI58" s="152" t="s">
        <v>699</v>
      </c>
      <c r="AJ58" s="152" t="s">
        <v>696</v>
      </c>
      <c r="AL58" s="152" t="s">
        <v>637</v>
      </c>
      <c r="AM58" s="152" t="s">
        <v>1286</v>
      </c>
      <c r="AO58" s="152" t="s">
        <v>631</v>
      </c>
      <c r="AP58" s="152" t="s">
        <v>697</v>
      </c>
      <c r="AQ58" s="152" t="s">
        <v>630</v>
      </c>
      <c r="AS58" s="152" t="s">
        <v>696</v>
      </c>
      <c r="AT58" s="152" t="s">
        <v>702</v>
      </c>
      <c r="AU58" s="152">
        <v>2016</v>
      </c>
      <c r="AV58" s="339">
        <v>6995</v>
      </c>
      <c r="AW58" s="339">
        <v>1607883</v>
      </c>
      <c r="AX58" s="152">
        <v>30</v>
      </c>
      <c r="AY58" s="152">
        <v>-1</v>
      </c>
      <c r="AZ58" s="152">
        <v>75</v>
      </c>
      <c r="BA58" s="152">
        <v>1.6692441119999999</v>
      </c>
      <c r="BB58" s="152">
        <v>84</v>
      </c>
      <c r="BC58" s="152">
        <v>90</v>
      </c>
      <c r="BD58" s="152">
        <v>7.8189998000000003</v>
      </c>
    </row>
    <row r="59" spans="1:56" x14ac:dyDescent="0.25">
      <c r="A59" s="152" t="s">
        <v>1207</v>
      </c>
      <c r="B59" s="152">
        <v>43.609074</v>
      </c>
      <c r="C59" s="152">
        <v>-96.963493999999997</v>
      </c>
      <c r="D59" s="152">
        <v>29</v>
      </c>
      <c r="E59" s="152" t="s">
        <v>652</v>
      </c>
      <c r="F59" s="152">
        <v>2017</v>
      </c>
      <c r="G59" s="340">
        <v>42920.729166666664</v>
      </c>
      <c r="H59" s="152" t="s">
        <v>637</v>
      </c>
      <c r="I59" s="152" t="s">
        <v>669</v>
      </c>
      <c r="J59" s="152" t="s">
        <v>650</v>
      </c>
      <c r="L59" s="152" t="s">
        <v>1055</v>
      </c>
      <c r="M59" s="152" t="s">
        <v>736</v>
      </c>
      <c r="N59" s="152" t="s">
        <v>637</v>
      </c>
      <c r="O59" s="152" t="s">
        <v>647</v>
      </c>
      <c r="P59" s="152" t="s">
        <v>628</v>
      </c>
      <c r="Q59" s="152" t="s">
        <v>637</v>
      </c>
      <c r="R59" s="152" t="s">
        <v>985</v>
      </c>
      <c r="S59" s="152" t="s">
        <v>637</v>
      </c>
      <c r="T59" s="152" t="s">
        <v>984</v>
      </c>
      <c r="U59" s="152" t="s">
        <v>644</v>
      </c>
      <c r="V59" s="152" t="s">
        <v>199</v>
      </c>
      <c r="W59" s="152" t="s">
        <v>643</v>
      </c>
      <c r="Y59" s="152" t="s">
        <v>637</v>
      </c>
      <c r="Z59" s="152" t="s">
        <v>642</v>
      </c>
      <c r="AA59" s="152" t="s">
        <v>641</v>
      </c>
      <c r="AB59" s="152" t="s">
        <v>640</v>
      </c>
      <c r="AC59" s="152" t="s">
        <v>984</v>
      </c>
      <c r="AD59" s="152" t="s">
        <v>805</v>
      </c>
      <c r="AE59" s="152" t="s">
        <v>637</v>
      </c>
      <c r="AF59" s="152" t="s">
        <v>637</v>
      </c>
      <c r="AG59" s="152" t="s">
        <v>637</v>
      </c>
      <c r="AH59" s="152" t="s">
        <v>664</v>
      </c>
      <c r="AI59" s="152" t="s">
        <v>628</v>
      </c>
      <c r="AJ59" s="152" t="s">
        <v>635</v>
      </c>
      <c r="AK59" s="152" t="s">
        <v>634</v>
      </c>
      <c r="AL59" s="152" t="s">
        <v>637</v>
      </c>
      <c r="AM59" s="152" t="s">
        <v>930</v>
      </c>
      <c r="AO59" s="152" t="s">
        <v>631</v>
      </c>
      <c r="AP59" s="152" t="s">
        <v>937</v>
      </c>
      <c r="AQ59" s="152" t="s">
        <v>703</v>
      </c>
      <c r="AR59" s="152" t="s">
        <v>629</v>
      </c>
      <c r="AS59" s="152" t="s">
        <v>628</v>
      </c>
      <c r="AT59" s="152" t="s">
        <v>702</v>
      </c>
      <c r="AU59" s="152">
        <v>2017</v>
      </c>
      <c r="AV59" s="339">
        <v>6995</v>
      </c>
      <c r="AW59" s="339">
        <v>1708387</v>
      </c>
      <c r="AX59" s="152">
        <v>4</v>
      </c>
      <c r="AY59" s="152">
        <v>0</v>
      </c>
      <c r="AZ59" s="152">
        <v>75</v>
      </c>
      <c r="BA59" s="152">
        <v>1.2239577500000001</v>
      </c>
      <c r="BB59" s="152">
        <v>257</v>
      </c>
      <c r="BC59" s="152">
        <v>90</v>
      </c>
      <c r="BD59" s="152">
        <v>7.8189998000000003</v>
      </c>
    </row>
    <row r="60" spans="1:56" x14ac:dyDescent="0.25">
      <c r="A60" s="152" t="s">
        <v>1207</v>
      </c>
      <c r="B60" s="152">
        <v>43.609074999999997</v>
      </c>
      <c r="C60" s="152">
        <v>-96.963767000000004</v>
      </c>
      <c r="D60" s="152">
        <v>29</v>
      </c>
      <c r="E60" s="152" t="s">
        <v>759</v>
      </c>
      <c r="F60" s="152">
        <v>2016</v>
      </c>
      <c r="G60" s="340">
        <v>42411.642361111109</v>
      </c>
      <c r="H60" s="152" t="s">
        <v>637</v>
      </c>
      <c r="I60" s="152" t="s">
        <v>669</v>
      </c>
      <c r="J60" s="152" t="s">
        <v>650</v>
      </c>
      <c r="L60" s="152" t="s">
        <v>1055</v>
      </c>
      <c r="M60" s="152" t="s">
        <v>668</v>
      </c>
      <c r="N60" s="152" t="s">
        <v>637</v>
      </c>
      <c r="O60" s="152" t="s">
        <v>647</v>
      </c>
      <c r="P60" s="152" t="s">
        <v>628</v>
      </c>
      <c r="Q60" s="152" t="s">
        <v>637</v>
      </c>
      <c r="R60" s="152" t="s">
        <v>709</v>
      </c>
      <c r="S60" s="152" t="s">
        <v>637</v>
      </c>
      <c r="T60" s="152" t="s">
        <v>708</v>
      </c>
      <c r="U60" s="152" t="s">
        <v>644</v>
      </c>
      <c r="V60" s="152" t="s">
        <v>199</v>
      </c>
      <c r="W60" s="152" t="s">
        <v>643</v>
      </c>
      <c r="Y60" s="152" t="s">
        <v>637</v>
      </c>
      <c r="Z60" s="152" t="s">
        <v>642</v>
      </c>
      <c r="AA60" s="152" t="s">
        <v>641</v>
      </c>
      <c r="AB60" s="152" t="s">
        <v>640</v>
      </c>
      <c r="AC60" s="152" t="s">
        <v>708</v>
      </c>
      <c r="AD60" s="152" t="s">
        <v>718</v>
      </c>
      <c r="AE60" s="152" t="s">
        <v>637</v>
      </c>
      <c r="AF60" s="152" t="s">
        <v>637</v>
      </c>
      <c r="AG60" s="152" t="s">
        <v>637</v>
      </c>
      <c r="AH60" s="152" t="s">
        <v>677</v>
      </c>
      <c r="AI60" s="152" t="s">
        <v>655</v>
      </c>
      <c r="AJ60" s="152" t="s">
        <v>635</v>
      </c>
      <c r="AK60" s="152" t="s">
        <v>634</v>
      </c>
      <c r="AL60" s="152" t="s">
        <v>637</v>
      </c>
      <c r="AM60" s="152" t="s">
        <v>1285</v>
      </c>
      <c r="AO60" s="152" t="s">
        <v>631</v>
      </c>
      <c r="AP60" s="152" t="s">
        <v>628</v>
      </c>
      <c r="AQ60" s="152" t="s">
        <v>703</v>
      </c>
      <c r="AR60" s="152" t="s">
        <v>629</v>
      </c>
      <c r="AS60" s="152" t="s">
        <v>628</v>
      </c>
      <c r="AT60" s="152" t="s">
        <v>797</v>
      </c>
      <c r="AU60" s="152">
        <v>2016</v>
      </c>
      <c r="AV60" s="339">
        <v>6995</v>
      </c>
      <c r="AW60" s="339">
        <v>1601769</v>
      </c>
      <c r="AX60" s="152">
        <v>11</v>
      </c>
      <c r="AY60" s="152">
        <v>0</v>
      </c>
      <c r="AZ60" s="152">
        <v>75</v>
      </c>
      <c r="BA60" s="152">
        <v>1.594090217</v>
      </c>
      <c r="BB60" s="152">
        <v>22</v>
      </c>
      <c r="BC60" s="152">
        <v>90</v>
      </c>
      <c r="BD60" s="152">
        <v>7.8189998000000003</v>
      </c>
    </row>
    <row r="61" spans="1:56" x14ac:dyDescent="0.25">
      <c r="A61" s="152" t="s">
        <v>1207</v>
      </c>
      <c r="B61" s="152">
        <v>43.609076000000002</v>
      </c>
      <c r="C61" s="152">
        <v>-96.964074999999994</v>
      </c>
      <c r="D61" s="152">
        <v>29</v>
      </c>
      <c r="E61" s="152" t="s">
        <v>652</v>
      </c>
      <c r="F61" s="152">
        <v>2017</v>
      </c>
      <c r="G61" s="340">
        <v>42902.704861111109</v>
      </c>
      <c r="H61" s="152" t="s">
        <v>633</v>
      </c>
      <c r="I61" s="152" t="s">
        <v>669</v>
      </c>
      <c r="J61" s="152" t="s">
        <v>660</v>
      </c>
      <c r="K61" s="152" t="s">
        <v>1284</v>
      </c>
      <c r="L61" s="152" t="s">
        <v>1055</v>
      </c>
      <c r="M61" s="152" t="s">
        <v>648</v>
      </c>
      <c r="N61" s="152" t="s">
        <v>637</v>
      </c>
      <c r="O61" s="152" t="s">
        <v>647</v>
      </c>
      <c r="P61" s="152" t="s">
        <v>628</v>
      </c>
      <c r="Q61" s="152" t="s">
        <v>637</v>
      </c>
      <c r="R61" s="152" t="s">
        <v>1156</v>
      </c>
      <c r="S61" s="152" t="s">
        <v>637</v>
      </c>
      <c r="T61" s="152" t="s">
        <v>656</v>
      </c>
      <c r="U61" s="152" t="s">
        <v>644</v>
      </c>
      <c r="V61" s="152" t="s">
        <v>199</v>
      </c>
      <c r="W61" s="152" t="s">
        <v>643</v>
      </c>
      <c r="Y61" s="152" t="s">
        <v>637</v>
      </c>
      <c r="Z61" s="152" t="s">
        <v>642</v>
      </c>
      <c r="AA61" s="152" t="s">
        <v>641</v>
      </c>
      <c r="AB61" s="152" t="s">
        <v>657</v>
      </c>
      <c r="AC61" s="152" t="s">
        <v>656</v>
      </c>
      <c r="AD61" s="152" t="s">
        <v>771</v>
      </c>
      <c r="AE61" s="152" t="s">
        <v>637</v>
      </c>
      <c r="AF61" s="152" t="s">
        <v>637</v>
      </c>
      <c r="AG61" s="152" t="s">
        <v>637</v>
      </c>
      <c r="AH61" s="152" t="s">
        <v>664</v>
      </c>
      <c r="AI61" s="152" t="s">
        <v>628</v>
      </c>
      <c r="AJ61" s="152" t="s">
        <v>635</v>
      </c>
      <c r="AK61" s="152" t="s">
        <v>634</v>
      </c>
      <c r="AL61" s="152" t="s">
        <v>637</v>
      </c>
      <c r="AM61" s="152" t="s">
        <v>1283</v>
      </c>
      <c r="AO61" s="152" t="s">
        <v>631</v>
      </c>
      <c r="AP61" s="152" t="s">
        <v>628</v>
      </c>
      <c r="AQ61" s="152" t="s">
        <v>755</v>
      </c>
      <c r="AR61" s="152" t="s">
        <v>629</v>
      </c>
      <c r="AS61" s="152" t="s">
        <v>628</v>
      </c>
      <c r="AT61" s="152" t="s">
        <v>702</v>
      </c>
      <c r="AU61" s="152">
        <v>2017</v>
      </c>
      <c r="AV61" s="339">
        <v>6995</v>
      </c>
      <c r="AW61" s="339">
        <v>1707356</v>
      </c>
      <c r="AX61" s="152">
        <v>16</v>
      </c>
      <c r="AY61" s="152">
        <v>0</v>
      </c>
      <c r="AZ61" s="152">
        <v>75</v>
      </c>
      <c r="BA61" s="152">
        <v>1.9649148030000001</v>
      </c>
      <c r="BB61" s="152">
        <v>247</v>
      </c>
      <c r="BC61" s="152">
        <v>90</v>
      </c>
      <c r="BD61" s="152">
        <v>7.8189998000000003</v>
      </c>
    </row>
    <row r="62" spans="1:56" x14ac:dyDescent="0.25">
      <c r="A62" s="152" t="s">
        <v>1207</v>
      </c>
      <c r="B62" s="152">
        <v>43.609077999999997</v>
      </c>
      <c r="C62" s="152">
        <v>-96.970865000000003</v>
      </c>
      <c r="D62" s="152">
        <v>29</v>
      </c>
      <c r="E62" s="152" t="s">
        <v>697</v>
      </c>
      <c r="F62" s="152">
        <v>2018</v>
      </c>
      <c r="G62" s="340">
        <v>43403.313888888886</v>
      </c>
      <c r="H62" s="152" t="s">
        <v>637</v>
      </c>
      <c r="I62" s="152" t="s">
        <v>696</v>
      </c>
      <c r="J62" s="152" t="s">
        <v>697</v>
      </c>
      <c r="L62" s="152" t="s">
        <v>1055</v>
      </c>
      <c r="M62" s="152" t="s">
        <v>736</v>
      </c>
      <c r="N62" s="152" t="s">
        <v>637</v>
      </c>
      <c r="O62" s="152" t="s">
        <v>647</v>
      </c>
      <c r="P62" s="152" t="s">
        <v>696</v>
      </c>
      <c r="Q62" s="152" t="s">
        <v>637</v>
      </c>
      <c r="R62" s="152" t="s">
        <v>701</v>
      </c>
      <c r="S62" s="152" t="s">
        <v>637</v>
      </c>
      <c r="T62" s="152" t="s">
        <v>701</v>
      </c>
      <c r="U62" s="152" t="s">
        <v>644</v>
      </c>
      <c r="V62" s="152" t="s">
        <v>199</v>
      </c>
      <c r="W62" s="152" t="s">
        <v>643</v>
      </c>
      <c r="Y62" s="152" t="s">
        <v>637</v>
      </c>
      <c r="Z62" s="152" t="s">
        <v>642</v>
      </c>
      <c r="AA62" s="152" t="s">
        <v>641</v>
      </c>
      <c r="AB62" s="152" t="s">
        <v>640</v>
      </c>
      <c r="AC62" s="152" t="s">
        <v>701</v>
      </c>
      <c r="AD62" s="152" t="s">
        <v>700</v>
      </c>
      <c r="AE62" s="152" t="s">
        <v>637</v>
      </c>
      <c r="AF62" s="152" t="s">
        <v>637</v>
      </c>
      <c r="AG62" s="152" t="s">
        <v>637</v>
      </c>
      <c r="AH62" s="152" t="s">
        <v>664</v>
      </c>
      <c r="AI62" s="152" t="s">
        <v>699</v>
      </c>
      <c r="AJ62" s="152" t="s">
        <v>696</v>
      </c>
      <c r="AL62" s="152" t="s">
        <v>637</v>
      </c>
      <c r="AM62" s="152" t="s">
        <v>1282</v>
      </c>
      <c r="AO62" s="152" t="s">
        <v>631</v>
      </c>
      <c r="AP62" s="152" t="s">
        <v>697</v>
      </c>
      <c r="AQ62" s="152" t="s">
        <v>703</v>
      </c>
      <c r="AS62" s="152" t="s">
        <v>696</v>
      </c>
      <c r="AT62" s="152" t="s">
        <v>702</v>
      </c>
      <c r="AU62" s="152">
        <v>2018</v>
      </c>
      <c r="AV62" s="339">
        <v>6995</v>
      </c>
      <c r="AW62" s="339">
        <v>1814360</v>
      </c>
      <c r="AX62" s="152">
        <v>30</v>
      </c>
      <c r="AY62" s="152">
        <v>-1</v>
      </c>
      <c r="AZ62" s="152">
        <v>75</v>
      </c>
      <c r="BA62" s="152">
        <v>4.3064450990000003</v>
      </c>
      <c r="BB62" s="152">
        <v>463</v>
      </c>
      <c r="BC62" s="152">
        <v>90</v>
      </c>
      <c r="BD62" s="152">
        <v>7.8189998000000003</v>
      </c>
    </row>
    <row r="63" spans="1:56" x14ac:dyDescent="0.25">
      <c r="A63" s="152" t="s">
        <v>1207</v>
      </c>
      <c r="B63" s="152">
        <v>43.609081000000003</v>
      </c>
      <c r="C63" s="152">
        <v>-96.966710000000006</v>
      </c>
      <c r="D63" s="152">
        <v>29</v>
      </c>
      <c r="E63" s="152" t="s">
        <v>697</v>
      </c>
      <c r="F63" s="152">
        <v>2018</v>
      </c>
      <c r="G63" s="340">
        <v>43407.982638888891</v>
      </c>
      <c r="H63" s="152" t="s">
        <v>637</v>
      </c>
      <c r="I63" s="152" t="s">
        <v>696</v>
      </c>
      <c r="J63" s="152" t="s">
        <v>697</v>
      </c>
      <c r="L63" s="152" t="s">
        <v>1055</v>
      </c>
      <c r="M63" s="152" t="s">
        <v>693</v>
      </c>
      <c r="N63" s="152" t="s">
        <v>637</v>
      </c>
      <c r="O63" s="152" t="s">
        <v>647</v>
      </c>
      <c r="P63" s="152" t="s">
        <v>696</v>
      </c>
      <c r="Q63" s="152" t="s">
        <v>637</v>
      </c>
      <c r="R63" s="152" t="s">
        <v>701</v>
      </c>
      <c r="S63" s="152" t="s">
        <v>637</v>
      </c>
      <c r="T63" s="152" t="s">
        <v>701</v>
      </c>
      <c r="U63" s="152" t="s">
        <v>644</v>
      </c>
      <c r="V63" s="152" t="s">
        <v>199</v>
      </c>
      <c r="W63" s="152" t="s">
        <v>643</v>
      </c>
      <c r="Y63" s="152" t="s">
        <v>637</v>
      </c>
      <c r="Z63" s="152" t="s">
        <v>642</v>
      </c>
      <c r="AA63" s="152" t="s">
        <v>665</v>
      </c>
      <c r="AB63" s="152" t="s">
        <v>640</v>
      </c>
      <c r="AC63" s="152" t="s">
        <v>701</v>
      </c>
      <c r="AD63" s="152" t="s">
        <v>673</v>
      </c>
      <c r="AE63" s="152" t="s">
        <v>637</v>
      </c>
      <c r="AF63" s="152" t="s">
        <v>637</v>
      </c>
      <c r="AG63" s="152" t="s">
        <v>637</v>
      </c>
      <c r="AH63" s="152" t="s">
        <v>762</v>
      </c>
      <c r="AI63" s="152" t="s">
        <v>699</v>
      </c>
      <c r="AJ63" s="152" t="s">
        <v>696</v>
      </c>
      <c r="AL63" s="152" t="s">
        <v>637</v>
      </c>
      <c r="AM63" s="152" t="s">
        <v>1200</v>
      </c>
      <c r="AO63" s="152" t="s">
        <v>631</v>
      </c>
      <c r="AP63" s="152" t="s">
        <v>697</v>
      </c>
      <c r="AQ63" s="152" t="s">
        <v>630</v>
      </c>
      <c r="AS63" s="152" t="s">
        <v>696</v>
      </c>
      <c r="AT63" s="152" t="s">
        <v>760</v>
      </c>
      <c r="AU63" s="152">
        <v>2018</v>
      </c>
      <c r="AV63" s="339">
        <v>6995</v>
      </c>
      <c r="AW63" s="339">
        <v>1813982</v>
      </c>
      <c r="AX63" s="152">
        <v>3</v>
      </c>
      <c r="AY63" s="152">
        <v>-1</v>
      </c>
      <c r="AZ63" s="152">
        <v>75</v>
      </c>
      <c r="BA63" s="152">
        <v>3.854891673</v>
      </c>
      <c r="BB63" s="152">
        <v>462</v>
      </c>
      <c r="BC63" s="152">
        <v>90</v>
      </c>
      <c r="BD63" s="152">
        <v>7.8189998000000003</v>
      </c>
    </row>
    <row r="64" spans="1:56" x14ac:dyDescent="0.25">
      <c r="A64" s="152" t="s">
        <v>1207</v>
      </c>
      <c r="B64" s="152">
        <v>43.609082000000001</v>
      </c>
      <c r="C64" s="152">
        <v>-96.960217999999998</v>
      </c>
      <c r="D64" s="152">
        <v>29</v>
      </c>
      <c r="E64" s="152" t="s">
        <v>652</v>
      </c>
      <c r="F64" s="152">
        <v>2016</v>
      </c>
      <c r="G64" s="340">
        <v>42407.651388888888</v>
      </c>
      <c r="H64" s="152" t="s">
        <v>637</v>
      </c>
      <c r="I64" s="152" t="s">
        <v>669</v>
      </c>
      <c r="J64" s="152" t="s">
        <v>650</v>
      </c>
      <c r="L64" s="152" t="s">
        <v>1055</v>
      </c>
      <c r="M64" s="152" t="s">
        <v>712</v>
      </c>
      <c r="N64" s="152" t="s">
        <v>637</v>
      </c>
      <c r="O64" s="152" t="s">
        <v>647</v>
      </c>
      <c r="P64" s="152" t="s">
        <v>628</v>
      </c>
      <c r="Q64" s="152" t="s">
        <v>637</v>
      </c>
      <c r="R64" s="152" t="s">
        <v>709</v>
      </c>
      <c r="S64" s="152" t="s">
        <v>637</v>
      </c>
      <c r="T64" s="152" t="s">
        <v>708</v>
      </c>
      <c r="U64" s="152" t="s">
        <v>644</v>
      </c>
      <c r="V64" s="152" t="s">
        <v>199</v>
      </c>
      <c r="W64" s="152" t="s">
        <v>643</v>
      </c>
      <c r="Y64" s="152" t="s">
        <v>637</v>
      </c>
      <c r="Z64" s="152" t="s">
        <v>642</v>
      </c>
      <c r="AA64" s="152" t="s">
        <v>641</v>
      </c>
      <c r="AB64" s="152" t="s">
        <v>640</v>
      </c>
      <c r="AC64" s="152" t="s">
        <v>708</v>
      </c>
      <c r="AD64" s="152" t="s">
        <v>718</v>
      </c>
      <c r="AE64" s="152" t="s">
        <v>637</v>
      </c>
      <c r="AF64" s="152" t="s">
        <v>637</v>
      </c>
      <c r="AG64" s="152" t="s">
        <v>637</v>
      </c>
      <c r="AH64" s="152" t="s">
        <v>636</v>
      </c>
      <c r="AI64" s="152" t="s">
        <v>655</v>
      </c>
      <c r="AJ64" s="152" t="s">
        <v>635</v>
      </c>
      <c r="AK64" s="152" t="s">
        <v>634</v>
      </c>
      <c r="AL64" s="152" t="s">
        <v>637</v>
      </c>
      <c r="AM64" s="152" t="s">
        <v>1281</v>
      </c>
      <c r="AO64" s="152" t="s">
        <v>631</v>
      </c>
      <c r="AP64" s="152" t="s">
        <v>628</v>
      </c>
      <c r="AQ64" s="152" t="s">
        <v>630</v>
      </c>
      <c r="AR64" s="152" t="s">
        <v>629</v>
      </c>
      <c r="AS64" s="152" t="s">
        <v>628</v>
      </c>
      <c r="AT64" s="152" t="s">
        <v>677</v>
      </c>
      <c r="AU64" s="152">
        <v>2016</v>
      </c>
      <c r="AV64" s="339">
        <v>6995</v>
      </c>
      <c r="AW64" s="339">
        <v>1602989</v>
      </c>
      <c r="AX64" s="152">
        <v>7</v>
      </c>
      <c r="AY64" s="152">
        <v>0</v>
      </c>
      <c r="AZ64" s="152">
        <v>75</v>
      </c>
      <c r="BA64" s="152">
        <v>0.16785519700000001</v>
      </c>
      <c r="BB64" s="152">
        <v>37</v>
      </c>
      <c r="BC64" s="152">
        <v>90</v>
      </c>
      <c r="BD64" s="152">
        <v>7.8189998000000003</v>
      </c>
    </row>
    <row r="65" spans="1:56" x14ac:dyDescent="0.25">
      <c r="A65" s="152" t="s">
        <v>1207</v>
      </c>
      <c r="B65" s="152">
        <v>43.609087000000002</v>
      </c>
      <c r="C65" s="152">
        <v>-96.959452999999996</v>
      </c>
      <c r="D65" s="152">
        <v>29</v>
      </c>
      <c r="E65" s="152" t="s">
        <v>697</v>
      </c>
      <c r="F65" s="152">
        <v>2018</v>
      </c>
      <c r="G65" s="340">
        <v>43457.063194444447</v>
      </c>
      <c r="H65" s="152" t="s">
        <v>637</v>
      </c>
      <c r="I65" s="152" t="s">
        <v>696</v>
      </c>
      <c r="J65" s="152" t="s">
        <v>697</v>
      </c>
      <c r="L65" s="152" t="s">
        <v>1055</v>
      </c>
      <c r="M65" s="152" t="s">
        <v>712</v>
      </c>
      <c r="N65" s="152" t="s">
        <v>637</v>
      </c>
      <c r="O65" s="152" t="s">
        <v>647</v>
      </c>
      <c r="P65" s="152" t="s">
        <v>696</v>
      </c>
      <c r="Q65" s="152" t="s">
        <v>637</v>
      </c>
      <c r="R65" s="152" t="s">
        <v>701</v>
      </c>
      <c r="S65" s="152" t="s">
        <v>637</v>
      </c>
      <c r="T65" s="152" t="s">
        <v>701</v>
      </c>
      <c r="U65" s="152" t="s">
        <v>644</v>
      </c>
      <c r="V65" s="152" t="s">
        <v>199</v>
      </c>
      <c r="W65" s="152" t="s">
        <v>643</v>
      </c>
      <c r="Y65" s="152" t="s">
        <v>637</v>
      </c>
      <c r="Z65" s="152" t="s">
        <v>642</v>
      </c>
      <c r="AA65" s="152" t="s">
        <v>665</v>
      </c>
      <c r="AB65" s="152" t="s">
        <v>640</v>
      </c>
      <c r="AC65" s="152" t="s">
        <v>701</v>
      </c>
      <c r="AD65" s="152" t="s">
        <v>681</v>
      </c>
      <c r="AE65" s="152" t="s">
        <v>637</v>
      </c>
      <c r="AF65" s="152" t="s">
        <v>637</v>
      </c>
      <c r="AG65" s="152" t="s">
        <v>637</v>
      </c>
      <c r="AH65" s="152" t="s">
        <v>664</v>
      </c>
      <c r="AI65" s="152" t="s">
        <v>699</v>
      </c>
      <c r="AJ65" s="152" t="s">
        <v>696</v>
      </c>
      <c r="AL65" s="152" t="s">
        <v>637</v>
      </c>
      <c r="AM65" s="152" t="s">
        <v>1228</v>
      </c>
      <c r="AO65" s="152" t="s">
        <v>631</v>
      </c>
      <c r="AP65" s="152" t="s">
        <v>697</v>
      </c>
      <c r="AQ65" s="152" t="s">
        <v>630</v>
      </c>
      <c r="AS65" s="152" t="s">
        <v>696</v>
      </c>
      <c r="AT65" s="152" t="s">
        <v>702</v>
      </c>
      <c r="AU65" s="152">
        <v>2018</v>
      </c>
      <c r="AV65" s="339">
        <v>6995</v>
      </c>
      <c r="AW65" s="339">
        <v>1817044</v>
      </c>
      <c r="AX65" s="152">
        <v>23</v>
      </c>
      <c r="AY65" s="152">
        <v>-1</v>
      </c>
      <c r="AZ65" s="152">
        <v>75</v>
      </c>
      <c r="BA65" s="152">
        <v>6.4564347999999994E-2</v>
      </c>
      <c r="BB65" s="152">
        <v>493</v>
      </c>
      <c r="BC65" s="152">
        <v>90</v>
      </c>
      <c r="BD65" s="152">
        <v>7.8189998000000003</v>
      </c>
    </row>
    <row r="66" spans="1:56" x14ac:dyDescent="0.25">
      <c r="A66" s="152" t="s">
        <v>1207</v>
      </c>
      <c r="B66" s="152">
        <v>43.609090000000002</v>
      </c>
      <c r="C66" s="152">
        <v>-96.959039000000004</v>
      </c>
      <c r="D66" s="152">
        <v>29</v>
      </c>
      <c r="E66" s="152" t="s">
        <v>652</v>
      </c>
      <c r="F66" s="152">
        <v>2020</v>
      </c>
      <c r="G66" s="340">
        <v>44076.609027777777</v>
      </c>
      <c r="H66" s="152" t="s">
        <v>633</v>
      </c>
      <c r="I66" s="152" t="s">
        <v>669</v>
      </c>
      <c r="J66" s="152" t="s">
        <v>1280</v>
      </c>
      <c r="L66" s="152" t="s">
        <v>1055</v>
      </c>
      <c r="M66" s="152" t="s">
        <v>676</v>
      </c>
      <c r="N66" s="152" t="s">
        <v>637</v>
      </c>
      <c r="O66" s="152" t="s">
        <v>647</v>
      </c>
      <c r="P66" s="152" t="s">
        <v>1279</v>
      </c>
      <c r="Q66" s="152" t="s">
        <v>637</v>
      </c>
      <c r="R66" s="152" t="s">
        <v>709</v>
      </c>
      <c r="S66" s="152" t="s">
        <v>637</v>
      </c>
      <c r="T66" s="152" t="s">
        <v>708</v>
      </c>
      <c r="U66" s="152" t="s">
        <v>644</v>
      </c>
      <c r="V66" s="152" t="s">
        <v>199</v>
      </c>
      <c r="W66" s="152" t="s">
        <v>643</v>
      </c>
      <c r="Y66" s="152" t="s">
        <v>637</v>
      </c>
      <c r="Z66" s="152" t="s">
        <v>642</v>
      </c>
      <c r="AA66" s="152" t="s">
        <v>641</v>
      </c>
      <c r="AB66" s="152" t="s">
        <v>640</v>
      </c>
      <c r="AC66" s="152" t="s">
        <v>708</v>
      </c>
      <c r="AD66" s="152" t="s">
        <v>706</v>
      </c>
      <c r="AE66" s="152" t="s">
        <v>637</v>
      </c>
      <c r="AF66" s="152" t="s">
        <v>633</v>
      </c>
      <c r="AG66" s="152" t="s">
        <v>637</v>
      </c>
      <c r="AH66" s="152" t="s">
        <v>664</v>
      </c>
      <c r="AI66" s="152" t="s">
        <v>628</v>
      </c>
      <c r="AJ66" s="152" t="s">
        <v>635</v>
      </c>
      <c r="AK66" s="152" t="s">
        <v>634</v>
      </c>
      <c r="AL66" s="152" t="s">
        <v>637</v>
      </c>
      <c r="AM66" s="152" t="s">
        <v>1061</v>
      </c>
      <c r="AO66" s="152" t="s">
        <v>631</v>
      </c>
      <c r="AP66" s="152" t="s">
        <v>628</v>
      </c>
      <c r="AQ66" s="152" t="s">
        <v>671</v>
      </c>
      <c r="AR66" s="152" t="s">
        <v>629</v>
      </c>
      <c r="AS66" s="152" t="s">
        <v>628</v>
      </c>
      <c r="AT66" s="152" t="s">
        <v>702</v>
      </c>
      <c r="AU66" s="152">
        <v>2020</v>
      </c>
      <c r="AV66" s="339">
        <v>6995</v>
      </c>
      <c r="AW66" s="339">
        <v>2010364</v>
      </c>
      <c r="AX66" s="152">
        <v>2</v>
      </c>
      <c r="AY66" s="152">
        <v>0</v>
      </c>
      <c r="AZ66" s="152">
        <v>75</v>
      </c>
      <c r="BA66" s="152">
        <v>0.116661918</v>
      </c>
      <c r="BB66" s="152">
        <v>713</v>
      </c>
      <c r="BC66" s="152">
        <v>90</v>
      </c>
      <c r="BD66" s="152">
        <v>7.8189998000000003</v>
      </c>
    </row>
    <row r="67" spans="1:56" x14ac:dyDescent="0.25">
      <c r="A67" s="152" t="s">
        <v>1207</v>
      </c>
      <c r="B67" s="152">
        <v>43.609090000000002</v>
      </c>
      <c r="C67" s="152">
        <v>-96.956835999999996</v>
      </c>
      <c r="D67" s="152">
        <v>29</v>
      </c>
      <c r="E67" s="152" t="s">
        <v>652</v>
      </c>
      <c r="F67" s="152">
        <v>2018</v>
      </c>
      <c r="G67" s="340">
        <v>43406.319444444445</v>
      </c>
      <c r="H67" s="152" t="s">
        <v>637</v>
      </c>
      <c r="I67" s="152" t="s">
        <v>669</v>
      </c>
      <c r="J67" s="152" t="s">
        <v>660</v>
      </c>
      <c r="K67" s="152" t="s">
        <v>1278</v>
      </c>
      <c r="L67" s="152" t="s">
        <v>1055</v>
      </c>
      <c r="M67" s="152" t="s">
        <v>648</v>
      </c>
      <c r="N67" s="152" t="s">
        <v>637</v>
      </c>
      <c r="O67" s="152" t="s">
        <v>647</v>
      </c>
      <c r="P67" s="152" t="s">
        <v>887</v>
      </c>
      <c r="Q67" s="152" t="s">
        <v>637</v>
      </c>
      <c r="R67" s="152" t="s">
        <v>656</v>
      </c>
      <c r="S67" s="152" t="s">
        <v>637</v>
      </c>
      <c r="T67" s="152" t="s">
        <v>656</v>
      </c>
      <c r="U67" s="152" t="s">
        <v>644</v>
      </c>
      <c r="V67" s="152" t="s">
        <v>199</v>
      </c>
      <c r="W67" s="152" t="s">
        <v>643</v>
      </c>
      <c r="Y67" s="152" t="s">
        <v>637</v>
      </c>
      <c r="Z67" s="152" t="s">
        <v>783</v>
      </c>
      <c r="AA67" s="152" t="s">
        <v>641</v>
      </c>
      <c r="AB67" s="152" t="s">
        <v>728</v>
      </c>
      <c r="AC67" s="152" t="s">
        <v>656</v>
      </c>
      <c r="AD67" s="152" t="s">
        <v>673</v>
      </c>
      <c r="AE67" s="152" t="s">
        <v>637</v>
      </c>
      <c r="AF67" s="152" t="s">
        <v>637</v>
      </c>
      <c r="AG67" s="152" t="s">
        <v>637</v>
      </c>
      <c r="AH67" s="152" t="s">
        <v>664</v>
      </c>
      <c r="AI67" s="152" t="s">
        <v>628</v>
      </c>
      <c r="AJ67" s="152" t="s">
        <v>635</v>
      </c>
      <c r="AK67" s="152" t="s">
        <v>634</v>
      </c>
      <c r="AL67" s="152" t="s">
        <v>637</v>
      </c>
      <c r="AM67" s="152" t="s">
        <v>1277</v>
      </c>
      <c r="AN67" s="152" t="s">
        <v>1007</v>
      </c>
      <c r="AO67" s="152" t="s">
        <v>631</v>
      </c>
      <c r="AP67" s="152" t="s">
        <v>628</v>
      </c>
      <c r="AQ67" s="152" t="s">
        <v>1276</v>
      </c>
      <c r="AR67" s="152" t="s">
        <v>772</v>
      </c>
      <c r="AS67" s="152" t="s">
        <v>628</v>
      </c>
      <c r="AT67" s="152" t="s">
        <v>702</v>
      </c>
      <c r="AU67" s="152">
        <v>2018</v>
      </c>
      <c r="AV67" s="339">
        <v>6995</v>
      </c>
      <c r="AW67" s="339">
        <v>1814382</v>
      </c>
      <c r="AX67" s="152">
        <v>2</v>
      </c>
      <c r="AY67" s="152">
        <v>0</v>
      </c>
      <c r="AZ67" s="152">
        <v>75</v>
      </c>
      <c r="BA67" s="152">
        <v>0.81914214100000005</v>
      </c>
      <c r="BB67" s="152">
        <v>467</v>
      </c>
      <c r="BC67" s="152">
        <v>90</v>
      </c>
      <c r="BD67" s="152">
        <v>7.8189998000000003</v>
      </c>
    </row>
    <row r="68" spans="1:56" x14ac:dyDescent="0.25">
      <c r="A68" s="152" t="s">
        <v>1207</v>
      </c>
      <c r="B68" s="152">
        <v>43.609091999999997</v>
      </c>
      <c r="C68" s="152">
        <v>-96.958320000000001</v>
      </c>
      <c r="D68" s="152">
        <v>29</v>
      </c>
      <c r="E68" s="152" t="s">
        <v>652</v>
      </c>
      <c r="F68" s="152">
        <v>2019</v>
      </c>
      <c r="G68" s="340">
        <v>43506.258333333331</v>
      </c>
      <c r="H68" s="152" t="s">
        <v>637</v>
      </c>
      <c r="I68" s="152" t="s">
        <v>669</v>
      </c>
      <c r="J68" s="152" t="s">
        <v>650</v>
      </c>
      <c r="K68" s="152" t="s">
        <v>659</v>
      </c>
      <c r="L68" s="152" t="s">
        <v>1055</v>
      </c>
      <c r="M68" s="152" t="s">
        <v>712</v>
      </c>
      <c r="N68" s="152" t="s">
        <v>637</v>
      </c>
      <c r="O68" s="152" t="s">
        <v>647</v>
      </c>
      <c r="P68" s="152" t="s">
        <v>820</v>
      </c>
      <c r="Q68" s="152" t="s">
        <v>637</v>
      </c>
      <c r="R68" s="152" t="s">
        <v>1275</v>
      </c>
      <c r="S68" s="152" t="s">
        <v>637</v>
      </c>
      <c r="T68" s="152" t="s">
        <v>687</v>
      </c>
      <c r="U68" s="152" t="s">
        <v>644</v>
      </c>
      <c r="V68" s="152" t="s">
        <v>199</v>
      </c>
      <c r="W68" s="152" t="s">
        <v>643</v>
      </c>
      <c r="Y68" s="152" t="s">
        <v>637</v>
      </c>
      <c r="Z68" s="152" t="s">
        <v>642</v>
      </c>
      <c r="AA68" s="152" t="s">
        <v>665</v>
      </c>
      <c r="AB68" s="152" t="s">
        <v>640</v>
      </c>
      <c r="AC68" s="152" t="s">
        <v>687</v>
      </c>
      <c r="AD68" s="152" t="s">
        <v>718</v>
      </c>
      <c r="AE68" s="152" t="s">
        <v>637</v>
      </c>
      <c r="AF68" s="152" t="s">
        <v>637</v>
      </c>
      <c r="AG68" s="152" t="s">
        <v>637</v>
      </c>
      <c r="AH68" s="152" t="s">
        <v>677</v>
      </c>
      <c r="AI68" s="152" t="s">
        <v>655</v>
      </c>
      <c r="AJ68" s="152" t="s">
        <v>635</v>
      </c>
      <c r="AK68" s="152" t="s">
        <v>634</v>
      </c>
      <c r="AL68" s="152" t="s">
        <v>633</v>
      </c>
      <c r="AM68" s="152" t="s">
        <v>1274</v>
      </c>
      <c r="AO68" s="152" t="s">
        <v>631</v>
      </c>
      <c r="AP68" s="152" t="s">
        <v>628</v>
      </c>
      <c r="AQ68" s="152" t="s">
        <v>703</v>
      </c>
      <c r="AR68" s="152" t="s">
        <v>629</v>
      </c>
      <c r="AS68" s="152" t="s">
        <v>678</v>
      </c>
      <c r="AT68" s="152" t="s">
        <v>677</v>
      </c>
      <c r="AU68" s="152">
        <v>2019</v>
      </c>
      <c r="AV68" s="339">
        <v>6995</v>
      </c>
      <c r="AW68" s="339">
        <v>1901781</v>
      </c>
      <c r="AX68" s="152">
        <v>10</v>
      </c>
      <c r="AY68" s="152">
        <v>0</v>
      </c>
      <c r="AZ68" s="152">
        <v>75</v>
      </c>
      <c r="BA68" s="152">
        <v>2.5838990000000002E-3</v>
      </c>
      <c r="BB68" s="152">
        <v>513</v>
      </c>
      <c r="BC68" s="152">
        <v>90</v>
      </c>
      <c r="BD68" s="152">
        <v>7.8189998000000003</v>
      </c>
    </row>
    <row r="69" spans="1:56" x14ac:dyDescent="0.25">
      <c r="A69" s="152" t="s">
        <v>1207</v>
      </c>
      <c r="B69" s="152">
        <v>43.609093000000001</v>
      </c>
      <c r="C69" s="152">
        <v>-96.955427999999998</v>
      </c>
      <c r="D69" s="152">
        <v>29</v>
      </c>
      <c r="E69" s="152" t="s">
        <v>697</v>
      </c>
      <c r="F69" s="152">
        <v>2019</v>
      </c>
      <c r="G69" s="340">
        <v>43748.031944444447</v>
      </c>
      <c r="H69" s="152" t="s">
        <v>637</v>
      </c>
      <c r="I69" s="152" t="s">
        <v>696</v>
      </c>
      <c r="J69" s="152" t="s">
        <v>697</v>
      </c>
      <c r="L69" s="152" t="s">
        <v>1055</v>
      </c>
      <c r="M69" s="152" t="s">
        <v>668</v>
      </c>
      <c r="N69" s="152" t="s">
        <v>637</v>
      </c>
      <c r="O69" s="152" t="s">
        <v>647</v>
      </c>
      <c r="P69" s="152" t="s">
        <v>696</v>
      </c>
      <c r="Q69" s="152" t="s">
        <v>637</v>
      </c>
      <c r="R69" s="152" t="s">
        <v>701</v>
      </c>
      <c r="S69" s="152" t="s">
        <v>637</v>
      </c>
      <c r="T69" s="152" t="s">
        <v>701</v>
      </c>
      <c r="U69" s="152" t="s">
        <v>644</v>
      </c>
      <c r="V69" s="152" t="s">
        <v>199</v>
      </c>
      <c r="W69" s="152" t="s">
        <v>643</v>
      </c>
      <c r="Y69" s="152" t="s">
        <v>637</v>
      </c>
      <c r="Z69" s="152" t="s">
        <v>696</v>
      </c>
      <c r="AA69" s="152" t="s">
        <v>1120</v>
      </c>
      <c r="AB69" s="152" t="s">
        <v>640</v>
      </c>
      <c r="AC69" s="152" t="s">
        <v>701</v>
      </c>
      <c r="AD69" s="152" t="s">
        <v>700</v>
      </c>
      <c r="AE69" s="152" t="s">
        <v>637</v>
      </c>
      <c r="AF69" s="152" t="s">
        <v>637</v>
      </c>
      <c r="AG69" s="152" t="s">
        <v>637</v>
      </c>
      <c r="AH69" s="152" t="s">
        <v>762</v>
      </c>
      <c r="AI69" s="152" t="s">
        <v>699</v>
      </c>
      <c r="AJ69" s="152" t="s">
        <v>696</v>
      </c>
      <c r="AL69" s="152" t="s">
        <v>637</v>
      </c>
      <c r="AM69" s="152" t="s">
        <v>1273</v>
      </c>
      <c r="AO69" s="152" t="s">
        <v>631</v>
      </c>
      <c r="AP69" s="152" t="s">
        <v>697</v>
      </c>
      <c r="AQ69" s="152" t="s">
        <v>630</v>
      </c>
      <c r="AS69" s="152" t="s">
        <v>696</v>
      </c>
      <c r="AT69" s="152" t="s">
        <v>793</v>
      </c>
      <c r="AU69" s="152">
        <v>2019</v>
      </c>
      <c r="AV69" s="339">
        <v>6995</v>
      </c>
      <c r="AW69" s="339">
        <v>1914110</v>
      </c>
      <c r="AX69" s="152">
        <v>10</v>
      </c>
      <c r="AY69" s="152">
        <v>-1</v>
      </c>
      <c r="AZ69" s="152">
        <v>75</v>
      </c>
      <c r="BA69" s="152">
        <v>1.8552839590000001</v>
      </c>
      <c r="BB69" s="152">
        <v>594</v>
      </c>
      <c r="BC69" s="152">
        <v>90</v>
      </c>
      <c r="BD69" s="152">
        <v>7.8189998000000003</v>
      </c>
    </row>
    <row r="70" spans="1:56" x14ac:dyDescent="0.25">
      <c r="A70" s="152" t="s">
        <v>1207</v>
      </c>
      <c r="B70" s="152">
        <v>43.609096999999998</v>
      </c>
      <c r="C70" s="152">
        <v>-96.950247000000005</v>
      </c>
      <c r="D70" s="152">
        <v>29</v>
      </c>
      <c r="E70" s="152" t="s">
        <v>652</v>
      </c>
      <c r="F70" s="152">
        <v>2016</v>
      </c>
      <c r="G70" s="340">
        <v>42583.666666666664</v>
      </c>
      <c r="H70" s="152" t="s">
        <v>637</v>
      </c>
      <c r="I70" s="152" t="s">
        <v>669</v>
      </c>
      <c r="J70" s="152" t="s">
        <v>650</v>
      </c>
      <c r="K70" s="152" t="s">
        <v>1272</v>
      </c>
      <c r="L70" s="152" t="s">
        <v>1055</v>
      </c>
      <c r="M70" s="152" t="s">
        <v>685</v>
      </c>
      <c r="N70" s="152" t="s">
        <v>637</v>
      </c>
      <c r="O70" s="152" t="s">
        <v>647</v>
      </c>
      <c r="P70" s="152" t="s">
        <v>1271</v>
      </c>
      <c r="Q70" s="152" t="s">
        <v>637</v>
      </c>
      <c r="R70" s="152" t="s">
        <v>1270</v>
      </c>
      <c r="S70" s="152" t="s">
        <v>637</v>
      </c>
      <c r="T70" s="152" t="s">
        <v>1270</v>
      </c>
      <c r="U70" s="152" t="s">
        <v>644</v>
      </c>
      <c r="V70" s="152" t="s">
        <v>199</v>
      </c>
      <c r="W70" s="152" t="s">
        <v>643</v>
      </c>
      <c r="Y70" s="152" t="s">
        <v>637</v>
      </c>
      <c r="Z70" s="152" t="s">
        <v>783</v>
      </c>
      <c r="AA70" s="152" t="s">
        <v>641</v>
      </c>
      <c r="AB70" s="152" t="s">
        <v>640</v>
      </c>
      <c r="AC70" s="152" t="s">
        <v>1270</v>
      </c>
      <c r="AD70" s="152" t="s">
        <v>738</v>
      </c>
      <c r="AE70" s="152" t="s">
        <v>637</v>
      </c>
      <c r="AF70" s="152" t="s">
        <v>637</v>
      </c>
      <c r="AG70" s="152" t="s">
        <v>637</v>
      </c>
      <c r="AH70" s="152" t="s">
        <v>664</v>
      </c>
      <c r="AI70" s="152" t="s">
        <v>628</v>
      </c>
      <c r="AJ70" s="152" t="s">
        <v>635</v>
      </c>
      <c r="AK70" s="152" t="s">
        <v>634</v>
      </c>
      <c r="AL70" s="152" t="s">
        <v>637</v>
      </c>
      <c r="AM70" s="152" t="s">
        <v>966</v>
      </c>
      <c r="AO70" s="152" t="s">
        <v>631</v>
      </c>
      <c r="AP70" s="152" t="s">
        <v>1269</v>
      </c>
      <c r="AQ70" s="152" t="s">
        <v>662</v>
      </c>
      <c r="AR70" s="152" t="s">
        <v>629</v>
      </c>
      <c r="AS70" s="152" t="s">
        <v>628</v>
      </c>
      <c r="AT70" s="152" t="s">
        <v>695</v>
      </c>
      <c r="AU70" s="152">
        <v>2016</v>
      </c>
      <c r="AV70" s="339">
        <v>6995</v>
      </c>
      <c r="AW70" s="339">
        <v>1609232</v>
      </c>
      <c r="AX70" s="152">
        <v>1</v>
      </c>
      <c r="AY70" s="152">
        <v>0</v>
      </c>
      <c r="AZ70" s="152">
        <v>75</v>
      </c>
      <c r="BA70" s="152">
        <v>0.12841391099999999</v>
      </c>
      <c r="BB70" s="152">
        <v>94</v>
      </c>
      <c r="BC70" s="152">
        <v>90</v>
      </c>
      <c r="BD70" s="152">
        <v>7.8189998000000003</v>
      </c>
    </row>
    <row r="71" spans="1:56" x14ac:dyDescent="0.25">
      <c r="A71" s="152" t="s">
        <v>1207</v>
      </c>
      <c r="B71" s="152">
        <v>43.609098000000003</v>
      </c>
      <c r="C71" s="152">
        <v>-96.955499000000003</v>
      </c>
      <c r="D71" s="152">
        <v>29</v>
      </c>
      <c r="E71" s="152" t="s">
        <v>746</v>
      </c>
      <c r="F71" s="152">
        <v>2017</v>
      </c>
      <c r="G71" s="340">
        <v>42859.838888888888</v>
      </c>
      <c r="H71" s="152" t="s">
        <v>637</v>
      </c>
      <c r="I71" s="152" t="s">
        <v>669</v>
      </c>
      <c r="J71" s="152" t="s">
        <v>1268</v>
      </c>
      <c r="K71" s="152" t="s">
        <v>743</v>
      </c>
      <c r="L71" s="152" t="s">
        <v>1055</v>
      </c>
      <c r="M71" s="152" t="s">
        <v>668</v>
      </c>
      <c r="N71" s="152" t="s">
        <v>633</v>
      </c>
      <c r="O71" s="152" t="s">
        <v>647</v>
      </c>
      <c r="P71" s="152" t="s">
        <v>866</v>
      </c>
      <c r="Q71" s="152" t="s">
        <v>637</v>
      </c>
      <c r="R71" s="152" t="s">
        <v>656</v>
      </c>
      <c r="S71" s="152" t="s">
        <v>637</v>
      </c>
      <c r="T71" s="152" t="s">
        <v>656</v>
      </c>
      <c r="U71" s="152" t="s">
        <v>644</v>
      </c>
      <c r="V71" s="152" t="s">
        <v>199</v>
      </c>
      <c r="W71" s="152" t="s">
        <v>643</v>
      </c>
      <c r="Y71" s="152" t="s">
        <v>637</v>
      </c>
      <c r="Z71" s="152" t="s">
        <v>642</v>
      </c>
      <c r="AA71" s="152" t="s">
        <v>641</v>
      </c>
      <c r="AB71" s="152" t="s">
        <v>740</v>
      </c>
      <c r="AC71" s="152" t="s">
        <v>656</v>
      </c>
      <c r="AD71" s="152" t="s">
        <v>752</v>
      </c>
      <c r="AE71" s="152" t="s">
        <v>637</v>
      </c>
      <c r="AF71" s="152" t="s">
        <v>637</v>
      </c>
      <c r="AG71" s="152" t="s">
        <v>637</v>
      </c>
      <c r="AH71" s="152" t="s">
        <v>664</v>
      </c>
      <c r="AI71" s="152" t="s">
        <v>628</v>
      </c>
      <c r="AJ71" s="152" t="s">
        <v>635</v>
      </c>
      <c r="AK71" s="152" t="s">
        <v>634</v>
      </c>
      <c r="AL71" s="152" t="s">
        <v>637</v>
      </c>
      <c r="AM71" s="152" t="s">
        <v>1267</v>
      </c>
      <c r="AO71" s="152" t="s">
        <v>631</v>
      </c>
      <c r="AP71" s="152" t="s">
        <v>628</v>
      </c>
      <c r="AQ71" s="152" t="s">
        <v>773</v>
      </c>
      <c r="AR71" s="152" t="s">
        <v>629</v>
      </c>
      <c r="AS71" s="152" t="s">
        <v>628</v>
      </c>
      <c r="AT71" s="152" t="s">
        <v>702</v>
      </c>
      <c r="AU71" s="152">
        <v>2017</v>
      </c>
      <c r="AV71" s="339">
        <v>6995</v>
      </c>
      <c r="AW71" s="339">
        <v>1705275</v>
      </c>
      <c r="AX71" s="152">
        <v>4</v>
      </c>
      <c r="AY71" s="152">
        <v>0</v>
      </c>
      <c r="AZ71" s="152">
        <v>75</v>
      </c>
      <c r="BA71" s="152">
        <v>0.113965551</v>
      </c>
      <c r="BB71" s="152">
        <v>217</v>
      </c>
      <c r="BC71" s="152">
        <v>90</v>
      </c>
      <c r="BD71" s="152">
        <v>7.8189998000000003</v>
      </c>
    </row>
    <row r="72" spans="1:56" x14ac:dyDescent="0.25">
      <c r="A72" s="152" t="s">
        <v>1207</v>
      </c>
      <c r="B72" s="152">
        <v>43.609110999999999</v>
      </c>
      <c r="C72" s="152">
        <v>-97.024243999999996</v>
      </c>
      <c r="D72" s="152">
        <v>29</v>
      </c>
      <c r="E72" s="152" t="s">
        <v>697</v>
      </c>
      <c r="F72" s="152">
        <v>2020</v>
      </c>
      <c r="G72" s="340">
        <v>43981.416666666664</v>
      </c>
      <c r="H72" s="152" t="s">
        <v>637</v>
      </c>
      <c r="I72" s="152" t="s">
        <v>696</v>
      </c>
      <c r="J72" s="152" t="s">
        <v>697</v>
      </c>
      <c r="L72" s="152" t="s">
        <v>1055</v>
      </c>
      <c r="M72" s="152" t="s">
        <v>693</v>
      </c>
      <c r="N72" s="152" t="s">
        <v>637</v>
      </c>
      <c r="O72" s="152" t="s">
        <v>647</v>
      </c>
      <c r="P72" s="152" t="s">
        <v>696</v>
      </c>
      <c r="Q72" s="152" t="s">
        <v>637</v>
      </c>
      <c r="R72" s="152" t="s">
        <v>701</v>
      </c>
      <c r="S72" s="152" t="s">
        <v>637</v>
      </c>
      <c r="T72" s="152" t="s">
        <v>701</v>
      </c>
      <c r="U72" s="152" t="s">
        <v>644</v>
      </c>
      <c r="V72" s="152" t="s">
        <v>199</v>
      </c>
      <c r="W72" s="152" t="s">
        <v>643</v>
      </c>
      <c r="Y72" s="152" t="s">
        <v>637</v>
      </c>
      <c r="Z72" s="152" t="s">
        <v>696</v>
      </c>
      <c r="AA72" s="152" t="s">
        <v>641</v>
      </c>
      <c r="AB72" s="152" t="s">
        <v>640</v>
      </c>
      <c r="AC72" s="152" t="s">
        <v>701</v>
      </c>
      <c r="AD72" s="152" t="s">
        <v>752</v>
      </c>
      <c r="AE72" s="152" t="s">
        <v>637</v>
      </c>
      <c r="AF72" s="152" t="s">
        <v>637</v>
      </c>
      <c r="AG72" s="152" t="s">
        <v>637</v>
      </c>
      <c r="AH72" s="152" t="s">
        <v>664</v>
      </c>
      <c r="AI72" s="152" t="s">
        <v>699</v>
      </c>
      <c r="AJ72" s="152" t="s">
        <v>696</v>
      </c>
      <c r="AL72" s="152" t="s">
        <v>637</v>
      </c>
      <c r="AM72" s="152" t="s">
        <v>898</v>
      </c>
      <c r="AO72" s="152" t="s">
        <v>631</v>
      </c>
      <c r="AP72" s="152" t="s">
        <v>697</v>
      </c>
      <c r="AQ72" s="152" t="s">
        <v>630</v>
      </c>
      <c r="AS72" s="152" t="s">
        <v>696</v>
      </c>
      <c r="AT72" s="152" t="s">
        <v>702</v>
      </c>
      <c r="AU72" s="152">
        <v>2020</v>
      </c>
      <c r="AV72" s="339">
        <v>6995</v>
      </c>
      <c r="AW72" s="339">
        <v>2006178</v>
      </c>
      <c r="AX72" s="152">
        <v>30</v>
      </c>
      <c r="AY72" s="152">
        <v>-1</v>
      </c>
      <c r="AZ72" s="152">
        <v>75</v>
      </c>
      <c r="BA72" s="152">
        <v>5.9914743359999996</v>
      </c>
      <c r="BB72" s="152">
        <v>689</v>
      </c>
      <c r="BC72" s="152">
        <v>90</v>
      </c>
      <c r="BD72" s="152">
        <v>7.8189998000000003</v>
      </c>
    </row>
    <row r="73" spans="1:56" x14ac:dyDescent="0.25">
      <c r="A73" s="152" t="s">
        <v>1207</v>
      </c>
      <c r="B73" s="152">
        <v>43.609350999999997</v>
      </c>
      <c r="C73" s="152">
        <v>-97.026291000000001</v>
      </c>
      <c r="D73" s="152">
        <v>29</v>
      </c>
      <c r="E73" s="152" t="s">
        <v>759</v>
      </c>
      <c r="F73" s="152">
        <v>2016</v>
      </c>
      <c r="G73" s="340">
        <v>42395.204861111109</v>
      </c>
      <c r="H73" s="152" t="s">
        <v>637</v>
      </c>
      <c r="I73" s="152" t="s">
        <v>651</v>
      </c>
      <c r="J73" s="152" t="s">
        <v>879</v>
      </c>
      <c r="L73" s="152" t="s">
        <v>1055</v>
      </c>
      <c r="M73" s="152" t="s">
        <v>736</v>
      </c>
      <c r="N73" s="152" t="s">
        <v>637</v>
      </c>
      <c r="O73" s="152" t="s">
        <v>647</v>
      </c>
      <c r="P73" s="152" t="s">
        <v>646</v>
      </c>
      <c r="Q73" s="152" t="s">
        <v>637</v>
      </c>
      <c r="R73" s="152" t="s">
        <v>709</v>
      </c>
      <c r="S73" s="152" t="s">
        <v>637</v>
      </c>
      <c r="T73" s="152" t="s">
        <v>708</v>
      </c>
      <c r="U73" s="152" t="s">
        <v>644</v>
      </c>
      <c r="V73" s="152" t="s">
        <v>199</v>
      </c>
      <c r="W73" s="152" t="s">
        <v>643</v>
      </c>
      <c r="Y73" s="152" t="s">
        <v>637</v>
      </c>
      <c r="Z73" s="152" t="s">
        <v>642</v>
      </c>
      <c r="AA73" s="152" t="s">
        <v>665</v>
      </c>
      <c r="AB73" s="152" t="s">
        <v>640</v>
      </c>
      <c r="AC73" s="152" t="s">
        <v>708</v>
      </c>
      <c r="AD73" s="152" t="s">
        <v>638</v>
      </c>
      <c r="AE73" s="152" t="s">
        <v>637</v>
      </c>
      <c r="AF73" s="152" t="s">
        <v>637</v>
      </c>
      <c r="AG73" s="152" t="s">
        <v>637</v>
      </c>
      <c r="AH73" s="152" t="s">
        <v>636</v>
      </c>
      <c r="AI73" s="152" t="s">
        <v>628</v>
      </c>
      <c r="AJ73" s="152" t="s">
        <v>635</v>
      </c>
      <c r="AK73" s="152" t="s">
        <v>634</v>
      </c>
      <c r="AL73" s="152" t="s">
        <v>633</v>
      </c>
      <c r="AM73" s="152" t="s">
        <v>1162</v>
      </c>
      <c r="AO73" s="152" t="s">
        <v>631</v>
      </c>
      <c r="AP73" s="152" t="s">
        <v>628</v>
      </c>
      <c r="AQ73" s="152" t="s">
        <v>671</v>
      </c>
      <c r="AR73" s="152" t="s">
        <v>629</v>
      </c>
      <c r="AS73" s="152" t="s">
        <v>628</v>
      </c>
      <c r="AT73" s="152" t="s">
        <v>695</v>
      </c>
      <c r="AU73" s="152">
        <v>2016</v>
      </c>
      <c r="AV73" s="339">
        <v>6995</v>
      </c>
      <c r="AW73" s="339">
        <v>1600953</v>
      </c>
      <c r="AX73" s="152">
        <v>26</v>
      </c>
      <c r="AY73" s="152">
        <v>0</v>
      </c>
      <c r="AZ73" s="152">
        <v>75</v>
      </c>
      <c r="BA73" s="152">
        <v>12.579773434</v>
      </c>
      <c r="BB73" s="152">
        <v>19</v>
      </c>
      <c r="BC73" s="152">
        <v>90</v>
      </c>
      <c r="BD73" s="152">
        <v>7.8189998000000003</v>
      </c>
    </row>
    <row r="74" spans="1:56" x14ac:dyDescent="0.25">
      <c r="A74" s="152" t="s">
        <v>1207</v>
      </c>
      <c r="B74" s="152">
        <v>43.610196999999999</v>
      </c>
      <c r="C74" s="152">
        <v>-97.030344999999997</v>
      </c>
      <c r="D74" s="152">
        <v>29</v>
      </c>
      <c r="E74" s="152" t="s">
        <v>697</v>
      </c>
      <c r="F74" s="152">
        <v>2017</v>
      </c>
      <c r="G74" s="340">
        <v>42909.196527777778</v>
      </c>
      <c r="H74" s="152" t="s">
        <v>637</v>
      </c>
      <c r="I74" s="152" t="s">
        <v>696</v>
      </c>
      <c r="J74" s="152" t="s">
        <v>697</v>
      </c>
      <c r="L74" s="152" t="s">
        <v>1055</v>
      </c>
      <c r="M74" s="152" t="s">
        <v>648</v>
      </c>
      <c r="N74" s="152" t="s">
        <v>637</v>
      </c>
      <c r="O74" s="152" t="s">
        <v>647</v>
      </c>
      <c r="P74" s="152" t="s">
        <v>696</v>
      </c>
      <c r="Q74" s="152" t="s">
        <v>637</v>
      </c>
      <c r="R74" s="152" t="s">
        <v>701</v>
      </c>
      <c r="S74" s="152" t="s">
        <v>637</v>
      </c>
      <c r="T74" s="152" t="s">
        <v>701</v>
      </c>
      <c r="U74" s="152" t="s">
        <v>644</v>
      </c>
      <c r="V74" s="152" t="s">
        <v>199</v>
      </c>
      <c r="W74" s="152" t="s">
        <v>643</v>
      </c>
      <c r="Y74" s="152" t="s">
        <v>637</v>
      </c>
      <c r="Z74" s="152" t="s">
        <v>642</v>
      </c>
      <c r="AA74" s="152" t="s">
        <v>782</v>
      </c>
      <c r="AB74" s="152" t="s">
        <v>640</v>
      </c>
      <c r="AC74" s="152" t="s">
        <v>701</v>
      </c>
      <c r="AD74" s="152" t="s">
        <v>771</v>
      </c>
      <c r="AE74" s="152" t="s">
        <v>637</v>
      </c>
      <c r="AF74" s="152" t="s">
        <v>637</v>
      </c>
      <c r="AG74" s="152" t="s">
        <v>637</v>
      </c>
      <c r="AH74" s="152" t="s">
        <v>664</v>
      </c>
      <c r="AI74" s="152" t="s">
        <v>699</v>
      </c>
      <c r="AJ74" s="152" t="s">
        <v>696</v>
      </c>
      <c r="AL74" s="152" t="s">
        <v>637</v>
      </c>
      <c r="AM74" s="152" t="s">
        <v>1266</v>
      </c>
      <c r="AO74" s="152" t="s">
        <v>631</v>
      </c>
      <c r="AP74" s="152" t="s">
        <v>697</v>
      </c>
      <c r="AQ74" s="152" t="s">
        <v>630</v>
      </c>
      <c r="AS74" s="152" t="s">
        <v>696</v>
      </c>
      <c r="AT74" s="152" t="s">
        <v>702</v>
      </c>
      <c r="AU74" s="152">
        <v>2017</v>
      </c>
      <c r="AV74" s="339">
        <v>6995</v>
      </c>
      <c r="AW74" s="339">
        <v>1707670</v>
      </c>
      <c r="AX74" s="152">
        <v>23</v>
      </c>
      <c r="AY74" s="152">
        <v>-1</v>
      </c>
      <c r="AZ74" s="152">
        <v>75</v>
      </c>
      <c r="BA74" s="152">
        <v>7.7021820620000003</v>
      </c>
      <c r="BB74" s="152">
        <v>251</v>
      </c>
      <c r="BC74" s="152">
        <v>90</v>
      </c>
      <c r="BD74" s="152">
        <v>7.8189998000000003</v>
      </c>
    </row>
    <row r="75" spans="1:56" x14ac:dyDescent="0.25">
      <c r="A75" s="152" t="s">
        <v>1207</v>
      </c>
      <c r="B75" s="152">
        <v>43.612611000000001</v>
      </c>
      <c r="C75" s="152">
        <v>-97.029650000000004</v>
      </c>
      <c r="D75" s="152">
        <v>29</v>
      </c>
      <c r="E75" s="152" t="s">
        <v>697</v>
      </c>
      <c r="F75" s="152">
        <v>2019</v>
      </c>
      <c r="G75" s="340">
        <v>43769.238194444442</v>
      </c>
      <c r="H75" s="152" t="s">
        <v>637</v>
      </c>
      <c r="I75" s="152" t="s">
        <v>696</v>
      </c>
      <c r="J75" s="152" t="s">
        <v>697</v>
      </c>
      <c r="L75" s="152" t="s">
        <v>1055</v>
      </c>
      <c r="M75" s="152" t="s">
        <v>668</v>
      </c>
      <c r="N75" s="152" t="s">
        <v>637</v>
      </c>
      <c r="P75" s="152" t="s">
        <v>696</v>
      </c>
      <c r="Q75" s="152" t="s">
        <v>637</v>
      </c>
      <c r="R75" s="152" t="s">
        <v>701</v>
      </c>
      <c r="S75" s="152" t="s">
        <v>637</v>
      </c>
      <c r="T75" s="152" t="s">
        <v>701</v>
      </c>
      <c r="U75" s="152" t="s">
        <v>1265</v>
      </c>
      <c r="V75" s="152" t="s">
        <v>199</v>
      </c>
      <c r="W75" s="152" t="s">
        <v>1103</v>
      </c>
      <c r="Y75" s="152" t="s">
        <v>637</v>
      </c>
      <c r="Z75" s="152" t="s">
        <v>696</v>
      </c>
      <c r="AA75" s="152" t="s">
        <v>665</v>
      </c>
      <c r="AB75" s="152" t="s">
        <v>640</v>
      </c>
      <c r="AC75" s="152" t="s">
        <v>701</v>
      </c>
      <c r="AD75" s="152" t="s">
        <v>700</v>
      </c>
      <c r="AE75" s="152" t="s">
        <v>637</v>
      </c>
      <c r="AF75" s="152" t="s">
        <v>637</v>
      </c>
      <c r="AG75" s="152" t="s">
        <v>637</v>
      </c>
      <c r="AH75" s="152" t="s">
        <v>664</v>
      </c>
      <c r="AI75" s="152" t="s">
        <v>699</v>
      </c>
      <c r="AJ75" s="152" t="s">
        <v>696</v>
      </c>
      <c r="AL75" s="152" t="s">
        <v>637</v>
      </c>
      <c r="AM75" s="152" t="s">
        <v>1264</v>
      </c>
      <c r="AO75" s="152" t="s">
        <v>1099</v>
      </c>
      <c r="AP75" s="152" t="s">
        <v>697</v>
      </c>
      <c r="AQ75" s="152" t="s">
        <v>630</v>
      </c>
      <c r="AS75" s="152" t="s">
        <v>696</v>
      </c>
      <c r="AT75" s="152" t="s">
        <v>702</v>
      </c>
      <c r="AU75" s="152">
        <v>2019</v>
      </c>
      <c r="AV75" s="339">
        <v>6995</v>
      </c>
      <c r="AW75" s="339">
        <v>1915801</v>
      </c>
      <c r="AX75" s="152">
        <v>31</v>
      </c>
      <c r="AY75" s="152">
        <v>-1</v>
      </c>
      <c r="AZ75" s="152">
        <v>55</v>
      </c>
      <c r="BA75" s="152">
        <v>869.579232746</v>
      </c>
      <c r="BB75" s="152">
        <v>604</v>
      </c>
      <c r="BD75" s="152">
        <v>7.8189998000000003</v>
      </c>
    </row>
    <row r="76" spans="1:56" x14ac:dyDescent="0.25">
      <c r="A76" s="152" t="s">
        <v>1207</v>
      </c>
      <c r="B76" s="152">
        <v>43.612901000000001</v>
      </c>
      <c r="C76" s="152">
        <v>-97.036336000000006</v>
      </c>
      <c r="D76" s="152">
        <v>29</v>
      </c>
      <c r="E76" s="152" t="s">
        <v>697</v>
      </c>
      <c r="F76" s="152">
        <v>2018</v>
      </c>
      <c r="G76" s="340">
        <v>43110.729166666664</v>
      </c>
      <c r="H76" s="152" t="s">
        <v>637</v>
      </c>
      <c r="I76" s="152" t="s">
        <v>696</v>
      </c>
      <c r="J76" s="152" t="s">
        <v>697</v>
      </c>
      <c r="L76" s="152" t="s">
        <v>1055</v>
      </c>
      <c r="M76" s="152" t="s">
        <v>676</v>
      </c>
      <c r="N76" s="152" t="s">
        <v>637</v>
      </c>
      <c r="O76" s="152" t="s">
        <v>647</v>
      </c>
      <c r="P76" s="152" t="s">
        <v>696</v>
      </c>
      <c r="Q76" s="152" t="s">
        <v>637</v>
      </c>
      <c r="R76" s="152" t="s">
        <v>701</v>
      </c>
      <c r="S76" s="152" t="s">
        <v>637</v>
      </c>
      <c r="T76" s="152" t="s">
        <v>701</v>
      </c>
      <c r="U76" s="152" t="s">
        <v>644</v>
      </c>
      <c r="V76" s="152" t="s">
        <v>199</v>
      </c>
      <c r="W76" s="152" t="s">
        <v>643</v>
      </c>
      <c r="Y76" s="152" t="s">
        <v>637</v>
      </c>
      <c r="Z76" s="152" t="s">
        <v>642</v>
      </c>
      <c r="AA76" s="152" t="s">
        <v>665</v>
      </c>
      <c r="AB76" s="152" t="s">
        <v>640</v>
      </c>
      <c r="AC76" s="152" t="s">
        <v>701</v>
      </c>
      <c r="AD76" s="152" t="s">
        <v>638</v>
      </c>
      <c r="AE76" s="152" t="s">
        <v>637</v>
      </c>
      <c r="AF76" s="152" t="s">
        <v>637</v>
      </c>
      <c r="AG76" s="152" t="s">
        <v>637</v>
      </c>
      <c r="AH76" s="152" t="s">
        <v>664</v>
      </c>
      <c r="AI76" s="152" t="s">
        <v>699</v>
      </c>
      <c r="AJ76" s="152" t="s">
        <v>696</v>
      </c>
      <c r="AL76" s="152" t="s">
        <v>637</v>
      </c>
      <c r="AM76" s="152" t="s">
        <v>930</v>
      </c>
      <c r="AO76" s="152" t="s">
        <v>631</v>
      </c>
      <c r="AP76" s="152" t="s">
        <v>697</v>
      </c>
      <c r="AQ76" s="152" t="s">
        <v>908</v>
      </c>
      <c r="AS76" s="152" t="s">
        <v>696</v>
      </c>
      <c r="AT76" s="152" t="s">
        <v>702</v>
      </c>
      <c r="AU76" s="152">
        <v>2018</v>
      </c>
      <c r="AV76" s="339">
        <v>6995</v>
      </c>
      <c r="AW76" s="339">
        <v>1801021</v>
      </c>
      <c r="AX76" s="152">
        <v>10</v>
      </c>
      <c r="AY76" s="152">
        <v>-1</v>
      </c>
      <c r="AZ76" s="152">
        <v>75</v>
      </c>
      <c r="BA76" s="152">
        <v>0.15229695900000001</v>
      </c>
      <c r="BB76" s="152">
        <v>327</v>
      </c>
      <c r="BC76" s="152">
        <v>90</v>
      </c>
      <c r="BD76" s="152">
        <v>7.8189998000000003</v>
      </c>
    </row>
    <row r="77" spans="1:56" x14ac:dyDescent="0.25">
      <c r="A77" s="152" t="s">
        <v>1207</v>
      </c>
      <c r="B77" s="152">
        <v>43.612932000000001</v>
      </c>
      <c r="C77" s="152">
        <v>-97.036385999999993</v>
      </c>
      <c r="D77" s="152">
        <v>29</v>
      </c>
      <c r="E77" s="152" t="s">
        <v>759</v>
      </c>
      <c r="F77" s="152">
        <v>2019</v>
      </c>
      <c r="G77" s="340">
        <v>43526.795138888891</v>
      </c>
      <c r="H77" s="152" t="s">
        <v>637</v>
      </c>
      <c r="I77" s="152" t="s">
        <v>669</v>
      </c>
      <c r="J77" s="152" t="s">
        <v>975</v>
      </c>
      <c r="L77" s="152" t="s">
        <v>1055</v>
      </c>
      <c r="M77" s="152" t="s">
        <v>693</v>
      </c>
      <c r="N77" s="152" t="s">
        <v>637</v>
      </c>
      <c r="O77" s="152" t="s">
        <v>647</v>
      </c>
      <c r="P77" s="152" t="s">
        <v>646</v>
      </c>
      <c r="Q77" s="152" t="s">
        <v>637</v>
      </c>
      <c r="R77" s="152" t="s">
        <v>709</v>
      </c>
      <c r="S77" s="152" t="s">
        <v>637</v>
      </c>
      <c r="T77" s="152" t="s">
        <v>708</v>
      </c>
      <c r="U77" s="152" t="s">
        <v>644</v>
      </c>
      <c r="V77" s="152" t="s">
        <v>199</v>
      </c>
      <c r="W77" s="152" t="s">
        <v>643</v>
      </c>
      <c r="Y77" s="152" t="s">
        <v>637</v>
      </c>
      <c r="Z77" s="152" t="s">
        <v>642</v>
      </c>
      <c r="AA77" s="152" t="s">
        <v>665</v>
      </c>
      <c r="AB77" s="152" t="s">
        <v>640</v>
      </c>
      <c r="AC77" s="152" t="s">
        <v>708</v>
      </c>
      <c r="AD77" s="152" t="s">
        <v>691</v>
      </c>
      <c r="AE77" s="152" t="s">
        <v>637</v>
      </c>
      <c r="AF77" s="152" t="s">
        <v>637</v>
      </c>
      <c r="AG77" s="152" t="s">
        <v>637</v>
      </c>
      <c r="AH77" s="152" t="s">
        <v>677</v>
      </c>
      <c r="AI77" s="152" t="s">
        <v>655</v>
      </c>
      <c r="AJ77" s="152" t="s">
        <v>680</v>
      </c>
      <c r="AK77" s="152" t="s">
        <v>634</v>
      </c>
      <c r="AL77" s="152" t="s">
        <v>633</v>
      </c>
      <c r="AM77" s="152" t="s">
        <v>1263</v>
      </c>
      <c r="AO77" s="152" t="s">
        <v>631</v>
      </c>
      <c r="AP77" s="152" t="s">
        <v>628</v>
      </c>
      <c r="AQ77" s="152" t="s">
        <v>671</v>
      </c>
      <c r="AR77" s="152" t="s">
        <v>1262</v>
      </c>
      <c r="AS77" s="152" t="s">
        <v>678</v>
      </c>
      <c r="AT77" s="152" t="s">
        <v>627</v>
      </c>
      <c r="AU77" s="152">
        <v>2019</v>
      </c>
      <c r="AV77" s="339">
        <v>6995</v>
      </c>
      <c r="AW77" s="339">
        <v>1903845</v>
      </c>
      <c r="AX77" s="152">
        <v>2</v>
      </c>
      <c r="AY77" s="152">
        <v>0</v>
      </c>
      <c r="AZ77" s="152">
        <v>75</v>
      </c>
      <c r="BA77" s="152">
        <v>1.0003695420000001</v>
      </c>
      <c r="BB77" s="152">
        <v>529</v>
      </c>
      <c r="BC77" s="152">
        <v>90</v>
      </c>
      <c r="BD77" s="152">
        <v>7.8189998000000003</v>
      </c>
    </row>
    <row r="78" spans="1:56" x14ac:dyDescent="0.25">
      <c r="A78" s="152" t="s">
        <v>1207</v>
      </c>
      <c r="B78" s="152">
        <v>43.613405</v>
      </c>
      <c r="C78" s="152">
        <v>-97.037206999999995</v>
      </c>
      <c r="D78" s="152">
        <v>29</v>
      </c>
      <c r="E78" s="152" t="s">
        <v>697</v>
      </c>
      <c r="F78" s="152">
        <v>2018</v>
      </c>
      <c r="G78" s="340">
        <v>43231.881944444445</v>
      </c>
      <c r="H78" s="152" t="s">
        <v>637</v>
      </c>
      <c r="I78" s="152" t="s">
        <v>696</v>
      </c>
      <c r="J78" s="152" t="s">
        <v>697</v>
      </c>
      <c r="L78" s="152" t="s">
        <v>1055</v>
      </c>
      <c r="M78" s="152" t="s">
        <v>648</v>
      </c>
      <c r="N78" s="152" t="s">
        <v>637</v>
      </c>
      <c r="O78" s="152" t="s">
        <v>647</v>
      </c>
      <c r="P78" s="152" t="s">
        <v>696</v>
      </c>
      <c r="Q78" s="152" t="s">
        <v>637</v>
      </c>
      <c r="R78" s="152" t="s">
        <v>701</v>
      </c>
      <c r="S78" s="152" t="s">
        <v>637</v>
      </c>
      <c r="T78" s="152" t="s">
        <v>701</v>
      </c>
      <c r="U78" s="152" t="s">
        <v>644</v>
      </c>
      <c r="V78" s="152" t="s">
        <v>199</v>
      </c>
      <c r="W78" s="152" t="s">
        <v>643</v>
      </c>
      <c r="Y78" s="152" t="s">
        <v>637</v>
      </c>
      <c r="Z78" s="152" t="s">
        <v>642</v>
      </c>
      <c r="AA78" s="152" t="s">
        <v>665</v>
      </c>
      <c r="AB78" s="152" t="s">
        <v>640</v>
      </c>
      <c r="AC78" s="152" t="s">
        <v>701</v>
      </c>
      <c r="AD78" s="152" t="s">
        <v>752</v>
      </c>
      <c r="AE78" s="152" t="s">
        <v>637</v>
      </c>
      <c r="AF78" s="152" t="s">
        <v>637</v>
      </c>
      <c r="AG78" s="152" t="s">
        <v>637</v>
      </c>
      <c r="AH78" s="152" t="s">
        <v>664</v>
      </c>
      <c r="AI78" s="152" t="s">
        <v>699</v>
      </c>
      <c r="AJ78" s="152" t="s">
        <v>696</v>
      </c>
      <c r="AL78" s="152" t="s">
        <v>637</v>
      </c>
      <c r="AM78" s="152" t="s">
        <v>1261</v>
      </c>
      <c r="AO78" s="152" t="s">
        <v>631</v>
      </c>
      <c r="AP78" s="152" t="s">
        <v>697</v>
      </c>
      <c r="AQ78" s="152" t="s">
        <v>671</v>
      </c>
      <c r="AS78" s="152" t="s">
        <v>696</v>
      </c>
      <c r="AT78" s="152" t="s">
        <v>695</v>
      </c>
      <c r="AU78" s="152">
        <v>2018</v>
      </c>
      <c r="AV78" s="339">
        <v>6995</v>
      </c>
      <c r="AW78" s="339">
        <v>1806966</v>
      </c>
      <c r="AX78" s="152">
        <v>11</v>
      </c>
      <c r="AY78" s="152">
        <v>-1</v>
      </c>
      <c r="AZ78" s="152">
        <v>75</v>
      </c>
      <c r="BA78" s="152">
        <v>5.9054918999999997E-2</v>
      </c>
      <c r="BB78" s="152">
        <v>408</v>
      </c>
      <c r="BC78" s="152">
        <v>90</v>
      </c>
      <c r="BD78" s="152">
        <v>7.8189998000000003</v>
      </c>
    </row>
    <row r="79" spans="1:56" x14ac:dyDescent="0.25">
      <c r="A79" s="152" t="s">
        <v>1207</v>
      </c>
      <c r="B79" s="152">
        <v>43.613405</v>
      </c>
      <c r="C79" s="152">
        <v>-97.037206999999995</v>
      </c>
      <c r="D79" s="152">
        <v>29</v>
      </c>
      <c r="E79" s="152" t="s">
        <v>652</v>
      </c>
      <c r="F79" s="152">
        <v>2020</v>
      </c>
      <c r="G79" s="340">
        <v>44119.740277777775</v>
      </c>
      <c r="H79" s="152" t="s">
        <v>637</v>
      </c>
      <c r="I79" s="152" t="s">
        <v>669</v>
      </c>
      <c r="J79" s="152" t="s">
        <v>1094</v>
      </c>
      <c r="K79" s="152" t="s">
        <v>775</v>
      </c>
      <c r="L79" s="152" t="s">
        <v>1055</v>
      </c>
      <c r="M79" s="152" t="s">
        <v>668</v>
      </c>
      <c r="N79" s="152" t="s">
        <v>637</v>
      </c>
      <c r="O79" s="152" t="s">
        <v>647</v>
      </c>
      <c r="P79" s="152" t="s">
        <v>774</v>
      </c>
      <c r="Q79" s="152" t="s">
        <v>637</v>
      </c>
      <c r="R79" s="152" t="s">
        <v>656</v>
      </c>
      <c r="S79" s="152" t="s">
        <v>637</v>
      </c>
      <c r="T79" s="152" t="s">
        <v>656</v>
      </c>
      <c r="U79" s="152" t="s">
        <v>644</v>
      </c>
      <c r="V79" s="152" t="s">
        <v>199</v>
      </c>
      <c r="W79" s="152" t="s">
        <v>643</v>
      </c>
      <c r="Y79" s="152" t="s">
        <v>637</v>
      </c>
      <c r="Z79" s="152" t="s">
        <v>642</v>
      </c>
      <c r="AA79" s="152" t="s">
        <v>641</v>
      </c>
      <c r="AB79" s="152" t="s">
        <v>728</v>
      </c>
      <c r="AC79" s="152" t="s">
        <v>656</v>
      </c>
      <c r="AD79" s="152" t="s">
        <v>700</v>
      </c>
      <c r="AE79" s="152" t="s">
        <v>637</v>
      </c>
      <c r="AF79" s="152" t="s">
        <v>637</v>
      </c>
      <c r="AG79" s="152" t="s">
        <v>637</v>
      </c>
      <c r="AH79" s="152" t="s">
        <v>664</v>
      </c>
      <c r="AI79" s="152" t="s">
        <v>628</v>
      </c>
      <c r="AJ79" s="152" t="s">
        <v>635</v>
      </c>
      <c r="AK79" s="152" t="s">
        <v>634</v>
      </c>
      <c r="AL79" s="152" t="s">
        <v>637</v>
      </c>
      <c r="AM79" s="152" t="s">
        <v>1260</v>
      </c>
      <c r="AO79" s="152" t="s">
        <v>631</v>
      </c>
      <c r="AP79" s="152" t="s">
        <v>628</v>
      </c>
      <c r="AQ79" s="152" t="s">
        <v>773</v>
      </c>
      <c r="AR79" s="152" t="s">
        <v>772</v>
      </c>
      <c r="AS79" s="152" t="s">
        <v>628</v>
      </c>
      <c r="AT79" s="152" t="s">
        <v>702</v>
      </c>
      <c r="AU79" s="152">
        <v>2020</v>
      </c>
      <c r="AV79" s="339">
        <v>6995</v>
      </c>
      <c r="AW79" s="339">
        <v>2012544</v>
      </c>
      <c r="AX79" s="152">
        <v>15</v>
      </c>
      <c r="AY79" s="152">
        <v>0</v>
      </c>
      <c r="AZ79" s="152">
        <v>75</v>
      </c>
      <c r="BA79" s="152">
        <v>5.9054918999999997E-2</v>
      </c>
      <c r="BB79" s="152">
        <v>729</v>
      </c>
      <c r="BC79" s="152">
        <v>90</v>
      </c>
      <c r="BD79" s="152">
        <v>7.8189998000000003</v>
      </c>
    </row>
    <row r="80" spans="1:56" x14ac:dyDescent="0.25">
      <c r="A80" s="152" t="s">
        <v>1207</v>
      </c>
      <c r="B80" s="152">
        <v>43.613494000000003</v>
      </c>
      <c r="C80" s="152">
        <v>-97.037350000000004</v>
      </c>
      <c r="D80" s="152">
        <v>29</v>
      </c>
      <c r="E80" s="152" t="s">
        <v>652</v>
      </c>
      <c r="F80" s="152">
        <v>2019</v>
      </c>
      <c r="G80" s="340">
        <v>43639.629861111112</v>
      </c>
      <c r="H80" s="152" t="s">
        <v>637</v>
      </c>
      <c r="I80" s="152" t="s">
        <v>669</v>
      </c>
      <c r="J80" s="152" t="s">
        <v>660</v>
      </c>
      <c r="L80" s="152" t="s">
        <v>1055</v>
      </c>
      <c r="M80" s="152" t="s">
        <v>712</v>
      </c>
      <c r="N80" s="152" t="s">
        <v>633</v>
      </c>
      <c r="O80" s="152" t="s">
        <v>647</v>
      </c>
      <c r="P80" s="152" t="s">
        <v>866</v>
      </c>
      <c r="Q80" s="152" t="s">
        <v>637</v>
      </c>
      <c r="R80" s="152" t="s">
        <v>656</v>
      </c>
      <c r="S80" s="152" t="s">
        <v>637</v>
      </c>
      <c r="T80" s="152" t="s">
        <v>656</v>
      </c>
      <c r="U80" s="152" t="s">
        <v>644</v>
      </c>
      <c r="V80" s="152" t="s">
        <v>199</v>
      </c>
      <c r="W80" s="152" t="s">
        <v>643</v>
      </c>
      <c r="Y80" s="152" t="s">
        <v>637</v>
      </c>
      <c r="Z80" s="152" t="s">
        <v>642</v>
      </c>
      <c r="AA80" s="152" t="s">
        <v>641</v>
      </c>
      <c r="AB80" s="152" t="s">
        <v>728</v>
      </c>
      <c r="AC80" s="152" t="s">
        <v>656</v>
      </c>
      <c r="AD80" s="152" t="s">
        <v>771</v>
      </c>
      <c r="AE80" s="152" t="s">
        <v>637</v>
      </c>
      <c r="AF80" s="152" t="s">
        <v>637</v>
      </c>
      <c r="AG80" s="152" t="s">
        <v>637</v>
      </c>
      <c r="AH80" s="152" t="s">
        <v>664</v>
      </c>
      <c r="AI80" s="152" t="s">
        <v>628</v>
      </c>
      <c r="AJ80" s="152" t="s">
        <v>680</v>
      </c>
      <c r="AK80" s="152" t="s">
        <v>634</v>
      </c>
      <c r="AL80" s="152" t="s">
        <v>637</v>
      </c>
      <c r="AM80" s="152" t="s">
        <v>1259</v>
      </c>
      <c r="AO80" s="152" t="s">
        <v>631</v>
      </c>
      <c r="AP80" s="152" t="s">
        <v>628</v>
      </c>
      <c r="AQ80" s="152" t="s">
        <v>1006</v>
      </c>
      <c r="AR80" s="152" t="s">
        <v>629</v>
      </c>
      <c r="AS80" s="152" t="s">
        <v>628</v>
      </c>
      <c r="AT80" s="152" t="s">
        <v>702</v>
      </c>
      <c r="AU80" s="152">
        <v>2019</v>
      </c>
      <c r="AV80" s="339">
        <v>6995</v>
      </c>
      <c r="AW80" s="339">
        <v>1907899</v>
      </c>
      <c r="AX80" s="152">
        <v>23</v>
      </c>
      <c r="AY80" s="152">
        <v>0</v>
      </c>
      <c r="AZ80" s="152">
        <v>75</v>
      </c>
      <c r="BA80" s="152">
        <v>1.654887767</v>
      </c>
      <c r="BB80" s="152">
        <v>563</v>
      </c>
      <c r="BC80" s="152">
        <v>90</v>
      </c>
      <c r="BD80" s="152">
        <v>7.8189998000000003</v>
      </c>
    </row>
    <row r="81" spans="1:56" x14ac:dyDescent="0.25">
      <c r="A81" s="152" t="s">
        <v>1207</v>
      </c>
      <c r="B81" s="152">
        <v>43.613532999999997</v>
      </c>
      <c r="C81" s="152">
        <v>-97.037425999999996</v>
      </c>
      <c r="D81" s="152">
        <v>29</v>
      </c>
      <c r="E81" s="152" t="s">
        <v>697</v>
      </c>
      <c r="F81" s="152">
        <v>2020</v>
      </c>
      <c r="G81" s="340">
        <v>44132.125</v>
      </c>
      <c r="H81" s="152" t="s">
        <v>637</v>
      </c>
      <c r="I81" s="152" t="s">
        <v>696</v>
      </c>
      <c r="J81" s="152" t="s">
        <v>697</v>
      </c>
      <c r="L81" s="152" t="s">
        <v>1055</v>
      </c>
      <c r="M81" s="152" t="s">
        <v>676</v>
      </c>
      <c r="N81" s="152" t="s">
        <v>637</v>
      </c>
      <c r="O81" s="152" t="s">
        <v>647</v>
      </c>
      <c r="P81" s="152" t="s">
        <v>696</v>
      </c>
      <c r="Q81" s="152" t="s">
        <v>637</v>
      </c>
      <c r="R81" s="152" t="s">
        <v>701</v>
      </c>
      <c r="S81" s="152" t="s">
        <v>637</v>
      </c>
      <c r="T81" s="152" t="s">
        <v>701</v>
      </c>
      <c r="U81" s="152" t="s">
        <v>644</v>
      </c>
      <c r="V81" s="152" t="s">
        <v>199</v>
      </c>
      <c r="W81" s="152" t="s">
        <v>643</v>
      </c>
      <c r="Y81" s="152" t="s">
        <v>637</v>
      </c>
      <c r="Z81" s="152" t="s">
        <v>696</v>
      </c>
      <c r="AA81" s="152" t="s">
        <v>665</v>
      </c>
      <c r="AB81" s="152" t="s">
        <v>640</v>
      </c>
      <c r="AC81" s="152" t="s">
        <v>701</v>
      </c>
      <c r="AD81" s="152" t="s">
        <v>700</v>
      </c>
      <c r="AE81" s="152" t="s">
        <v>637</v>
      </c>
      <c r="AF81" s="152" t="s">
        <v>637</v>
      </c>
      <c r="AG81" s="152" t="s">
        <v>637</v>
      </c>
      <c r="AH81" s="152" t="s">
        <v>664</v>
      </c>
      <c r="AI81" s="152" t="s">
        <v>699</v>
      </c>
      <c r="AJ81" s="152" t="s">
        <v>696</v>
      </c>
      <c r="AL81" s="152" t="s">
        <v>637</v>
      </c>
      <c r="AM81" s="152" t="s">
        <v>801</v>
      </c>
      <c r="AO81" s="152" t="s">
        <v>631</v>
      </c>
      <c r="AP81" s="152" t="s">
        <v>697</v>
      </c>
      <c r="AQ81" s="152" t="s">
        <v>703</v>
      </c>
      <c r="AS81" s="152" t="s">
        <v>696</v>
      </c>
      <c r="AT81" s="152" t="s">
        <v>702</v>
      </c>
      <c r="AU81" s="152">
        <v>2020</v>
      </c>
      <c r="AV81" s="339">
        <v>6995</v>
      </c>
      <c r="AW81" s="339">
        <v>2014339</v>
      </c>
      <c r="AX81" s="152">
        <v>28</v>
      </c>
      <c r="AY81" s="152">
        <v>-1</v>
      </c>
      <c r="AZ81" s="152">
        <v>75</v>
      </c>
      <c r="BA81" s="152">
        <v>0.14366721199999999</v>
      </c>
      <c r="BB81" s="152">
        <v>758</v>
      </c>
      <c r="BC81" s="152">
        <v>90</v>
      </c>
      <c r="BD81" s="152">
        <v>7.8189998000000003</v>
      </c>
    </row>
    <row r="82" spans="1:56" x14ac:dyDescent="0.25">
      <c r="A82" s="152" t="s">
        <v>1207</v>
      </c>
      <c r="B82" s="152">
        <v>43.615130999999998</v>
      </c>
      <c r="C82" s="152">
        <v>-97.040149999999997</v>
      </c>
      <c r="D82" s="152">
        <v>29</v>
      </c>
      <c r="E82" s="152" t="s">
        <v>697</v>
      </c>
      <c r="F82" s="152">
        <v>2016</v>
      </c>
      <c r="G82" s="340">
        <v>42483.46875</v>
      </c>
      <c r="H82" s="152" t="s">
        <v>637</v>
      </c>
      <c r="I82" s="152" t="s">
        <v>696</v>
      </c>
      <c r="J82" s="152" t="s">
        <v>697</v>
      </c>
      <c r="L82" s="152" t="s">
        <v>1055</v>
      </c>
      <c r="M82" s="152" t="s">
        <v>693</v>
      </c>
      <c r="N82" s="152" t="s">
        <v>637</v>
      </c>
      <c r="O82" s="152" t="s">
        <v>647</v>
      </c>
      <c r="P82" s="152" t="s">
        <v>696</v>
      </c>
      <c r="Q82" s="152" t="s">
        <v>637</v>
      </c>
      <c r="R82" s="152" t="s">
        <v>701</v>
      </c>
      <c r="S82" s="152" t="s">
        <v>637</v>
      </c>
      <c r="T82" s="152" t="s">
        <v>701</v>
      </c>
      <c r="U82" s="152" t="s">
        <v>644</v>
      </c>
      <c r="V82" s="152" t="s">
        <v>199</v>
      </c>
      <c r="W82" s="152" t="s">
        <v>643</v>
      </c>
      <c r="Y82" s="152" t="s">
        <v>637</v>
      </c>
      <c r="Z82" s="152" t="s">
        <v>642</v>
      </c>
      <c r="AA82" s="152" t="s">
        <v>641</v>
      </c>
      <c r="AB82" s="152" t="s">
        <v>640</v>
      </c>
      <c r="AC82" s="152" t="s">
        <v>701</v>
      </c>
      <c r="AD82" s="152" t="s">
        <v>787</v>
      </c>
      <c r="AE82" s="152" t="s">
        <v>637</v>
      </c>
      <c r="AF82" s="152" t="s">
        <v>637</v>
      </c>
      <c r="AG82" s="152" t="s">
        <v>637</v>
      </c>
      <c r="AH82" s="152" t="s">
        <v>664</v>
      </c>
      <c r="AI82" s="152" t="s">
        <v>699</v>
      </c>
      <c r="AJ82" s="152" t="s">
        <v>696</v>
      </c>
      <c r="AL82" s="152" t="s">
        <v>637</v>
      </c>
      <c r="AM82" s="152" t="s">
        <v>1258</v>
      </c>
      <c r="AO82" s="152" t="s">
        <v>631</v>
      </c>
      <c r="AP82" s="152" t="s">
        <v>697</v>
      </c>
      <c r="AQ82" s="152" t="s">
        <v>703</v>
      </c>
      <c r="AS82" s="152" t="s">
        <v>696</v>
      </c>
      <c r="AT82" s="152" t="s">
        <v>702</v>
      </c>
      <c r="AU82" s="152">
        <v>2016</v>
      </c>
      <c r="AV82" s="339">
        <v>6995</v>
      </c>
      <c r="AW82" s="339">
        <v>1604916</v>
      </c>
      <c r="AX82" s="152">
        <v>23</v>
      </c>
      <c r="AY82" s="152">
        <v>-1</v>
      </c>
      <c r="AZ82" s="152">
        <v>75</v>
      </c>
      <c r="BA82" s="152">
        <v>2.8965093180000001</v>
      </c>
      <c r="BB82" s="152">
        <v>51</v>
      </c>
      <c r="BC82" s="152">
        <v>90</v>
      </c>
      <c r="BD82" s="152">
        <v>7.8189998000000003</v>
      </c>
    </row>
    <row r="83" spans="1:56" x14ac:dyDescent="0.25">
      <c r="A83" s="152" t="s">
        <v>1207</v>
      </c>
      <c r="B83" s="152">
        <v>43.615271</v>
      </c>
      <c r="C83" s="152">
        <v>-97.040394000000006</v>
      </c>
      <c r="D83" s="152">
        <v>29</v>
      </c>
      <c r="E83" s="152" t="s">
        <v>697</v>
      </c>
      <c r="F83" s="152">
        <v>2018</v>
      </c>
      <c r="G83" s="340">
        <v>43253.229166666664</v>
      </c>
      <c r="H83" s="152" t="s">
        <v>637</v>
      </c>
      <c r="I83" s="152" t="s">
        <v>696</v>
      </c>
      <c r="J83" s="152" t="s">
        <v>697</v>
      </c>
      <c r="L83" s="152" t="s">
        <v>1055</v>
      </c>
      <c r="M83" s="152" t="s">
        <v>693</v>
      </c>
      <c r="N83" s="152" t="s">
        <v>637</v>
      </c>
      <c r="O83" s="152" t="s">
        <v>647</v>
      </c>
      <c r="P83" s="152" t="s">
        <v>696</v>
      </c>
      <c r="Q83" s="152" t="s">
        <v>637</v>
      </c>
      <c r="R83" s="152" t="s">
        <v>701</v>
      </c>
      <c r="S83" s="152" t="s">
        <v>637</v>
      </c>
      <c r="T83" s="152" t="s">
        <v>701</v>
      </c>
      <c r="U83" s="152" t="s">
        <v>644</v>
      </c>
      <c r="V83" s="152" t="s">
        <v>199</v>
      </c>
      <c r="W83" s="152" t="s">
        <v>643</v>
      </c>
      <c r="Y83" s="152" t="s">
        <v>637</v>
      </c>
      <c r="Z83" s="152" t="s">
        <v>642</v>
      </c>
      <c r="AA83" s="152" t="s">
        <v>641</v>
      </c>
      <c r="AB83" s="152" t="s">
        <v>640</v>
      </c>
      <c r="AC83" s="152" t="s">
        <v>701</v>
      </c>
      <c r="AD83" s="152" t="s">
        <v>771</v>
      </c>
      <c r="AE83" s="152" t="s">
        <v>637</v>
      </c>
      <c r="AF83" s="152" t="s">
        <v>637</v>
      </c>
      <c r="AG83" s="152" t="s">
        <v>637</v>
      </c>
      <c r="AH83" s="152" t="s">
        <v>664</v>
      </c>
      <c r="AI83" s="152" t="s">
        <v>699</v>
      </c>
      <c r="AJ83" s="152" t="s">
        <v>696</v>
      </c>
      <c r="AL83" s="152" t="s">
        <v>637</v>
      </c>
      <c r="AM83" s="152" t="s">
        <v>994</v>
      </c>
      <c r="AO83" s="152" t="s">
        <v>631</v>
      </c>
      <c r="AP83" s="152" t="s">
        <v>697</v>
      </c>
      <c r="AQ83" s="152" t="s">
        <v>703</v>
      </c>
      <c r="AS83" s="152" t="s">
        <v>696</v>
      </c>
      <c r="AT83" s="152" t="s">
        <v>702</v>
      </c>
      <c r="AU83" s="152">
        <v>2018</v>
      </c>
      <c r="AV83" s="339">
        <v>6995</v>
      </c>
      <c r="AW83" s="339">
        <v>1806126</v>
      </c>
      <c r="AX83" s="152">
        <v>2</v>
      </c>
      <c r="AY83" s="152">
        <v>-1</v>
      </c>
      <c r="AZ83" s="152">
        <v>75</v>
      </c>
      <c r="BA83" s="152">
        <v>2.2527941359999999</v>
      </c>
      <c r="BB83" s="152">
        <v>399</v>
      </c>
      <c r="BC83" s="152">
        <v>90</v>
      </c>
      <c r="BD83" s="152">
        <v>7.8189998000000003</v>
      </c>
    </row>
    <row r="84" spans="1:56" x14ac:dyDescent="0.25">
      <c r="A84" s="152" t="s">
        <v>1207</v>
      </c>
      <c r="B84" s="152">
        <v>43.621163000000003</v>
      </c>
      <c r="C84" s="152">
        <v>-97.050520000000006</v>
      </c>
      <c r="D84" s="152">
        <v>29</v>
      </c>
      <c r="E84" s="152" t="s">
        <v>652</v>
      </c>
      <c r="F84" s="152">
        <v>2016</v>
      </c>
      <c r="G84" s="340">
        <v>42378.438888888886</v>
      </c>
      <c r="H84" s="152" t="s">
        <v>637</v>
      </c>
      <c r="I84" s="152" t="s">
        <v>669</v>
      </c>
      <c r="J84" s="152" t="s">
        <v>650</v>
      </c>
      <c r="L84" s="152" t="s">
        <v>1055</v>
      </c>
      <c r="M84" s="152" t="s">
        <v>693</v>
      </c>
      <c r="N84" s="152" t="s">
        <v>637</v>
      </c>
      <c r="O84" s="152" t="s">
        <v>647</v>
      </c>
      <c r="P84" s="152" t="s">
        <v>684</v>
      </c>
      <c r="Q84" s="152" t="s">
        <v>637</v>
      </c>
      <c r="R84" s="152" t="s">
        <v>957</v>
      </c>
      <c r="S84" s="152" t="s">
        <v>637</v>
      </c>
      <c r="T84" s="152" t="s">
        <v>956</v>
      </c>
      <c r="U84" s="152" t="s">
        <v>644</v>
      </c>
      <c r="V84" s="152" t="s">
        <v>199</v>
      </c>
      <c r="W84" s="152" t="s">
        <v>643</v>
      </c>
      <c r="Y84" s="152" t="s">
        <v>637</v>
      </c>
      <c r="Z84" s="152" t="s">
        <v>642</v>
      </c>
      <c r="AA84" s="152" t="s">
        <v>641</v>
      </c>
      <c r="AB84" s="152" t="s">
        <v>640</v>
      </c>
      <c r="AC84" s="152" t="s">
        <v>956</v>
      </c>
      <c r="AD84" s="152" t="s">
        <v>638</v>
      </c>
      <c r="AE84" s="152" t="s">
        <v>637</v>
      </c>
      <c r="AF84" s="152" t="s">
        <v>637</v>
      </c>
      <c r="AG84" s="152" t="s">
        <v>637</v>
      </c>
      <c r="AH84" s="152" t="s">
        <v>636</v>
      </c>
      <c r="AI84" s="152" t="s">
        <v>628</v>
      </c>
      <c r="AJ84" s="152" t="s">
        <v>635</v>
      </c>
      <c r="AK84" s="152" t="s">
        <v>634</v>
      </c>
      <c r="AL84" s="152" t="s">
        <v>637</v>
      </c>
      <c r="AM84" s="152" t="s">
        <v>1257</v>
      </c>
      <c r="AO84" s="152" t="s">
        <v>631</v>
      </c>
      <c r="AP84" s="152" t="s">
        <v>628</v>
      </c>
      <c r="AQ84" s="152" t="s">
        <v>630</v>
      </c>
      <c r="AR84" s="152" t="s">
        <v>629</v>
      </c>
      <c r="AS84" s="152" t="s">
        <v>628</v>
      </c>
      <c r="AT84" s="152" t="s">
        <v>627</v>
      </c>
      <c r="AU84" s="152">
        <v>2016</v>
      </c>
      <c r="AV84" s="339">
        <v>6995</v>
      </c>
      <c r="AW84" s="339">
        <v>1600391</v>
      </c>
      <c r="AX84" s="152">
        <v>9</v>
      </c>
      <c r="AY84" s="152">
        <v>0</v>
      </c>
      <c r="AZ84" s="152">
        <v>75</v>
      </c>
      <c r="BA84" s="152">
        <v>2.8578743960000002</v>
      </c>
      <c r="BB84" s="152">
        <v>11</v>
      </c>
      <c r="BC84" s="152">
        <v>90</v>
      </c>
      <c r="BD84" s="152">
        <v>7.8189998000000003</v>
      </c>
    </row>
    <row r="85" spans="1:56" x14ac:dyDescent="0.25">
      <c r="A85" s="152" t="s">
        <v>1207</v>
      </c>
      <c r="B85" s="152">
        <v>43.621301000000003</v>
      </c>
      <c r="C85" s="152">
        <v>-97.050757000000004</v>
      </c>
      <c r="D85" s="152">
        <v>29</v>
      </c>
      <c r="E85" s="152" t="s">
        <v>697</v>
      </c>
      <c r="F85" s="152">
        <v>2019</v>
      </c>
      <c r="G85" s="340">
        <v>43599.864583333336</v>
      </c>
      <c r="H85" s="152" t="s">
        <v>637</v>
      </c>
      <c r="I85" s="152" t="s">
        <v>696</v>
      </c>
      <c r="J85" s="152" t="s">
        <v>697</v>
      </c>
      <c r="L85" s="152" t="s">
        <v>1055</v>
      </c>
      <c r="M85" s="152" t="s">
        <v>736</v>
      </c>
      <c r="N85" s="152" t="s">
        <v>637</v>
      </c>
      <c r="O85" s="152" t="s">
        <v>647</v>
      </c>
      <c r="P85" s="152" t="s">
        <v>696</v>
      </c>
      <c r="Q85" s="152" t="s">
        <v>637</v>
      </c>
      <c r="R85" s="152" t="s">
        <v>701</v>
      </c>
      <c r="S85" s="152" t="s">
        <v>637</v>
      </c>
      <c r="T85" s="152" t="s">
        <v>701</v>
      </c>
      <c r="U85" s="152" t="s">
        <v>644</v>
      </c>
      <c r="V85" s="152" t="s">
        <v>199</v>
      </c>
      <c r="W85" s="152" t="s">
        <v>643</v>
      </c>
      <c r="Y85" s="152" t="s">
        <v>637</v>
      </c>
      <c r="Z85" s="152" t="s">
        <v>696</v>
      </c>
      <c r="AA85" s="152" t="s">
        <v>856</v>
      </c>
      <c r="AB85" s="152" t="s">
        <v>640</v>
      </c>
      <c r="AC85" s="152" t="s">
        <v>701</v>
      </c>
      <c r="AD85" s="152" t="s">
        <v>752</v>
      </c>
      <c r="AE85" s="152" t="s">
        <v>637</v>
      </c>
      <c r="AF85" s="152" t="s">
        <v>637</v>
      </c>
      <c r="AG85" s="152" t="s">
        <v>637</v>
      </c>
      <c r="AH85" s="152" t="s">
        <v>664</v>
      </c>
      <c r="AI85" s="152" t="s">
        <v>699</v>
      </c>
      <c r="AJ85" s="152" t="s">
        <v>696</v>
      </c>
      <c r="AL85" s="152" t="s">
        <v>637</v>
      </c>
      <c r="AM85" s="152" t="s">
        <v>868</v>
      </c>
      <c r="AO85" s="152" t="s">
        <v>631</v>
      </c>
      <c r="AP85" s="152" t="s">
        <v>697</v>
      </c>
      <c r="AQ85" s="152" t="s">
        <v>630</v>
      </c>
      <c r="AS85" s="152" t="s">
        <v>696</v>
      </c>
      <c r="AT85" s="152" t="s">
        <v>702</v>
      </c>
      <c r="AU85" s="152">
        <v>2019</v>
      </c>
      <c r="AV85" s="339">
        <v>6995</v>
      </c>
      <c r="AW85" s="339">
        <v>1905083</v>
      </c>
      <c r="AX85" s="152">
        <v>14</v>
      </c>
      <c r="AY85" s="152">
        <v>-1</v>
      </c>
      <c r="AZ85" s="152">
        <v>75</v>
      </c>
      <c r="BA85" s="152">
        <v>2.9270948130000001</v>
      </c>
      <c r="BB85" s="152">
        <v>535</v>
      </c>
      <c r="BC85" s="152">
        <v>90</v>
      </c>
      <c r="BD85" s="152">
        <v>7.8189998000000003</v>
      </c>
    </row>
    <row r="86" spans="1:56" x14ac:dyDescent="0.25">
      <c r="A86" s="152" t="s">
        <v>1207</v>
      </c>
      <c r="B86" s="152">
        <v>43.621921999999998</v>
      </c>
      <c r="C86" s="152">
        <v>-97.051793000000004</v>
      </c>
      <c r="D86" s="152">
        <v>29</v>
      </c>
      <c r="E86" s="152" t="s">
        <v>697</v>
      </c>
      <c r="F86" s="152">
        <v>2017</v>
      </c>
      <c r="G86" s="340">
        <v>42910.909722222219</v>
      </c>
      <c r="H86" s="152" t="s">
        <v>637</v>
      </c>
      <c r="I86" s="152" t="s">
        <v>696</v>
      </c>
      <c r="J86" s="152" t="s">
        <v>697</v>
      </c>
      <c r="L86" s="152" t="s">
        <v>1055</v>
      </c>
      <c r="M86" s="152" t="s">
        <v>693</v>
      </c>
      <c r="N86" s="152" t="s">
        <v>637</v>
      </c>
      <c r="O86" s="152" t="s">
        <v>647</v>
      </c>
      <c r="P86" s="152" t="s">
        <v>696</v>
      </c>
      <c r="Q86" s="152" t="s">
        <v>637</v>
      </c>
      <c r="R86" s="152" t="s">
        <v>701</v>
      </c>
      <c r="S86" s="152" t="s">
        <v>637</v>
      </c>
      <c r="T86" s="152" t="s">
        <v>701</v>
      </c>
      <c r="U86" s="152" t="s">
        <v>644</v>
      </c>
      <c r="V86" s="152" t="s">
        <v>199</v>
      </c>
      <c r="W86" s="152" t="s">
        <v>643</v>
      </c>
      <c r="Y86" s="152" t="s">
        <v>637</v>
      </c>
      <c r="Z86" s="152" t="s">
        <v>642</v>
      </c>
      <c r="AA86" s="152" t="s">
        <v>665</v>
      </c>
      <c r="AB86" s="152" t="s">
        <v>640</v>
      </c>
      <c r="AC86" s="152" t="s">
        <v>701</v>
      </c>
      <c r="AD86" s="152" t="s">
        <v>771</v>
      </c>
      <c r="AE86" s="152" t="s">
        <v>637</v>
      </c>
      <c r="AF86" s="152" t="s">
        <v>637</v>
      </c>
      <c r="AG86" s="152" t="s">
        <v>637</v>
      </c>
      <c r="AH86" s="152" t="s">
        <v>664</v>
      </c>
      <c r="AI86" s="152" t="s">
        <v>699</v>
      </c>
      <c r="AJ86" s="152" t="s">
        <v>696</v>
      </c>
      <c r="AL86" s="152" t="s">
        <v>637</v>
      </c>
      <c r="AM86" s="152" t="s">
        <v>804</v>
      </c>
      <c r="AO86" s="152" t="s">
        <v>631</v>
      </c>
      <c r="AP86" s="152" t="s">
        <v>697</v>
      </c>
      <c r="AQ86" s="152" t="s">
        <v>630</v>
      </c>
      <c r="AS86" s="152" t="s">
        <v>696</v>
      </c>
      <c r="AT86" s="152" t="s">
        <v>702</v>
      </c>
      <c r="AU86" s="152">
        <v>2017</v>
      </c>
      <c r="AV86" s="339">
        <v>6995</v>
      </c>
      <c r="AW86" s="339">
        <v>1707589</v>
      </c>
      <c r="AX86" s="152">
        <v>24</v>
      </c>
      <c r="AY86" s="152">
        <v>-1</v>
      </c>
      <c r="AZ86" s="152">
        <v>75</v>
      </c>
      <c r="BA86" s="152">
        <v>6.5658449770000002</v>
      </c>
      <c r="BB86" s="152">
        <v>250</v>
      </c>
      <c r="BC86" s="152">
        <v>90</v>
      </c>
      <c r="BD86" s="152">
        <v>7.8189998000000003</v>
      </c>
    </row>
    <row r="87" spans="1:56" x14ac:dyDescent="0.25">
      <c r="A87" s="152" t="s">
        <v>1207</v>
      </c>
      <c r="B87" s="152">
        <v>43.622030000000002</v>
      </c>
      <c r="C87" s="152">
        <v>-97.051979000000003</v>
      </c>
      <c r="D87" s="152">
        <v>29</v>
      </c>
      <c r="E87" s="152" t="s">
        <v>697</v>
      </c>
      <c r="F87" s="152">
        <v>2016</v>
      </c>
      <c r="G87" s="340">
        <v>42721.625</v>
      </c>
      <c r="H87" s="152" t="s">
        <v>637</v>
      </c>
      <c r="I87" s="152" t="s">
        <v>696</v>
      </c>
      <c r="J87" s="152" t="s">
        <v>697</v>
      </c>
      <c r="L87" s="152" t="s">
        <v>1055</v>
      </c>
      <c r="M87" s="152" t="s">
        <v>693</v>
      </c>
      <c r="N87" s="152" t="s">
        <v>637</v>
      </c>
      <c r="O87" s="152" t="s">
        <v>647</v>
      </c>
      <c r="P87" s="152" t="s">
        <v>696</v>
      </c>
      <c r="Q87" s="152" t="s">
        <v>637</v>
      </c>
      <c r="R87" s="152" t="s">
        <v>701</v>
      </c>
      <c r="S87" s="152" t="s">
        <v>637</v>
      </c>
      <c r="T87" s="152" t="s">
        <v>701</v>
      </c>
      <c r="U87" s="152" t="s">
        <v>644</v>
      </c>
      <c r="V87" s="152" t="s">
        <v>199</v>
      </c>
      <c r="W87" s="152" t="s">
        <v>643</v>
      </c>
      <c r="Y87" s="152" t="s">
        <v>637</v>
      </c>
      <c r="Z87" s="152" t="s">
        <v>642</v>
      </c>
      <c r="AA87" s="152" t="s">
        <v>641</v>
      </c>
      <c r="AB87" s="152" t="s">
        <v>640</v>
      </c>
      <c r="AC87" s="152" t="s">
        <v>701</v>
      </c>
      <c r="AD87" s="152" t="s">
        <v>681</v>
      </c>
      <c r="AE87" s="152" t="s">
        <v>637</v>
      </c>
      <c r="AF87" s="152" t="s">
        <v>637</v>
      </c>
      <c r="AG87" s="152" t="s">
        <v>637</v>
      </c>
      <c r="AH87" s="152" t="s">
        <v>664</v>
      </c>
      <c r="AI87" s="152" t="s">
        <v>699</v>
      </c>
      <c r="AJ87" s="152" t="s">
        <v>696</v>
      </c>
      <c r="AL87" s="152" t="s">
        <v>637</v>
      </c>
      <c r="AM87" s="152" t="s">
        <v>938</v>
      </c>
      <c r="AO87" s="152" t="s">
        <v>631</v>
      </c>
      <c r="AP87" s="152" t="s">
        <v>697</v>
      </c>
      <c r="AQ87" s="152" t="s">
        <v>703</v>
      </c>
      <c r="AS87" s="152" t="s">
        <v>696</v>
      </c>
      <c r="AT87" s="152" t="s">
        <v>702</v>
      </c>
      <c r="AU87" s="152">
        <v>2016</v>
      </c>
      <c r="AV87" s="339">
        <v>6995</v>
      </c>
      <c r="AW87" s="339">
        <v>1617520</v>
      </c>
      <c r="AX87" s="152">
        <v>17</v>
      </c>
      <c r="AY87" s="152">
        <v>-1</v>
      </c>
      <c r="AZ87" s="152">
        <v>75</v>
      </c>
      <c r="BA87" s="152">
        <v>6.224872435</v>
      </c>
      <c r="BB87" s="152">
        <v>174</v>
      </c>
      <c r="BC87" s="152">
        <v>90</v>
      </c>
      <c r="BD87" s="152">
        <v>7.8189998000000003</v>
      </c>
    </row>
    <row r="88" spans="1:56" x14ac:dyDescent="0.25">
      <c r="A88" s="152" t="s">
        <v>1207</v>
      </c>
      <c r="B88" s="152">
        <v>43.625926</v>
      </c>
      <c r="C88" s="152">
        <v>-97.058663999999993</v>
      </c>
      <c r="D88" s="152">
        <v>29</v>
      </c>
      <c r="E88" s="152" t="s">
        <v>759</v>
      </c>
      <c r="F88" s="152">
        <v>2018</v>
      </c>
      <c r="G88" s="340">
        <v>43159.354166666664</v>
      </c>
      <c r="H88" s="152" t="s">
        <v>637</v>
      </c>
      <c r="I88" s="152" t="s">
        <v>669</v>
      </c>
      <c r="J88" s="152" t="s">
        <v>650</v>
      </c>
      <c r="L88" s="152" t="s">
        <v>1055</v>
      </c>
      <c r="M88" s="152" t="s">
        <v>676</v>
      </c>
      <c r="N88" s="152" t="s">
        <v>637</v>
      </c>
      <c r="O88" s="152" t="s">
        <v>647</v>
      </c>
      <c r="P88" s="152" t="s">
        <v>667</v>
      </c>
      <c r="Q88" s="152" t="s">
        <v>633</v>
      </c>
      <c r="R88" s="152" t="s">
        <v>683</v>
      </c>
      <c r="S88" s="152" t="s">
        <v>637</v>
      </c>
      <c r="T88" s="152" t="s">
        <v>682</v>
      </c>
      <c r="U88" s="152" t="s">
        <v>644</v>
      </c>
      <c r="V88" s="152" t="s">
        <v>199</v>
      </c>
      <c r="W88" s="152" t="s">
        <v>643</v>
      </c>
      <c r="Y88" s="152" t="s">
        <v>633</v>
      </c>
      <c r="Z88" s="152" t="s">
        <v>642</v>
      </c>
      <c r="AA88" s="152" t="s">
        <v>641</v>
      </c>
      <c r="AB88" s="152" t="s">
        <v>640</v>
      </c>
      <c r="AC88" s="152" t="s">
        <v>682</v>
      </c>
      <c r="AD88" s="152" t="s">
        <v>718</v>
      </c>
      <c r="AE88" s="152" t="s">
        <v>637</v>
      </c>
      <c r="AF88" s="152" t="s">
        <v>637</v>
      </c>
      <c r="AG88" s="152" t="s">
        <v>637</v>
      </c>
      <c r="AH88" s="152" t="s">
        <v>664</v>
      </c>
      <c r="AI88" s="152" t="s">
        <v>628</v>
      </c>
      <c r="AJ88" s="152" t="s">
        <v>635</v>
      </c>
      <c r="AK88" s="152" t="s">
        <v>634</v>
      </c>
      <c r="AL88" s="152" t="s">
        <v>637</v>
      </c>
      <c r="AM88" s="152" t="s">
        <v>705</v>
      </c>
      <c r="AO88" s="152" t="s">
        <v>631</v>
      </c>
      <c r="AP88" s="152" t="s">
        <v>628</v>
      </c>
      <c r="AQ88" s="152" t="s">
        <v>826</v>
      </c>
      <c r="AR88" s="152" t="s">
        <v>629</v>
      </c>
      <c r="AS88" s="152" t="s">
        <v>628</v>
      </c>
      <c r="AT88" s="152" t="s">
        <v>695</v>
      </c>
      <c r="AU88" s="152">
        <v>2018</v>
      </c>
      <c r="AV88" s="339">
        <v>6995</v>
      </c>
      <c r="AW88" s="339">
        <v>1803245</v>
      </c>
      <c r="AX88" s="152">
        <v>28</v>
      </c>
      <c r="AY88" s="152">
        <v>0</v>
      </c>
      <c r="AZ88" s="152">
        <v>75</v>
      </c>
      <c r="BA88" s="152">
        <v>6.7969908879999998</v>
      </c>
      <c r="BB88" s="152">
        <v>348</v>
      </c>
      <c r="BC88" s="152">
        <v>90</v>
      </c>
      <c r="BD88" s="152">
        <v>7.8189998000000003</v>
      </c>
    </row>
    <row r="89" spans="1:56" x14ac:dyDescent="0.25">
      <c r="A89" s="152" t="s">
        <v>1207</v>
      </c>
      <c r="B89" s="152">
        <v>43.626196</v>
      </c>
      <c r="C89" s="152">
        <v>-97.059128000000001</v>
      </c>
      <c r="D89" s="152">
        <v>29</v>
      </c>
      <c r="E89" s="152" t="s">
        <v>697</v>
      </c>
      <c r="F89" s="152">
        <v>2018</v>
      </c>
      <c r="G89" s="340">
        <v>43331.274305555555</v>
      </c>
      <c r="H89" s="152" t="s">
        <v>637</v>
      </c>
      <c r="I89" s="152" t="s">
        <v>696</v>
      </c>
      <c r="J89" s="152" t="s">
        <v>697</v>
      </c>
      <c r="L89" s="152" t="s">
        <v>1055</v>
      </c>
      <c r="M89" s="152" t="s">
        <v>712</v>
      </c>
      <c r="N89" s="152" t="s">
        <v>637</v>
      </c>
      <c r="O89" s="152" t="s">
        <v>647</v>
      </c>
      <c r="P89" s="152" t="s">
        <v>696</v>
      </c>
      <c r="Q89" s="152" t="s">
        <v>637</v>
      </c>
      <c r="R89" s="152" t="s">
        <v>701</v>
      </c>
      <c r="S89" s="152" t="s">
        <v>637</v>
      </c>
      <c r="T89" s="152" t="s">
        <v>701</v>
      </c>
      <c r="U89" s="152" t="s">
        <v>644</v>
      </c>
      <c r="V89" s="152" t="s">
        <v>199</v>
      </c>
      <c r="W89" s="152" t="s">
        <v>643</v>
      </c>
      <c r="Y89" s="152" t="s">
        <v>637</v>
      </c>
      <c r="Z89" s="152" t="s">
        <v>642</v>
      </c>
      <c r="AA89" s="152" t="s">
        <v>782</v>
      </c>
      <c r="AB89" s="152" t="s">
        <v>640</v>
      </c>
      <c r="AC89" s="152" t="s">
        <v>701</v>
      </c>
      <c r="AD89" s="152" t="s">
        <v>738</v>
      </c>
      <c r="AE89" s="152" t="s">
        <v>637</v>
      </c>
      <c r="AF89" s="152" t="s">
        <v>637</v>
      </c>
      <c r="AG89" s="152" t="s">
        <v>637</v>
      </c>
      <c r="AH89" s="152" t="s">
        <v>664</v>
      </c>
      <c r="AI89" s="152" t="s">
        <v>699</v>
      </c>
      <c r="AJ89" s="152" t="s">
        <v>696</v>
      </c>
      <c r="AL89" s="152" t="s">
        <v>637</v>
      </c>
      <c r="AM89" s="152" t="s">
        <v>1234</v>
      </c>
      <c r="AO89" s="152" t="s">
        <v>631</v>
      </c>
      <c r="AP89" s="152" t="s">
        <v>697</v>
      </c>
      <c r="AQ89" s="152" t="s">
        <v>630</v>
      </c>
      <c r="AS89" s="152" t="s">
        <v>696</v>
      </c>
      <c r="AT89" s="152" t="s">
        <v>702</v>
      </c>
      <c r="AU89" s="152">
        <v>2018</v>
      </c>
      <c r="AV89" s="339">
        <v>6995</v>
      </c>
      <c r="AW89" s="339">
        <v>1810380</v>
      </c>
      <c r="AX89" s="152">
        <v>19</v>
      </c>
      <c r="AY89" s="152">
        <v>-1</v>
      </c>
      <c r="AZ89" s="152">
        <v>75</v>
      </c>
      <c r="BA89" s="152">
        <v>6.7989160059999998</v>
      </c>
      <c r="BB89" s="152">
        <v>435</v>
      </c>
      <c r="BC89" s="152">
        <v>90</v>
      </c>
      <c r="BD89" s="152">
        <v>7.8189998000000003</v>
      </c>
    </row>
    <row r="90" spans="1:56" x14ac:dyDescent="0.25">
      <c r="A90" s="152" t="s">
        <v>1207</v>
      </c>
      <c r="B90" s="152">
        <v>43.628771</v>
      </c>
      <c r="C90" s="152">
        <v>-97.063559999999995</v>
      </c>
      <c r="D90" s="152">
        <v>29</v>
      </c>
      <c r="E90" s="152" t="s">
        <v>697</v>
      </c>
      <c r="F90" s="152">
        <v>2020</v>
      </c>
      <c r="G90" s="340">
        <v>44136.291666666664</v>
      </c>
      <c r="H90" s="152" t="s">
        <v>637</v>
      </c>
      <c r="I90" s="152" t="s">
        <v>696</v>
      </c>
      <c r="J90" s="152" t="s">
        <v>697</v>
      </c>
      <c r="L90" s="152" t="s">
        <v>1055</v>
      </c>
      <c r="M90" s="152" t="s">
        <v>712</v>
      </c>
      <c r="N90" s="152" t="s">
        <v>637</v>
      </c>
      <c r="O90" s="152" t="s">
        <v>647</v>
      </c>
      <c r="P90" s="152" t="s">
        <v>696</v>
      </c>
      <c r="Q90" s="152" t="s">
        <v>637</v>
      </c>
      <c r="R90" s="152" t="s">
        <v>701</v>
      </c>
      <c r="S90" s="152" t="s">
        <v>637</v>
      </c>
      <c r="T90" s="152" t="s">
        <v>701</v>
      </c>
      <c r="U90" s="152" t="s">
        <v>644</v>
      </c>
      <c r="V90" s="152" t="s">
        <v>199</v>
      </c>
      <c r="W90" s="152" t="s">
        <v>643</v>
      </c>
      <c r="Y90" s="152" t="s">
        <v>637</v>
      </c>
      <c r="Z90" s="152" t="s">
        <v>696</v>
      </c>
      <c r="AA90" s="152" t="s">
        <v>641</v>
      </c>
      <c r="AB90" s="152" t="s">
        <v>640</v>
      </c>
      <c r="AC90" s="152" t="s">
        <v>701</v>
      </c>
      <c r="AD90" s="152" t="s">
        <v>673</v>
      </c>
      <c r="AE90" s="152" t="s">
        <v>637</v>
      </c>
      <c r="AF90" s="152" t="s">
        <v>637</v>
      </c>
      <c r="AG90" s="152" t="s">
        <v>637</v>
      </c>
      <c r="AH90" s="152" t="s">
        <v>762</v>
      </c>
      <c r="AI90" s="152" t="s">
        <v>699</v>
      </c>
      <c r="AJ90" s="152" t="s">
        <v>696</v>
      </c>
      <c r="AL90" s="152" t="s">
        <v>637</v>
      </c>
      <c r="AM90" s="152" t="s">
        <v>1032</v>
      </c>
      <c r="AO90" s="152" t="s">
        <v>631</v>
      </c>
      <c r="AP90" s="152" t="s">
        <v>697</v>
      </c>
      <c r="AQ90" s="152" t="s">
        <v>630</v>
      </c>
      <c r="AS90" s="152" t="s">
        <v>696</v>
      </c>
      <c r="AT90" s="152" t="s">
        <v>760</v>
      </c>
      <c r="AU90" s="152">
        <v>2020</v>
      </c>
      <c r="AV90" s="339">
        <v>6995</v>
      </c>
      <c r="AW90" s="339">
        <v>2014394</v>
      </c>
      <c r="AX90" s="152">
        <v>1</v>
      </c>
      <c r="AY90" s="152">
        <v>-1</v>
      </c>
      <c r="AZ90" s="152">
        <v>75</v>
      </c>
      <c r="BA90" s="152">
        <v>5.7498674139999997</v>
      </c>
      <c r="BB90" s="152">
        <v>753</v>
      </c>
      <c r="BC90" s="152">
        <v>90</v>
      </c>
      <c r="BD90" s="152">
        <v>7.8189998000000003</v>
      </c>
    </row>
    <row r="91" spans="1:56" x14ac:dyDescent="0.25">
      <c r="A91" s="152" t="s">
        <v>1207</v>
      </c>
      <c r="B91" s="152">
        <v>43.631870999999997</v>
      </c>
      <c r="C91" s="152">
        <v>-97.068898000000004</v>
      </c>
      <c r="D91" s="152">
        <v>29</v>
      </c>
      <c r="E91" s="152" t="s">
        <v>652</v>
      </c>
      <c r="F91" s="152">
        <v>2020</v>
      </c>
      <c r="G91" s="340">
        <v>44047.166666666664</v>
      </c>
      <c r="H91" s="152" t="s">
        <v>637</v>
      </c>
      <c r="I91" s="152" t="s">
        <v>669</v>
      </c>
      <c r="J91" s="152" t="s">
        <v>694</v>
      </c>
      <c r="K91" s="152" t="s">
        <v>1256</v>
      </c>
      <c r="L91" s="152" t="s">
        <v>1055</v>
      </c>
      <c r="M91" s="152" t="s">
        <v>736</v>
      </c>
      <c r="N91" s="152" t="s">
        <v>637</v>
      </c>
      <c r="O91" s="152" t="s">
        <v>647</v>
      </c>
      <c r="P91" s="152" t="s">
        <v>796</v>
      </c>
      <c r="Q91" s="152" t="s">
        <v>637</v>
      </c>
      <c r="R91" s="152" t="s">
        <v>1255</v>
      </c>
      <c r="S91" s="152" t="s">
        <v>633</v>
      </c>
      <c r="T91" s="152" t="s">
        <v>723</v>
      </c>
      <c r="U91" s="152" t="s">
        <v>644</v>
      </c>
      <c r="V91" s="152" t="s">
        <v>199</v>
      </c>
      <c r="W91" s="152" t="s">
        <v>643</v>
      </c>
      <c r="Y91" s="152" t="s">
        <v>637</v>
      </c>
      <c r="Z91" s="152" t="s">
        <v>642</v>
      </c>
      <c r="AA91" s="152" t="s">
        <v>665</v>
      </c>
      <c r="AB91" s="152" t="s">
        <v>640</v>
      </c>
      <c r="AC91" s="152" t="s">
        <v>723</v>
      </c>
      <c r="AD91" s="152" t="s">
        <v>738</v>
      </c>
      <c r="AE91" s="152" t="s">
        <v>637</v>
      </c>
      <c r="AF91" s="152" t="s">
        <v>637</v>
      </c>
      <c r="AG91" s="152" t="s">
        <v>637</v>
      </c>
      <c r="AH91" s="152" t="s">
        <v>664</v>
      </c>
      <c r="AI91" s="152" t="s">
        <v>628</v>
      </c>
      <c r="AJ91" s="152" t="s">
        <v>635</v>
      </c>
      <c r="AK91" s="152" t="s">
        <v>824</v>
      </c>
      <c r="AL91" s="152" t="s">
        <v>637</v>
      </c>
      <c r="AM91" s="152" t="s">
        <v>827</v>
      </c>
      <c r="AO91" s="152" t="s">
        <v>631</v>
      </c>
      <c r="AP91" s="152" t="s">
        <v>628</v>
      </c>
      <c r="AQ91" s="152" t="s">
        <v>630</v>
      </c>
      <c r="AR91" s="152" t="s">
        <v>629</v>
      </c>
      <c r="AS91" s="152" t="s">
        <v>628</v>
      </c>
      <c r="AT91" s="152" t="s">
        <v>702</v>
      </c>
      <c r="AU91" s="152">
        <v>2020</v>
      </c>
      <c r="AV91" s="339">
        <v>6995</v>
      </c>
      <c r="AW91" s="339">
        <v>2009269</v>
      </c>
      <c r="AX91" s="152">
        <v>4</v>
      </c>
      <c r="AY91" s="152">
        <v>0</v>
      </c>
      <c r="AZ91" s="152">
        <v>75</v>
      </c>
      <c r="BA91" s="152">
        <v>3.93338929</v>
      </c>
      <c r="BB91" s="152">
        <v>705</v>
      </c>
      <c r="BC91" s="152">
        <v>90</v>
      </c>
      <c r="BD91" s="152">
        <v>7.8189998000000003</v>
      </c>
    </row>
    <row r="92" spans="1:56" x14ac:dyDescent="0.25">
      <c r="A92" s="152" t="s">
        <v>1207</v>
      </c>
      <c r="B92" s="152">
        <v>43.632900999999997</v>
      </c>
      <c r="C92" s="152">
        <v>-97.070656999999997</v>
      </c>
      <c r="D92" s="152">
        <v>29</v>
      </c>
      <c r="E92" s="152" t="s">
        <v>697</v>
      </c>
      <c r="F92" s="152">
        <v>2020</v>
      </c>
      <c r="G92" s="340">
        <v>44097.878472222219</v>
      </c>
      <c r="H92" s="152" t="s">
        <v>637</v>
      </c>
      <c r="I92" s="152" t="s">
        <v>696</v>
      </c>
      <c r="J92" s="152" t="s">
        <v>697</v>
      </c>
      <c r="L92" s="152" t="s">
        <v>1055</v>
      </c>
      <c r="M92" s="152" t="s">
        <v>676</v>
      </c>
      <c r="N92" s="152" t="s">
        <v>637</v>
      </c>
      <c r="O92" s="152" t="s">
        <v>647</v>
      </c>
      <c r="P92" s="152" t="s">
        <v>696</v>
      </c>
      <c r="Q92" s="152" t="s">
        <v>637</v>
      </c>
      <c r="R92" s="152" t="s">
        <v>701</v>
      </c>
      <c r="S92" s="152" t="s">
        <v>637</v>
      </c>
      <c r="T92" s="152" t="s">
        <v>701</v>
      </c>
      <c r="U92" s="152" t="s">
        <v>644</v>
      </c>
      <c r="V92" s="152" t="s">
        <v>199</v>
      </c>
      <c r="W92" s="152" t="s">
        <v>643</v>
      </c>
      <c r="Y92" s="152" t="s">
        <v>637</v>
      </c>
      <c r="Z92" s="152" t="s">
        <v>696</v>
      </c>
      <c r="AA92" s="152" t="s">
        <v>665</v>
      </c>
      <c r="AB92" s="152" t="s">
        <v>640</v>
      </c>
      <c r="AC92" s="152" t="s">
        <v>701</v>
      </c>
      <c r="AD92" s="152" t="s">
        <v>706</v>
      </c>
      <c r="AE92" s="152" t="s">
        <v>637</v>
      </c>
      <c r="AF92" s="152" t="s">
        <v>637</v>
      </c>
      <c r="AG92" s="152" t="s">
        <v>637</v>
      </c>
      <c r="AH92" s="152" t="s">
        <v>664</v>
      </c>
      <c r="AI92" s="152" t="s">
        <v>699</v>
      </c>
      <c r="AJ92" s="152" t="s">
        <v>696</v>
      </c>
      <c r="AL92" s="152" t="s">
        <v>637</v>
      </c>
      <c r="AM92" s="152" t="s">
        <v>751</v>
      </c>
      <c r="AO92" s="152" t="s">
        <v>631</v>
      </c>
      <c r="AP92" s="152" t="s">
        <v>697</v>
      </c>
      <c r="AQ92" s="152" t="s">
        <v>826</v>
      </c>
      <c r="AS92" s="152" t="s">
        <v>696</v>
      </c>
      <c r="AT92" s="152" t="s">
        <v>702</v>
      </c>
      <c r="AU92" s="152">
        <v>2020</v>
      </c>
      <c r="AV92" s="339">
        <v>6995</v>
      </c>
      <c r="AW92" s="339">
        <v>2011320</v>
      </c>
      <c r="AX92" s="152">
        <v>23</v>
      </c>
      <c r="AY92" s="152">
        <v>-1</v>
      </c>
      <c r="AZ92" s="152">
        <v>75</v>
      </c>
      <c r="BA92" s="152">
        <v>7.6104969819999999</v>
      </c>
      <c r="BB92" s="152">
        <v>720</v>
      </c>
      <c r="BC92" s="152">
        <v>90</v>
      </c>
      <c r="BD92" s="152">
        <v>7.8189998000000003</v>
      </c>
    </row>
    <row r="93" spans="1:56" x14ac:dyDescent="0.25">
      <c r="A93" s="152" t="s">
        <v>1207</v>
      </c>
      <c r="B93" s="152">
        <v>43.632900999999997</v>
      </c>
      <c r="C93" s="152">
        <v>-97.070656999999997</v>
      </c>
      <c r="D93" s="152">
        <v>29</v>
      </c>
      <c r="E93" s="152" t="s">
        <v>652</v>
      </c>
      <c r="F93" s="152">
        <v>2020</v>
      </c>
      <c r="G93" s="340">
        <v>44166.079861111109</v>
      </c>
      <c r="H93" s="152" t="s">
        <v>637</v>
      </c>
      <c r="I93" s="152" t="s">
        <v>669</v>
      </c>
      <c r="J93" s="152" t="s">
        <v>660</v>
      </c>
      <c r="L93" s="152" t="s">
        <v>1055</v>
      </c>
      <c r="M93" s="152" t="s">
        <v>736</v>
      </c>
      <c r="N93" s="152" t="s">
        <v>637</v>
      </c>
      <c r="O93" s="152" t="s">
        <v>647</v>
      </c>
      <c r="P93" s="152" t="s">
        <v>897</v>
      </c>
      <c r="Q93" s="152" t="s">
        <v>637</v>
      </c>
      <c r="R93" s="152" t="s">
        <v>656</v>
      </c>
      <c r="S93" s="152" t="s">
        <v>637</v>
      </c>
      <c r="T93" s="152" t="s">
        <v>656</v>
      </c>
      <c r="U93" s="152" t="s">
        <v>644</v>
      </c>
      <c r="V93" s="152" t="s">
        <v>199</v>
      </c>
      <c r="W93" s="152" t="s">
        <v>643</v>
      </c>
      <c r="Y93" s="152" t="s">
        <v>637</v>
      </c>
      <c r="Z93" s="152" t="s">
        <v>642</v>
      </c>
      <c r="AA93" s="152" t="s">
        <v>665</v>
      </c>
      <c r="AB93" s="152" t="s">
        <v>740</v>
      </c>
      <c r="AC93" s="152" t="s">
        <v>656</v>
      </c>
      <c r="AD93" s="152" t="s">
        <v>681</v>
      </c>
      <c r="AE93" s="152" t="s">
        <v>637</v>
      </c>
      <c r="AF93" s="152" t="s">
        <v>637</v>
      </c>
      <c r="AG93" s="152" t="s">
        <v>637</v>
      </c>
      <c r="AH93" s="152" t="s">
        <v>664</v>
      </c>
      <c r="AI93" s="152" t="s">
        <v>897</v>
      </c>
      <c r="AJ93" s="152" t="s">
        <v>635</v>
      </c>
      <c r="AK93" s="152" t="s">
        <v>634</v>
      </c>
      <c r="AL93" s="152" t="s">
        <v>637</v>
      </c>
      <c r="AM93" s="152" t="s">
        <v>1254</v>
      </c>
      <c r="AO93" s="152" t="s">
        <v>631</v>
      </c>
      <c r="AP93" s="152" t="s">
        <v>897</v>
      </c>
      <c r="AQ93" s="152" t="s">
        <v>779</v>
      </c>
      <c r="AR93" s="152" t="s">
        <v>1040</v>
      </c>
      <c r="AS93" s="152" t="s">
        <v>1253</v>
      </c>
      <c r="AT93" s="152" t="s">
        <v>702</v>
      </c>
      <c r="AU93" s="152">
        <v>2020</v>
      </c>
      <c r="AV93" s="339">
        <v>6995</v>
      </c>
      <c r="AW93" s="339">
        <v>2015949</v>
      </c>
      <c r="AX93" s="152">
        <v>1</v>
      </c>
      <c r="AY93" s="152">
        <v>0</v>
      </c>
      <c r="AZ93" s="152">
        <v>75</v>
      </c>
      <c r="BA93" s="152">
        <v>7.6104969819999999</v>
      </c>
      <c r="BB93" s="152">
        <v>775</v>
      </c>
      <c r="BC93" s="152">
        <v>90</v>
      </c>
      <c r="BD93" s="152">
        <v>7.8189998000000003</v>
      </c>
    </row>
    <row r="94" spans="1:56" x14ac:dyDescent="0.25">
      <c r="A94" s="152" t="s">
        <v>1207</v>
      </c>
      <c r="B94" s="152">
        <v>43.633791000000002</v>
      </c>
      <c r="C94" s="152">
        <v>-97.069590000000005</v>
      </c>
      <c r="D94" s="152">
        <v>29</v>
      </c>
      <c r="E94" s="152" t="s">
        <v>821</v>
      </c>
      <c r="F94" s="152">
        <v>2018</v>
      </c>
      <c r="G94" s="340">
        <v>43218.729166666664</v>
      </c>
      <c r="H94" s="152" t="s">
        <v>633</v>
      </c>
      <c r="I94" s="152" t="s">
        <v>669</v>
      </c>
      <c r="J94" s="152" t="s">
        <v>650</v>
      </c>
      <c r="K94" s="152" t="s">
        <v>1252</v>
      </c>
      <c r="L94" s="152" t="s">
        <v>1055</v>
      </c>
      <c r="M94" s="152" t="s">
        <v>693</v>
      </c>
      <c r="N94" s="152" t="s">
        <v>637</v>
      </c>
      <c r="P94" s="152" t="s">
        <v>1211</v>
      </c>
      <c r="Q94" s="152" t="s">
        <v>637</v>
      </c>
      <c r="R94" s="152" t="s">
        <v>825</v>
      </c>
      <c r="S94" s="152" t="s">
        <v>637</v>
      </c>
      <c r="T94" s="152" t="s">
        <v>708</v>
      </c>
      <c r="U94" s="152" t="s">
        <v>1104</v>
      </c>
      <c r="V94" s="152" t="s">
        <v>199</v>
      </c>
      <c r="W94" s="152" t="s">
        <v>1103</v>
      </c>
      <c r="Y94" s="152" t="s">
        <v>637</v>
      </c>
      <c r="Z94" s="152" t="s">
        <v>1251</v>
      </c>
      <c r="AA94" s="152" t="s">
        <v>641</v>
      </c>
      <c r="AB94" s="152" t="s">
        <v>640</v>
      </c>
      <c r="AC94" s="152" t="s">
        <v>708</v>
      </c>
      <c r="AD94" s="152" t="s">
        <v>787</v>
      </c>
      <c r="AE94" s="152" t="s">
        <v>637</v>
      </c>
      <c r="AF94" s="152" t="s">
        <v>637</v>
      </c>
      <c r="AG94" s="152" t="s">
        <v>637</v>
      </c>
      <c r="AH94" s="152" t="s">
        <v>664</v>
      </c>
      <c r="AI94" s="152" t="s">
        <v>628</v>
      </c>
      <c r="AJ94" s="152" t="s">
        <v>1101</v>
      </c>
      <c r="AK94" s="152" t="s">
        <v>824</v>
      </c>
      <c r="AL94" s="152" t="s">
        <v>637</v>
      </c>
      <c r="AM94" s="152" t="s">
        <v>930</v>
      </c>
      <c r="AO94" s="152" t="s">
        <v>631</v>
      </c>
      <c r="AP94" s="152" t="s">
        <v>628</v>
      </c>
      <c r="AQ94" s="152" t="s">
        <v>1250</v>
      </c>
      <c r="AR94" s="152" t="s">
        <v>1249</v>
      </c>
      <c r="AS94" s="152" t="s">
        <v>628</v>
      </c>
      <c r="AT94" s="152" t="s">
        <v>702</v>
      </c>
      <c r="AU94" s="152">
        <v>2018</v>
      </c>
      <c r="AV94" s="339">
        <v>6995</v>
      </c>
      <c r="AW94" s="339">
        <v>1805718</v>
      </c>
      <c r="AX94" s="152">
        <v>28</v>
      </c>
      <c r="AY94" s="152">
        <v>0</v>
      </c>
      <c r="AZ94" s="152">
        <v>0</v>
      </c>
      <c r="BA94" s="152">
        <v>437.358292382</v>
      </c>
      <c r="BB94" s="152">
        <v>384</v>
      </c>
      <c r="BD94" s="152">
        <v>7.8189998000000003</v>
      </c>
    </row>
    <row r="95" spans="1:56" x14ac:dyDescent="0.25">
      <c r="A95" s="152" t="s">
        <v>1207</v>
      </c>
      <c r="B95" s="152">
        <v>43.636584999999997</v>
      </c>
      <c r="C95" s="152">
        <v>-97.077044999999998</v>
      </c>
      <c r="D95" s="152">
        <v>29</v>
      </c>
      <c r="E95" s="152" t="s">
        <v>759</v>
      </c>
      <c r="F95" s="152">
        <v>2019</v>
      </c>
      <c r="G95" s="340">
        <v>43616.578472222223</v>
      </c>
      <c r="H95" s="152" t="s">
        <v>637</v>
      </c>
      <c r="I95" s="152" t="s">
        <v>669</v>
      </c>
      <c r="J95" s="152" t="s">
        <v>650</v>
      </c>
      <c r="L95" s="152" t="s">
        <v>1055</v>
      </c>
      <c r="M95" s="152" t="s">
        <v>648</v>
      </c>
      <c r="N95" s="152" t="s">
        <v>637</v>
      </c>
      <c r="O95" s="152" t="s">
        <v>647</v>
      </c>
      <c r="P95" s="152" t="s">
        <v>667</v>
      </c>
      <c r="Q95" s="152" t="s">
        <v>633</v>
      </c>
      <c r="R95" s="152" t="s">
        <v>1248</v>
      </c>
      <c r="S95" s="152" t="s">
        <v>637</v>
      </c>
      <c r="T95" s="152" t="s">
        <v>777</v>
      </c>
      <c r="U95" s="152" t="s">
        <v>644</v>
      </c>
      <c r="V95" s="152" t="s">
        <v>199</v>
      </c>
      <c r="W95" s="152" t="s">
        <v>643</v>
      </c>
      <c r="Y95" s="152" t="s">
        <v>633</v>
      </c>
      <c r="Z95" s="152" t="s">
        <v>642</v>
      </c>
      <c r="AA95" s="152" t="s">
        <v>641</v>
      </c>
      <c r="AB95" s="152" t="s">
        <v>640</v>
      </c>
      <c r="AC95" s="152" t="s">
        <v>777</v>
      </c>
      <c r="AD95" s="152" t="s">
        <v>752</v>
      </c>
      <c r="AE95" s="152" t="s">
        <v>637</v>
      </c>
      <c r="AF95" s="152" t="s">
        <v>637</v>
      </c>
      <c r="AG95" s="152" t="s">
        <v>637</v>
      </c>
      <c r="AH95" s="152" t="s">
        <v>664</v>
      </c>
      <c r="AI95" s="152" t="s">
        <v>628</v>
      </c>
      <c r="AJ95" s="152" t="s">
        <v>635</v>
      </c>
      <c r="AK95" s="152" t="s">
        <v>634</v>
      </c>
      <c r="AL95" s="152" t="s">
        <v>637</v>
      </c>
      <c r="AM95" s="152" t="s">
        <v>1247</v>
      </c>
      <c r="AO95" s="152" t="s">
        <v>715</v>
      </c>
      <c r="AP95" s="152" t="s">
        <v>628</v>
      </c>
      <c r="AQ95" s="152" t="s">
        <v>671</v>
      </c>
      <c r="AR95" s="152" t="s">
        <v>629</v>
      </c>
      <c r="AS95" s="152" t="s">
        <v>628</v>
      </c>
      <c r="AT95" s="152" t="s">
        <v>702</v>
      </c>
      <c r="AU95" s="152">
        <v>2019</v>
      </c>
      <c r="AV95" s="339">
        <v>6995</v>
      </c>
      <c r="AW95" s="339">
        <v>1906270</v>
      </c>
      <c r="AX95" s="152">
        <v>31</v>
      </c>
      <c r="AY95" s="152">
        <v>0</v>
      </c>
      <c r="AZ95" s="152">
        <v>75</v>
      </c>
      <c r="BA95" s="152">
        <v>2.8634936999999999E-2</v>
      </c>
      <c r="BB95" s="152">
        <v>552</v>
      </c>
      <c r="BC95" s="152">
        <v>90</v>
      </c>
      <c r="BD95" s="152">
        <v>7.8189998000000003</v>
      </c>
    </row>
    <row r="96" spans="1:56" x14ac:dyDescent="0.25">
      <c r="A96" s="152" t="s">
        <v>1207</v>
      </c>
      <c r="B96" s="152">
        <v>43.636856000000002</v>
      </c>
      <c r="C96" s="152">
        <v>-97.077489999999997</v>
      </c>
      <c r="D96" s="152">
        <v>29</v>
      </c>
      <c r="E96" s="152" t="s">
        <v>697</v>
      </c>
      <c r="F96" s="152">
        <v>2017</v>
      </c>
      <c r="G96" s="340">
        <v>42887.970138888886</v>
      </c>
      <c r="H96" s="152" t="s">
        <v>637</v>
      </c>
      <c r="I96" s="152" t="s">
        <v>696</v>
      </c>
      <c r="J96" s="152" t="s">
        <v>697</v>
      </c>
      <c r="L96" s="152" t="s">
        <v>1055</v>
      </c>
      <c r="M96" s="152" t="s">
        <v>668</v>
      </c>
      <c r="N96" s="152" t="s">
        <v>637</v>
      </c>
      <c r="O96" s="152" t="s">
        <v>647</v>
      </c>
      <c r="P96" s="152" t="s">
        <v>696</v>
      </c>
      <c r="Q96" s="152" t="s">
        <v>637</v>
      </c>
      <c r="R96" s="152" t="s">
        <v>701</v>
      </c>
      <c r="S96" s="152" t="s">
        <v>637</v>
      </c>
      <c r="T96" s="152" t="s">
        <v>701</v>
      </c>
      <c r="U96" s="152" t="s">
        <v>644</v>
      </c>
      <c r="V96" s="152" t="s">
        <v>199</v>
      </c>
      <c r="W96" s="152" t="s">
        <v>643</v>
      </c>
      <c r="Y96" s="152" t="s">
        <v>637</v>
      </c>
      <c r="Z96" s="152" t="s">
        <v>642</v>
      </c>
      <c r="AA96" s="152" t="s">
        <v>665</v>
      </c>
      <c r="AB96" s="152" t="s">
        <v>640</v>
      </c>
      <c r="AC96" s="152" t="s">
        <v>701</v>
      </c>
      <c r="AD96" s="152" t="s">
        <v>771</v>
      </c>
      <c r="AE96" s="152" t="s">
        <v>637</v>
      </c>
      <c r="AF96" s="152" t="s">
        <v>637</v>
      </c>
      <c r="AG96" s="152" t="s">
        <v>637</v>
      </c>
      <c r="AH96" s="152" t="s">
        <v>664</v>
      </c>
      <c r="AI96" s="152" t="s">
        <v>699</v>
      </c>
      <c r="AJ96" s="152" t="s">
        <v>696</v>
      </c>
      <c r="AL96" s="152" t="s">
        <v>637</v>
      </c>
      <c r="AM96" s="152" t="s">
        <v>1246</v>
      </c>
      <c r="AO96" s="152" t="s">
        <v>631</v>
      </c>
      <c r="AP96" s="152" t="s">
        <v>697</v>
      </c>
      <c r="AQ96" s="152" t="s">
        <v>671</v>
      </c>
      <c r="AS96" s="152" t="s">
        <v>696</v>
      </c>
      <c r="AT96" s="152" t="s">
        <v>702</v>
      </c>
      <c r="AU96" s="152">
        <v>2017</v>
      </c>
      <c r="AV96" s="339">
        <v>6995</v>
      </c>
      <c r="AW96" s="339">
        <v>1709347</v>
      </c>
      <c r="AX96" s="152">
        <v>1</v>
      </c>
      <c r="AY96" s="152">
        <v>-1</v>
      </c>
      <c r="AZ96" s="152">
        <v>75</v>
      </c>
      <c r="BA96" s="152">
        <v>2.5435218999999998E-2</v>
      </c>
      <c r="BB96" s="152">
        <v>264</v>
      </c>
      <c r="BC96" s="152">
        <v>90</v>
      </c>
      <c r="BD96" s="152">
        <v>7.8189998000000003</v>
      </c>
    </row>
    <row r="97" spans="1:56" x14ac:dyDescent="0.25">
      <c r="A97" s="152" t="s">
        <v>1207</v>
      </c>
      <c r="B97" s="152">
        <v>43.638165999999998</v>
      </c>
      <c r="C97" s="152">
        <v>-97.079707999999997</v>
      </c>
      <c r="D97" s="152">
        <v>29</v>
      </c>
      <c r="E97" s="152" t="s">
        <v>697</v>
      </c>
      <c r="F97" s="152">
        <v>2018</v>
      </c>
      <c r="G97" s="340">
        <v>43425.808333333334</v>
      </c>
      <c r="H97" s="152" t="s">
        <v>637</v>
      </c>
      <c r="I97" s="152" t="s">
        <v>696</v>
      </c>
      <c r="J97" s="152" t="s">
        <v>697</v>
      </c>
      <c r="L97" s="152" t="s">
        <v>1055</v>
      </c>
      <c r="M97" s="152" t="s">
        <v>676</v>
      </c>
      <c r="N97" s="152" t="s">
        <v>637</v>
      </c>
      <c r="O97" s="152" t="s">
        <v>647</v>
      </c>
      <c r="P97" s="152" t="s">
        <v>696</v>
      </c>
      <c r="Q97" s="152" t="s">
        <v>637</v>
      </c>
      <c r="R97" s="152" t="s">
        <v>701</v>
      </c>
      <c r="S97" s="152" t="s">
        <v>637</v>
      </c>
      <c r="T97" s="152" t="s">
        <v>701</v>
      </c>
      <c r="U97" s="152" t="s">
        <v>644</v>
      </c>
      <c r="V97" s="152" t="s">
        <v>199</v>
      </c>
      <c r="W97" s="152" t="s">
        <v>643</v>
      </c>
      <c r="Y97" s="152" t="s">
        <v>637</v>
      </c>
      <c r="Z97" s="152" t="s">
        <v>642</v>
      </c>
      <c r="AA97" s="152" t="s">
        <v>665</v>
      </c>
      <c r="AB97" s="152" t="s">
        <v>640</v>
      </c>
      <c r="AC97" s="152" t="s">
        <v>701</v>
      </c>
      <c r="AD97" s="152" t="s">
        <v>673</v>
      </c>
      <c r="AE97" s="152" t="s">
        <v>637</v>
      </c>
      <c r="AF97" s="152" t="s">
        <v>637</v>
      </c>
      <c r="AG97" s="152" t="s">
        <v>637</v>
      </c>
      <c r="AH97" s="152" t="s">
        <v>664</v>
      </c>
      <c r="AI97" s="152" t="s">
        <v>699</v>
      </c>
      <c r="AJ97" s="152" t="s">
        <v>696</v>
      </c>
      <c r="AL97" s="152" t="s">
        <v>637</v>
      </c>
      <c r="AM97" s="152" t="s">
        <v>1245</v>
      </c>
      <c r="AO97" s="152" t="s">
        <v>631</v>
      </c>
      <c r="AP97" s="152" t="s">
        <v>697</v>
      </c>
      <c r="AQ97" s="152" t="s">
        <v>630</v>
      </c>
      <c r="AS97" s="152" t="s">
        <v>696</v>
      </c>
      <c r="AT97" s="152" t="s">
        <v>702</v>
      </c>
      <c r="AU97" s="152">
        <v>2018</v>
      </c>
      <c r="AV97" s="339">
        <v>6995</v>
      </c>
      <c r="AW97" s="339">
        <v>1815472</v>
      </c>
      <c r="AX97" s="152">
        <v>21</v>
      </c>
      <c r="AY97" s="152">
        <v>-1</v>
      </c>
      <c r="AZ97" s="152">
        <v>75</v>
      </c>
      <c r="BA97" s="152">
        <v>0.156162208</v>
      </c>
      <c r="BB97" s="152">
        <v>478</v>
      </c>
      <c r="BC97" s="152">
        <v>90</v>
      </c>
      <c r="BD97" s="152">
        <v>7.8189998000000003</v>
      </c>
    </row>
    <row r="98" spans="1:56" x14ac:dyDescent="0.25">
      <c r="A98" s="152" t="s">
        <v>1207</v>
      </c>
      <c r="B98" s="152">
        <v>43.638612999999999</v>
      </c>
      <c r="C98" s="152">
        <v>-97.080483999999998</v>
      </c>
      <c r="D98" s="152">
        <v>29</v>
      </c>
      <c r="E98" s="152" t="s">
        <v>652</v>
      </c>
      <c r="F98" s="152">
        <v>2019</v>
      </c>
      <c r="G98" s="340">
        <v>43565.609027777777</v>
      </c>
      <c r="H98" s="152" t="s">
        <v>637</v>
      </c>
      <c r="I98" s="152" t="s">
        <v>669</v>
      </c>
      <c r="J98" s="152" t="s">
        <v>650</v>
      </c>
      <c r="L98" s="152" t="s">
        <v>1055</v>
      </c>
      <c r="M98" s="152" t="s">
        <v>676</v>
      </c>
      <c r="N98" s="152" t="s">
        <v>637</v>
      </c>
      <c r="O98" s="152" t="s">
        <v>647</v>
      </c>
      <c r="P98" s="152" t="s">
        <v>646</v>
      </c>
      <c r="Q98" s="152" t="s">
        <v>637</v>
      </c>
      <c r="R98" s="152" t="s">
        <v>1244</v>
      </c>
      <c r="S98" s="152" t="s">
        <v>637</v>
      </c>
      <c r="T98" s="152" t="s">
        <v>777</v>
      </c>
      <c r="U98" s="152" t="s">
        <v>644</v>
      </c>
      <c r="V98" s="152" t="s">
        <v>199</v>
      </c>
      <c r="W98" s="152" t="s">
        <v>643</v>
      </c>
      <c r="Y98" s="152" t="s">
        <v>637</v>
      </c>
      <c r="Z98" s="152" t="s">
        <v>642</v>
      </c>
      <c r="AA98" s="152" t="s">
        <v>641</v>
      </c>
      <c r="AB98" s="152" t="s">
        <v>640</v>
      </c>
      <c r="AC98" s="152" t="s">
        <v>687</v>
      </c>
      <c r="AD98" s="152" t="s">
        <v>787</v>
      </c>
      <c r="AE98" s="152" t="s">
        <v>637</v>
      </c>
      <c r="AF98" s="152" t="s">
        <v>637</v>
      </c>
      <c r="AG98" s="152" t="s">
        <v>637</v>
      </c>
      <c r="AH98" s="152" t="s">
        <v>677</v>
      </c>
      <c r="AI98" s="152" t="s">
        <v>655</v>
      </c>
      <c r="AJ98" s="152" t="s">
        <v>635</v>
      </c>
      <c r="AK98" s="152" t="s">
        <v>634</v>
      </c>
      <c r="AL98" s="152" t="s">
        <v>633</v>
      </c>
      <c r="AM98" s="152" t="s">
        <v>1061</v>
      </c>
      <c r="AO98" s="152" t="s">
        <v>631</v>
      </c>
      <c r="AP98" s="152" t="s">
        <v>628</v>
      </c>
      <c r="AQ98" s="152" t="s">
        <v>662</v>
      </c>
      <c r="AR98" s="152" t="s">
        <v>629</v>
      </c>
      <c r="AS98" s="152" t="s">
        <v>678</v>
      </c>
      <c r="AT98" s="152" t="s">
        <v>670</v>
      </c>
      <c r="AU98" s="152">
        <v>2019</v>
      </c>
      <c r="AV98" s="339">
        <v>6995</v>
      </c>
      <c r="AW98" s="339">
        <v>1904309</v>
      </c>
      <c r="AX98" s="152">
        <v>10</v>
      </c>
      <c r="AY98" s="152">
        <v>0</v>
      </c>
      <c r="AZ98" s="152">
        <v>75</v>
      </c>
      <c r="BA98" s="152">
        <v>0.16423566100000001</v>
      </c>
      <c r="BB98" s="152">
        <v>531</v>
      </c>
      <c r="BC98" s="152">
        <v>90</v>
      </c>
      <c r="BD98" s="152">
        <v>7.8189998000000003</v>
      </c>
    </row>
    <row r="99" spans="1:56" x14ac:dyDescent="0.25">
      <c r="A99" s="152" t="s">
        <v>1207</v>
      </c>
      <c r="B99" s="152">
        <v>43.638998000000001</v>
      </c>
      <c r="C99" s="152">
        <v>-97.081151000000006</v>
      </c>
      <c r="D99" s="152">
        <v>29</v>
      </c>
      <c r="E99" s="152" t="s">
        <v>652</v>
      </c>
      <c r="F99" s="152">
        <v>2017</v>
      </c>
      <c r="G99" s="340">
        <v>42876.587500000001</v>
      </c>
      <c r="H99" s="152" t="s">
        <v>637</v>
      </c>
      <c r="I99" s="152" t="s">
        <v>669</v>
      </c>
      <c r="J99" s="152" t="s">
        <v>660</v>
      </c>
      <c r="K99" s="152" t="s">
        <v>775</v>
      </c>
      <c r="L99" s="152" t="s">
        <v>1055</v>
      </c>
      <c r="M99" s="152" t="s">
        <v>712</v>
      </c>
      <c r="N99" s="152" t="s">
        <v>637</v>
      </c>
      <c r="O99" s="152" t="s">
        <v>647</v>
      </c>
      <c r="P99" s="152" t="s">
        <v>774</v>
      </c>
      <c r="Q99" s="152" t="s">
        <v>637</v>
      </c>
      <c r="R99" s="152" t="s">
        <v>656</v>
      </c>
      <c r="S99" s="152" t="s">
        <v>637</v>
      </c>
      <c r="T99" s="152" t="s">
        <v>656</v>
      </c>
      <c r="U99" s="152" t="s">
        <v>644</v>
      </c>
      <c r="V99" s="152" t="s">
        <v>199</v>
      </c>
      <c r="W99" s="152" t="s">
        <v>643</v>
      </c>
      <c r="Y99" s="152" t="s">
        <v>637</v>
      </c>
      <c r="Z99" s="152" t="s">
        <v>642</v>
      </c>
      <c r="AA99" s="152" t="s">
        <v>641</v>
      </c>
      <c r="AB99" s="152" t="s">
        <v>728</v>
      </c>
      <c r="AC99" s="152" t="s">
        <v>656</v>
      </c>
      <c r="AD99" s="152" t="s">
        <v>752</v>
      </c>
      <c r="AE99" s="152" t="s">
        <v>637</v>
      </c>
      <c r="AF99" s="152" t="s">
        <v>637</v>
      </c>
      <c r="AG99" s="152" t="s">
        <v>637</v>
      </c>
      <c r="AH99" s="152" t="s">
        <v>664</v>
      </c>
      <c r="AI99" s="152" t="s">
        <v>628</v>
      </c>
      <c r="AJ99" s="152" t="s">
        <v>635</v>
      </c>
      <c r="AK99" s="152" t="s">
        <v>634</v>
      </c>
      <c r="AL99" s="152" t="s">
        <v>637</v>
      </c>
      <c r="AM99" s="152" t="s">
        <v>1243</v>
      </c>
      <c r="AO99" s="152" t="s">
        <v>631</v>
      </c>
      <c r="AP99" s="152" t="s">
        <v>628</v>
      </c>
      <c r="AQ99" s="152" t="s">
        <v>773</v>
      </c>
      <c r="AR99" s="152" t="s">
        <v>629</v>
      </c>
      <c r="AS99" s="152" t="s">
        <v>628</v>
      </c>
      <c r="AT99" s="152" t="s">
        <v>702</v>
      </c>
      <c r="AU99" s="152">
        <v>2017</v>
      </c>
      <c r="AV99" s="339">
        <v>6995</v>
      </c>
      <c r="AW99" s="339">
        <v>1706348</v>
      </c>
      <c r="AX99" s="152">
        <v>21</v>
      </c>
      <c r="AY99" s="152">
        <v>0</v>
      </c>
      <c r="AZ99" s="152">
        <v>75</v>
      </c>
      <c r="BA99" s="152">
        <v>0.212399592</v>
      </c>
      <c r="BB99" s="152">
        <v>232</v>
      </c>
      <c r="BC99" s="152">
        <v>90</v>
      </c>
      <c r="BD99" s="152">
        <v>7.8189998000000003</v>
      </c>
    </row>
    <row r="100" spans="1:56" x14ac:dyDescent="0.25">
      <c r="A100" s="152" t="s">
        <v>1207</v>
      </c>
      <c r="B100" s="152">
        <v>43.639805000000003</v>
      </c>
      <c r="C100" s="152">
        <v>-97.082528999999994</v>
      </c>
      <c r="D100" s="152">
        <v>29</v>
      </c>
      <c r="E100" s="152" t="s">
        <v>652</v>
      </c>
      <c r="F100" s="152">
        <v>2017</v>
      </c>
      <c r="G100" s="340">
        <v>42858.979166666664</v>
      </c>
      <c r="H100" s="152" t="s">
        <v>637</v>
      </c>
      <c r="I100" s="152" t="s">
        <v>669</v>
      </c>
      <c r="J100" s="152" t="s">
        <v>650</v>
      </c>
      <c r="L100" s="152" t="s">
        <v>1055</v>
      </c>
      <c r="M100" s="152" t="s">
        <v>676</v>
      </c>
      <c r="N100" s="152" t="s">
        <v>637</v>
      </c>
      <c r="O100" s="152" t="s">
        <v>647</v>
      </c>
      <c r="P100" s="152" t="s">
        <v>628</v>
      </c>
      <c r="Q100" s="152" t="s">
        <v>637</v>
      </c>
      <c r="R100" s="152" t="s">
        <v>711</v>
      </c>
      <c r="S100" s="152" t="s">
        <v>637</v>
      </c>
      <c r="T100" s="152" t="s">
        <v>711</v>
      </c>
      <c r="U100" s="152" t="s">
        <v>644</v>
      </c>
      <c r="V100" s="152" t="s">
        <v>199</v>
      </c>
      <c r="W100" s="152" t="s">
        <v>643</v>
      </c>
      <c r="Y100" s="152" t="s">
        <v>637</v>
      </c>
      <c r="Z100" s="152" t="s">
        <v>642</v>
      </c>
      <c r="AA100" s="152" t="s">
        <v>665</v>
      </c>
      <c r="AB100" s="152" t="s">
        <v>640</v>
      </c>
      <c r="AC100" s="152" t="s">
        <v>711</v>
      </c>
      <c r="AD100" s="152" t="s">
        <v>752</v>
      </c>
      <c r="AE100" s="152" t="s">
        <v>637</v>
      </c>
      <c r="AF100" s="152" t="s">
        <v>637</v>
      </c>
      <c r="AG100" s="152" t="s">
        <v>637</v>
      </c>
      <c r="AH100" s="152" t="s">
        <v>664</v>
      </c>
      <c r="AI100" s="152" t="s">
        <v>899</v>
      </c>
      <c r="AJ100" s="152" t="s">
        <v>635</v>
      </c>
      <c r="AK100" s="152" t="s">
        <v>634</v>
      </c>
      <c r="AL100" s="152" t="s">
        <v>637</v>
      </c>
      <c r="AM100" s="152" t="s">
        <v>814</v>
      </c>
      <c r="AO100" s="152" t="s">
        <v>631</v>
      </c>
      <c r="AP100" s="152" t="s">
        <v>628</v>
      </c>
      <c r="AQ100" s="152" t="s">
        <v>630</v>
      </c>
      <c r="AR100" s="152" t="s">
        <v>629</v>
      </c>
      <c r="AS100" s="152" t="s">
        <v>628</v>
      </c>
      <c r="AT100" s="152" t="s">
        <v>702</v>
      </c>
      <c r="AU100" s="152">
        <v>2017</v>
      </c>
      <c r="AV100" s="339">
        <v>6995</v>
      </c>
      <c r="AW100" s="339">
        <v>1705597</v>
      </c>
      <c r="AX100" s="152">
        <v>3</v>
      </c>
      <c r="AY100" s="152">
        <v>0</v>
      </c>
      <c r="AZ100" s="152">
        <v>75</v>
      </c>
      <c r="BA100" s="152">
        <v>3.0062786539999999</v>
      </c>
      <c r="BB100" s="152">
        <v>225</v>
      </c>
      <c r="BC100" s="152">
        <v>90</v>
      </c>
      <c r="BD100" s="152">
        <v>7.8189998000000003</v>
      </c>
    </row>
    <row r="101" spans="1:56" x14ac:dyDescent="0.25">
      <c r="A101" s="152" t="s">
        <v>1207</v>
      </c>
      <c r="B101" s="152">
        <v>43.640470999999998</v>
      </c>
      <c r="C101" s="152">
        <v>-97.083698999999996</v>
      </c>
      <c r="D101" s="152">
        <v>29</v>
      </c>
      <c r="E101" s="152" t="s">
        <v>652</v>
      </c>
      <c r="F101" s="152">
        <v>2016</v>
      </c>
      <c r="G101" s="340">
        <v>42453.458333333336</v>
      </c>
      <c r="H101" s="152" t="s">
        <v>637</v>
      </c>
      <c r="I101" s="152" t="s">
        <v>669</v>
      </c>
      <c r="J101" s="152" t="s">
        <v>660</v>
      </c>
      <c r="K101" s="152" t="s">
        <v>775</v>
      </c>
      <c r="L101" s="152" t="s">
        <v>1055</v>
      </c>
      <c r="M101" s="152" t="s">
        <v>668</v>
      </c>
      <c r="N101" s="152" t="s">
        <v>637</v>
      </c>
      <c r="O101" s="152" t="s">
        <v>647</v>
      </c>
      <c r="P101" s="152" t="s">
        <v>628</v>
      </c>
      <c r="Q101" s="152" t="s">
        <v>637</v>
      </c>
      <c r="R101" s="152" t="s">
        <v>656</v>
      </c>
      <c r="S101" s="152" t="s">
        <v>637</v>
      </c>
      <c r="T101" s="152" t="s">
        <v>656</v>
      </c>
      <c r="U101" s="152" t="s">
        <v>644</v>
      </c>
      <c r="V101" s="152" t="s">
        <v>199</v>
      </c>
      <c r="W101" s="152" t="s">
        <v>643</v>
      </c>
      <c r="Y101" s="152" t="s">
        <v>637</v>
      </c>
      <c r="Z101" s="152" t="s">
        <v>642</v>
      </c>
      <c r="AA101" s="152" t="s">
        <v>641</v>
      </c>
      <c r="AB101" s="152" t="s">
        <v>657</v>
      </c>
      <c r="AC101" s="152" t="s">
        <v>656</v>
      </c>
      <c r="AD101" s="152" t="s">
        <v>691</v>
      </c>
      <c r="AE101" s="152" t="s">
        <v>637</v>
      </c>
      <c r="AF101" s="152" t="s">
        <v>637</v>
      </c>
      <c r="AG101" s="152" t="s">
        <v>637</v>
      </c>
      <c r="AH101" s="152" t="s">
        <v>808</v>
      </c>
      <c r="AI101" s="152" t="s">
        <v>834</v>
      </c>
      <c r="AJ101" s="152" t="s">
        <v>635</v>
      </c>
      <c r="AK101" s="152" t="s">
        <v>634</v>
      </c>
      <c r="AL101" s="152" t="s">
        <v>637</v>
      </c>
      <c r="AM101" s="152" t="s">
        <v>1021</v>
      </c>
      <c r="AO101" s="152" t="s">
        <v>631</v>
      </c>
      <c r="AP101" s="152" t="s">
        <v>628</v>
      </c>
      <c r="AQ101" s="152" t="s">
        <v>845</v>
      </c>
      <c r="AR101" s="152" t="s">
        <v>798</v>
      </c>
      <c r="AS101" s="152" t="s">
        <v>628</v>
      </c>
      <c r="AT101" s="152" t="s">
        <v>702</v>
      </c>
      <c r="AU101" s="152">
        <v>2016</v>
      </c>
      <c r="AV101" s="339">
        <v>6995</v>
      </c>
      <c r="AW101" s="339">
        <v>1603366</v>
      </c>
      <c r="AX101" s="152">
        <v>24</v>
      </c>
      <c r="AY101" s="152">
        <v>0</v>
      </c>
      <c r="AZ101" s="152">
        <v>75</v>
      </c>
      <c r="BA101" s="152">
        <v>8.2838087000000005E-2</v>
      </c>
      <c r="BB101" s="152">
        <v>39</v>
      </c>
      <c r="BC101" s="152">
        <v>90</v>
      </c>
      <c r="BD101" s="152">
        <v>7.8189998000000003</v>
      </c>
    </row>
    <row r="102" spans="1:56" x14ac:dyDescent="0.25">
      <c r="A102" s="152" t="s">
        <v>1207</v>
      </c>
      <c r="B102" s="152">
        <v>43.640663000000004</v>
      </c>
      <c r="C102" s="152">
        <v>-97.084027000000006</v>
      </c>
      <c r="D102" s="152">
        <v>29</v>
      </c>
      <c r="E102" s="152" t="s">
        <v>697</v>
      </c>
      <c r="F102" s="152">
        <v>2016</v>
      </c>
      <c r="G102" s="340">
        <v>42687.75</v>
      </c>
      <c r="H102" s="152" t="s">
        <v>637</v>
      </c>
      <c r="I102" s="152" t="s">
        <v>696</v>
      </c>
      <c r="J102" s="152" t="s">
        <v>697</v>
      </c>
      <c r="L102" s="152" t="s">
        <v>1055</v>
      </c>
      <c r="M102" s="152" t="s">
        <v>712</v>
      </c>
      <c r="N102" s="152" t="s">
        <v>637</v>
      </c>
      <c r="O102" s="152" t="s">
        <v>647</v>
      </c>
      <c r="P102" s="152" t="s">
        <v>696</v>
      </c>
      <c r="Q102" s="152" t="s">
        <v>637</v>
      </c>
      <c r="R102" s="152" t="s">
        <v>701</v>
      </c>
      <c r="S102" s="152" t="s">
        <v>637</v>
      </c>
      <c r="T102" s="152" t="s">
        <v>701</v>
      </c>
      <c r="U102" s="152" t="s">
        <v>644</v>
      </c>
      <c r="V102" s="152" t="s">
        <v>199</v>
      </c>
      <c r="W102" s="152" t="s">
        <v>643</v>
      </c>
      <c r="Y102" s="152" t="s">
        <v>637</v>
      </c>
      <c r="Z102" s="152" t="s">
        <v>642</v>
      </c>
      <c r="AA102" s="152" t="s">
        <v>665</v>
      </c>
      <c r="AB102" s="152" t="s">
        <v>640</v>
      </c>
      <c r="AC102" s="152" t="s">
        <v>701</v>
      </c>
      <c r="AD102" s="152" t="s">
        <v>673</v>
      </c>
      <c r="AE102" s="152" t="s">
        <v>637</v>
      </c>
      <c r="AF102" s="152" t="s">
        <v>637</v>
      </c>
      <c r="AG102" s="152" t="s">
        <v>637</v>
      </c>
      <c r="AH102" s="152" t="s">
        <v>664</v>
      </c>
      <c r="AI102" s="152" t="s">
        <v>699</v>
      </c>
      <c r="AJ102" s="152" t="s">
        <v>696</v>
      </c>
      <c r="AL102" s="152" t="s">
        <v>637</v>
      </c>
      <c r="AM102" s="152" t="s">
        <v>925</v>
      </c>
      <c r="AO102" s="152" t="s">
        <v>631</v>
      </c>
      <c r="AP102" s="152" t="s">
        <v>697</v>
      </c>
      <c r="AQ102" s="152" t="s">
        <v>630</v>
      </c>
      <c r="AS102" s="152" t="s">
        <v>696</v>
      </c>
      <c r="AT102" s="152" t="s">
        <v>702</v>
      </c>
      <c r="AU102" s="152">
        <v>2016</v>
      </c>
      <c r="AV102" s="339">
        <v>6995</v>
      </c>
      <c r="AW102" s="339">
        <v>1614779</v>
      </c>
      <c r="AX102" s="152">
        <v>13</v>
      </c>
      <c r="AY102" s="152">
        <v>-1</v>
      </c>
      <c r="AZ102" s="152">
        <v>75</v>
      </c>
      <c r="BA102" s="152">
        <v>0.13327383300000001</v>
      </c>
      <c r="BB102" s="152">
        <v>131</v>
      </c>
      <c r="BC102" s="152">
        <v>90</v>
      </c>
      <c r="BD102" s="152">
        <v>7.8189998000000003</v>
      </c>
    </row>
    <row r="103" spans="1:56" x14ac:dyDescent="0.25">
      <c r="A103" s="152" t="s">
        <v>1207</v>
      </c>
      <c r="B103" s="152">
        <v>43.640887999999997</v>
      </c>
      <c r="C103" s="152">
        <v>-97.084412999999998</v>
      </c>
      <c r="D103" s="152">
        <v>29</v>
      </c>
      <c r="E103" s="152" t="s">
        <v>652</v>
      </c>
      <c r="F103" s="152">
        <v>2016</v>
      </c>
      <c r="G103" s="340">
        <v>42733.583333333336</v>
      </c>
      <c r="H103" s="152" t="s">
        <v>637</v>
      </c>
      <c r="I103" s="152" t="s">
        <v>669</v>
      </c>
      <c r="J103" s="152" t="s">
        <v>650</v>
      </c>
      <c r="L103" s="152" t="s">
        <v>1055</v>
      </c>
      <c r="M103" s="152" t="s">
        <v>668</v>
      </c>
      <c r="N103" s="152" t="s">
        <v>637</v>
      </c>
      <c r="O103" s="152" t="s">
        <v>647</v>
      </c>
      <c r="P103" s="152" t="s">
        <v>721</v>
      </c>
      <c r="Q103" s="152" t="s">
        <v>637</v>
      </c>
      <c r="R103" s="152" t="s">
        <v>971</v>
      </c>
      <c r="S103" s="152" t="s">
        <v>637</v>
      </c>
      <c r="T103" s="152" t="s">
        <v>674</v>
      </c>
      <c r="U103" s="152" t="s">
        <v>644</v>
      </c>
      <c r="V103" s="152" t="s">
        <v>199</v>
      </c>
      <c r="W103" s="152" t="s">
        <v>643</v>
      </c>
      <c r="Y103" s="152" t="s">
        <v>637</v>
      </c>
      <c r="Z103" s="152" t="s">
        <v>642</v>
      </c>
      <c r="AA103" s="152" t="s">
        <v>641</v>
      </c>
      <c r="AB103" s="152" t="s">
        <v>640</v>
      </c>
      <c r="AC103" s="152" t="s">
        <v>956</v>
      </c>
      <c r="AD103" s="152" t="s">
        <v>681</v>
      </c>
      <c r="AE103" s="152" t="s">
        <v>637</v>
      </c>
      <c r="AF103" s="152" t="s">
        <v>637</v>
      </c>
      <c r="AG103" s="152" t="s">
        <v>637</v>
      </c>
      <c r="AH103" s="152" t="s">
        <v>664</v>
      </c>
      <c r="AI103" s="152" t="s">
        <v>628</v>
      </c>
      <c r="AJ103" s="152" t="s">
        <v>635</v>
      </c>
      <c r="AK103" s="152" t="s">
        <v>634</v>
      </c>
      <c r="AL103" s="152" t="s">
        <v>637</v>
      </c>
      <c r="AM103" s="152" t="s">
        <v>815</v>
      </c>
      <c r="AO103" s="152" t="s">
        <v>631</v>
      </c>
      <c r="AP103" s="152" t="s">
        <v>628</v>
      </c>
      <c r="AQ103" s="152" t="s">
        <v>630</v>
      </c>
      <c r="AR103" s="152" t="s">
        <v>629</v>
      </c>
      <c r="AS103" s="152" t="s">
        <v>628</v>
      </c>
      <c r="AT103" s="152" t="s">
        <v>702</v>
      </c>
      <c r="AU103" s="152">
        <v>2016</v>
      </c>
      <c r="AV103" s="339">
        <v>6995</v>
      </c>
      <c r="AW103" s="339">
        <v>1617738</v>
      </c>
      <c r="AX103" s="152">
        <v>29</v>
      </c>
      <c r="AY103" s="152">
        <v>0</v>
      </c>
      <c r="AZ103" s="152">
        <v>75</v>
      </c>
      <c r="BA103" s="152">
        <v>0.118419704</v>
      </c>
      <c r="BB103" s="152">
        <v>178</v>
      </c>
      <c r="BC103" s="152">
        <v>90</v>
      </c>
      <c r="BD103" s="152">
        <v>7.8189998000000003</v>
      </c>
    </row>
    <row r="104" spans="1:56" x14ac:dyDescent="0.25">
      <c r="A104" s="152" t="s">
        <v>1207</v>
      </c>
      <c r="B104" s="152">
        <v>43.644407999999999</v>
      </c>
      <c r="C104" s="152">
        <v>-97.090001999999998</v>
      </c>
      <c r="D104" s="152">
        <v>47</v>
      </c>
      <c r="E104" s="152" t="s">
        <v>947</v>
      </c>
      <c r="F104" s="152">
        <v>2018</v>
      </c>
      <c r="G104" s="340">
        <v>43432.552777777775</v>
      </c>
      <c r="H104" s="152" t="s">
        <v>637</v>
      </c>
      <c r="I104" s="152" t="s">
        <v>669</v>
      </c>
      <c r="J104" s="152" t="s">
        <v>694</v>
      </c>
      <c r="L104" s="152" t="s">
        <v>1055</v>
      </c>
      <c r="M104" s="152" t="s">
        <v>676</v>
      </c>
      <c r="N104" s="152" t="s">
        <v>637</v>
      </c>
      <c r="O104" s="152" t="s">
        <v>647</v>
      </c>
      <c r="P104" s="152" t="s">
        <v>646</v>
      </c>
      <c r="Q104" s="152" t="s">
        <v>637</v>
      </c>
      <c r="R104" s="152" t="s">
        <v>944</v>
      </c>
      <c r="S104" s="152" t="s">
        <v>637</v>
      </c>
      <c r="T104" s="152" t="s">
        <v>723</v>
      </c>
      <c r="U104" s="152" t="s">
        <v>644</v>
      </c>
      <c r="V104" s="152" t="s">
        <v>199</v>
      </c>
      <c r="W104" s="152" t="s">
        <v>643</v>
      </c>
      <c r="Y104" s="152" t="s">
        <v>637</v>
      </c>
      <c r="Z104" s="152" t="s">
        <v>783</v>
      </c>
      <c r="AA104" s="152" t="s">
        <v>641</v>
      </c>
      <c r="AB104" s="152" t="s">
        <v>640</v>
      </c>
      <c r="AC104" s="152" t="s">
        <v>708</v>
      </c>
      <c r="AD104" s="152" t="s">
        <v>673</v>
      </c>
      <c r="AE104" s="152" t="s">
        <v>637</v>
      </c>
      <c r="AF104" s="152" t="s">
        <v>637</v>
      </c>
      <c r="AG104" s="152" t="s">
        <v>637</v>
      </c>
      <c r="AH104" s="152" t="s">
        <v>636</v>
      </c>
      <c r="AI104" s="152" t="s">
        <v>655</v>
      </c>
      <c r="AJ104" s="152" t="s">
        <v>635</v>
      </c>
      <c r="AK104" s="152" t="s">
        <v>824</v>
      </c>
      <c r="AL104" s="152" t="s">
        <v>633</v>
      </c>
      <c r="AM104" s="152" t="s">
        <v>1150</v>
      </c>
      <c r="AO104" s="152" t="s">
        <v>631</v>
      </c>
      <c r="AP104" s="152" t="s">
        <v>628</v>
      </c>
      <c r="AQ104" s="152" t="s">
        <v>630</v>
      </c>
      <c r="AR104" s="152" t="s">
        <v>629</v>
      </c>
      <c r="AS104" s="152" t="s">
        <v>628</v>
      </c>
      <c r="AT104" s="152" t="s">
        <v>1008</v>
      </c>
      <c r="AU104" s="152">
        <v>2018</v>
      </c>
      <c r="AV104" s="339">
        <v>5995</v>
      </c>
      <c r="AW104" s="339">
        <v>1816071</v>
      </c>
      <c r="AX104" s="152">
        <v>28</v>
      </c>
      <c r="AY104" s="152">
        <v>0</v>
      </c>
      <c r="AZ104" s="152">
        <v>75</v>
      </c>
      <c r="BA104" s="152">
        <v>1.066775E-2</v>
      </c>
      <c r="BB104" s="152">
        <v>490</v>
      </c>
      <c r="BC104" s="152">
        <v>90</v>
      </c>
      <c r="BD104" s="152">
        <v>5.6069998999999999</v>
      </c>
    </row>
    <row r="105" spans="1:56" x14ac:dyDescent="0.25">
      <c r="A105" s="152" t="s">
        <v>1207</v>
      </c>
      <c r="B105" s="152">
        <v>43.644475</v>
      </c>
      <c r="C105" s="152">
        <v>-97.090100000000007</v>
      </c>
      <c r="D105" s="152">
        <v>47</v>
      </c>
      <c r="E105" s="152" t="s">
        <v>652</v>
      </c>
      <c r="F105" s="152">
        <v>2020</v>
      </c>
      <c r="G105" s="340">
        <v>43923.600694444445</v>
      </c>
      <c r="H105" s="152" t="s">
        <v>637</v>
      </c>
      <c r="I105" s="152" t="s">
        <v>669</v>
      </c>
      <c r="J105" s="152" t="s">
        <v>694</v>
      </c>
      <c r="L105" s="152" t="s">
        <v>1055</v>
      </c>
      <c r="M105" s="152" t="s">
        <v>668</v>
      </c>
      <c r="N105" s="152" t="s">
        <v>637</v>
      </c>
      <c r="O105" s="152" t="s">
        <v>647</v>
      </c>
      <c r="P105" s="152" t="s">
        <v>646</v>
      </c>
      <c r="Q105" s="152" t="s">
        <v>637</v>
      </c>
      <c r="R105" s="152" t="s">
        <v>825</v>
      </c>
      <c r="S105" s="152" t="s">
        <v>637</v>
      </c>
      <c r="T105" s="152" t="s">
        <v>708</v>
      </c>
      <c r="U105" s="152" t="s">
        <v>644</v>
      </c>
      <c r="V105" s="152" t="s">
        <v>199</v>
      </c>
      <c r="W105" s="152" t="s">
        <v>643</v>
      </c>
      <c r="Y105" s="152" t="s">
        <v>637</v>
      </c>
      <c r="Z105" s="152" t="s">
        <v>783</v>
      </c>
      <c r="AA105" s="152" t="s">
        <v>641</v>
      </c>
      <c r="AB105" s="152" t="s">
        <v>640</v>
      </c>
      <c r="AC105" s="152" t="s">
        <v>708</v>
      </c>
      <c r="AD105" s="152" t="s">
        <v>787</v>
      </c>
      <c r="AE105" s="152" t="s">
        <v>637</v>
      </c>
      <c r="AF105" s="152" t="s">
        <v>637</v>
      </c>
      <c r="AG105" s="152" t="s">
        <v>637</v>
      </c>
      <c r="AH105" s="152" t="s">
        <v>636</v>
      </c>
      <c r="AI105" s="152" t="s">
        <v>655</v>
      </c>
      <c r="AJ105" s="152" t="s">
        <v>635</v>
      </c>
      <c r="AK105" s="152" t="s">
        <v>634</v>
      </c>
      <c r="AL105" s="152" t="s">
        <v>633</v>
      </c>
      <c r="AM105" s="152" t="s">
        <v>1242</v>
      </c>
      <c r="AO105" s="152" t="s">
        <v>631</v>
      </c>
      <c r="AP105" s="152" t="s">
        <v>628</v>
      </c>
      <c r="AQ105" s="152" t="s">
        <v>703</v>
      </c>
      <c r="AR105" s="152" t="s">
        <v>629</v>
      </c>
      <c r="AS105" s="152" t="s">
        <v>628</v>
      </c>
      <c r="AT105" s="152" t="s">
        <v>760</v>
      </c>
      <c r="AU105" s="152">
        <v>2020</v>
      </c>
      <c r="AV105" s="339">
        <v>5995</v>
      </c>
      <c r="AW105" s="339">
        <v>2004028</v>
      </c>
      <c r="AX105" s="152">
        <v>2</v>
      </c>
      <c r="AY105" s="152">
        <v>0</v>
      </c>
      <c r="AZ105" s="152">
        <v>75</v>
      </c>
      <c r="BA105" s="152">
        <v>7.6025703E-2</v>
      </c>
      <c r="BB105" s="152">
        <v>669</v>
      </c>
      <c r="BC105" s="152">
        <v>90</v>
      </c>
      <c r="BD105" s="152">
        <v>5.6069998999999999</v>
      </c>
    </row>
    <row r="106" spans="1:56" x14ac:dyDescent="0.25">
      <c r="A106" s="152" t="s">
        <v>1207</v>
      </c>
      <c r="B106" s="152">
        <v>43.644480999999999</v>
      </c>
      <c r="C106" s="152">
        <v>-97.090108000000001</v>
      </c>
      <c r="D106" s="152">
        <v>47</v>
      </c>
      <c r="E106" s="152" t="s">
        <v>652</v>
      </c>
      <c r="F106" s="152">
        <v>2020</v>
      </c>
      <c r="G106" s="340">
        <v>44126.182638888888</v>
      </c>
      <c r="H106" s="152" t="s">
        <v>637</v>
      </c>
      <c r="I106" s="152" t="s">
        <v>669</v>
      </c>
      <c r="J106" s="152" t="s">
        <v>650</v>
      </c>
      <c r="L106" s="152" t="s">
        <v>1055</v>
      </c>
      <c r="M106" s="152" t="s">
        <v>668</v>
      </c>
      <c r="N106" s="152" t="s">
        <v>637</v>
      </c>
      <c r="O106" s="152" t="s">
        <v>647</v>
      </c>
      <c r="P106" s="152" t="s">
        <v>1000</v>
      </c>
      <c r="Q106" s="152" t="s">
        <v>637</v>
      </c>
      <c r="R106" s="152" t="s">
        <v>825</v>
      </c>
      <c r="S106" s="152" t="s">
        <v>637</v>
      </c>
      <c r="T106" s="152" t="s">
        <v>708</v>
      </c>
      <c r="U106" s="152" t="s">
        <v>644</v>
      </c>
      <c r="V106" s="152" t="s">
        <v>199</v>
      </c>
      <c r="W106" s="152" t="s">
        <v>643</v>
      </c>
      <c r="Y106" s="152" t="s">
        <v>637</v>
      </c>
      <c r="Z106" s="152" t="s">
        <v>642</v>
      </c>
      <c r="AA106" s="152" t="s">
        <v>665</v>
      </c>
      <c r="AB106" s="152" t="s">
        <v>640</v>
      </c>
      <c r="AC106" s="152" t="s">
        <v>708</v>
      </c>
      <c r="AD106" s="152" t="s">
        <v>700</v>
      </c>
      <c r="AE106" s="152" t="s">
        <v>637</v>
      </c>
      <c r="AF106" s="152" t="s">
        <v>633</v>
      </c>
      <c r="AG106" s="152" t="s">
        <v>637</v>
      </c>
      <c r="AH106" s="152" t="s">
        <v>636</v>
      </c>
      <c r="AI106" s="152" t="s">
        <v>655</v>
      </c>
      <c r="AJ106" s="152" t="s">
        <v>635</v>
      </c>
      <c r="AK106" s="152" t="s">
        <v>634</v>
      </c>
      <c r="AL106" s="152" t="s">
        <v>637</v>
      </c>
      <c r="AM106" s="152" t="s">
        <v>1241</v>
      </c>
      <c r="AO106" s="152" t="s">
        <v>631</v>
      </c>
      <c r="AP106" s="152" t="s">
        <v>909</v>
      </c>
      <c r="AQ106" s="152" t="s">
        <v>703</v>
      </c>
      <c r="AR106" s="152" t="s">
        <v>629</v>
      </c>
      <c r="AS106" s="152" t="s">
        <v>628</v>
      </c>
      <c r="AT106" s="152" t="s">
        <v>1190</v>
      </c>
      <c r="AU106" s="152">
        <v>2020</v>
      </c>
      <c r="AV106" s="339">
        <v>5995</v>
      </c>
      <c r="AW106" s="339">
        <v>2013689</v>
      </c>
      <c r="AX106" s="152">
        <v>22</v>
      </c>
      <c r="AY106" s="152">
        <v>0</v>
      </c>
      <c r="AZ106" s="152">
        <v>75</v>
      </c>
      <c r="BA106" s="152">
        <v>5.7079261999999999E-2</v>
      </c>
      <c r="BB106" s="152">
        <v>750</v>
      </c>
      <c r="BC106" s="152">
        <v>90</v>
      </c>
      <c r="BD106" s="152">
        <v>5.6069998999999999</v>
      </c>
    </row>
    <row r="107" spans="1:56" x14ac:dyDescent="0.25">
      <c r="A107" s="152" t="s">
        <v>1207</v>
      </c>
      <c r="B107" s="152">
        <v>43.644536000000002</v>
      </c>
      <c r="C107" s="152">
        <v>-97.090188999999995</v>
      </c>
      <c r="D107" s="152">
        <v>47</v>
      </c>
      <c r="E107" s="152" t="s">
        <v>652</v>
      </c>
      <c r="F107" s="152">
        <v>2020</v>
      </c>
      <c r="G107" s="340">
        <v>44126.274305555555</v>
      </c>
      <c r="H107" s="152" t="s">
        <v>637</v>
      </c>
      <c r="I107" s="152" t="s">
        <v>745</v>
      </c>
      <c r="J107" s="152" t="s">
        <v>1240</v>
      </c>
      <c r="L107" s="152" t="s">
        <v>1055</v>
      </c>
      <c r="M107" s="152" t="s">
        <v>668</v>
      </c>
      <c r="N107" s="152" t="s">
        <v>637</v>
      </c>
      <c r="O107" s="152" t="s">
        <v>647</v>
      </c>
      <c r="P107" s="152" t="s">
        <v>1239</v>
      </c>
      <c r="Q107" s="152" t="s">
        <v>637</v>
      </c>
      <c r="R107" s="152" t="s">
        <v>1238</v>
      </c>
      <c r="S107" s="152" t="s">
        <v>637</v>
      </c>
      <c r="T107" s="152" t="s">
        <v>1237</v>
      </c>
      <c r="U107" s="152" t="s">
        <v>644</v>
      </c>
      <c r="V107" s="152" t="s">
        <v>199</v>
      </c>
      <c r="W107" s="152" t="s">
        <v>643</v>
      </c>
      <c r="Y107" s="152" t="s">
        <v>637</v>
      </c>
      <c r="Z107" s="152" t="s">
        <v>642</v>
      </c>
      <c r="AA107" s="152" t="s">
        <v>665</v>
      </c>
      <c r="AB107" s="152" t="s">
        <v>640</v>
      </c>
      <c r="AC107" s="152" t="s">
        <v>1236</v>
      </c>
      <c r="AD107" s="152" t="s">
        <v>700</v>
      </c>
      <c r="AE107" s="152" t="s">
        <v>637</v>
      </c>
      <c r="AF107" s="152" t="s">
        <v>637</v>
      </c>
      <c r="AG107" s="152" t="s">
        <v>637</v>
      </c>
      <c r="AH107" s="152" t="s">
        <v>636</v>
      </c>
      <c r="AI107" s="152" t="s">
        <v>1235</v>
      </c>
      <c r="AJ107" s="152" t="s">
        <v>635</v>
      </c>
      <c r="AK107" s="152" t="s">
        <v>634</v>
      </c>
      <c r="AL107" s="152" t="s">
        <v>633</v>
      </c>
      <c r="AM107" s="152" t="s">
        <v>1234</v>
      </c>
      <c r="AO107" s="152" t="s">
        <v>1233</v>
      </c>
      <c r="AP107" s="152" t="s">
        <v>986</v>
      </c>
      <c r="AQ107" s="152" t="s">
        <v>920</v>
      </c>
      <c r="AR107" s="152" t="s">
        <v>1232</v>
      </c>
      <c r="AS107" s="152" t="s">
        <v>1231</v>
      </c>
      <c r="AT107" s="152" t="s">
        <v>797</v>
      </c>
      <c r="AU107" s="152">
        <v>2020</v>
      </c>
      <c r="AV107" s="339">
        <v>5995</v>
      </c>
      <c r="AW107" s="339">
        <v>2013273</v>
      </c>
      <c r="AX107" s="152">
        <v>22</v>
      </c>
      <c r="AY107" s="152">
        <v>0</v>
      </c>
      <c r="AZ107" s="152">
        <v>75</v>
      </c>
      <c r="BA107" s="152">
        <v>0.114537642</v>
      </c>
      <c r="BB107" s="152">
        <v>737</v>
      </c>
      <c r="BC107" s="152">
        <v>90</v>
      </c>
      <c r="BD107" s="152">
        <v>5.6069998999999999</v>
      </c>
    </row>
    <row r="108" spans="1:56" x14ac:dyDescent="0.25">
      <c r="A108" s="152" t="s">
        <v>1207</v>
      </c>
      <c r="B108" s="152">
        <v>43.644589000000003</v>
      </c>
      <c r="C108" s="152">
        <v>-97.090266</v>
      </c>
      <c r="D108" s="152">
        <v>47</v>
      </c>
      <c r="E108" s="152" t="s">
        <v>652</v>
      </c>
      <c r="F108" s="152">
        <v>2020</v>
      </c>
      <c r="G108" s="340">
        <v>44126.451388888891</v>
      </c>
      <c r="H108" s="152" t="s">
        <v>637</v>
      </c>
      <c r="I108" s="152" t="s">
        <v>669</v>
      </c>
      <c r="J108" s="152" t="s">
        <v>694</v>
      </c>
      <c r="L108" s="152" t="s">
        <v>1055</v>
      </c>
      <c r="M108" s="152" t="s">
        <v>668</v>
      </c>
      <c r="N108" s="152" t="s">
        <v>637</v>
      </c>
      <c r="O108" s="152" t="s">
        <v>647</v>
      </c>
      <c r="P108" s="152" t="s">
        <v>820</v>
      </c>
      <c r="Q108" s="152" t="s">
        <v>637</v>
      </c>
      <c r="R108" s="152" t="s">
        <v>802</v>
      </c>
      <c r="S108" s="152" t="s">
        <v>637</v>
      </c>
      <c r="T108" s="152" t="s">
        <v>708</v>
      </c>
      <c r="U108" s="152" t="s">
        <v>644</v>
      </c>
      <c r="V108" s="152" t="s">
        <v>199</v>
      </c>
      <c r="W108" s="152" t="s">
        <v>643</v>
      </c>
      <c r="Y108" s="152" t="s">
        <v>637</v>
      </c>
      <c r="Z108" s="152" t="s">
        <v>642</v>
      </c>
      <c r="AA108" s="152" t="s">
        <v>641</v>
      </c>
      <c r="AB108" s="152" t="s">
        <v>640</v>
      </c>
      <c r="AC108" s="152" t="s">
        <v>708</v>
      </c>
      <c r="AD108" s="152" t="s">
        <v>700</v>
      </c>
      <c r="AE108" s="152" t="s">
        <v>637</v>
      </c>
      <c r="AF108" s="152" t="s">
        <v>637</v>
      </c>
      <c r="AG108" s="152" t="s">
        <v>637</v>
      </c>
      <c r="AH108" s="152" t="s">
        <v>636</v>
      </c>
      <c r="AI108" s="152" t="s">
        <v>655</v>
      </c>
      <c r="AJ108" s="152" t="s">
        <v>635</v>
      </c>
      <c r="AK108" s="152" t="s">
        <v>634</v>
      </c>
      <c r="AL108" s="152" t="s">
        <v>633</v>
      </c>
      <c r="AM108" s="152" t="s">
        <v>1230</v>
      </c>
      <c r="AO108" s="152" t="s">
        <v>631</v>
      </c>
      <c r="AP108" s="152" t="s">
        <v>628</v>
      </c>
      <c r="AQ108" s="152" t="s">
        <v>671</v>
      </c>
      <c r="AR108" s="152" t="s">
        <v>629</v>
      </c>
      <c r="AS108" s="152" t="s">
        <v>628</v>
      </c>
      <c r="AT108" s="152" t="s">
        <v>677</v>
      </c>
      <c r="AU108" s="152">
        <v>2020</v>
      </c>
      <c r="AV108" s="339">
        <v>5995</v>
      </c>
      <c r="AW108" s="339">
        <v>2013204</v>
      </c>
      <c r="AX108" s="152">
        <v>22</v>
      </c>
      <c r="AY108" s="152">
        <v>0</v>
      </c>
      <c r="AZ108" s="152">
        <v>75</v>
      </c>
      <c r="BA108" s="152">
        <v>8.8344617E-2</v>
      </c>
      <c r="BB108" s="152">
        <v>736</v>
      </c>
      <c r="BC108" s="152">
        <v>90</v>
      </c>
      <c r="BD108" s="152">
        <v>5.6069998999999999</v>
      </c>
    </row>
    <row r="109" spans="1:56" x14ac:dyDescent="0.25">
      <c r="A109" s="152" t="s">
        <v>1207</v>
      </c>
      <c r="B109" s="152">
        <v>43.646622000000001</v>
      </c>
      <c r="C109" s="152">
        <v>-97.093097999999998</v>
      </c>
      <c r="D109" s="152">
        <v>47</v>
      </c>
      <c r="E109" s="152" t="s">
        <v>652</v>
      </c>
      <c r="F109" s="152">
        <v>2019</v>
      </c>
      <c r="G109" s="340">
        <v>43775.063194444447</v>
      </c>
      <c r="H109" s="152" t="s">
        <v>637</v>
      </c>
      <c r="I109" s="152" t="s">
        <v>745</v>
      </c>
      <c r="J109" s="152" t="s">
        <v>650</v>
      </c>
      <c r="L109" s="152" t="s">
        <v>1055</v>
      </c>
      <c r="M109" s="152" t="s">
        <v>676</v>
      </c>
      <c r="N109" s="152" t="s">
        <v>637</v>
      </c>
      <c r="O109" s="152" t="s">
        <v>647</v>
      </c>
      <c r="P109" s="152" t="s">
        <v>646</v>
      </c>
      <c r="Q109" s="152" t="s">
        <v>637</v>
      </c>
      <c r="R109" s="152" t="s">
        <v>1229</v>
      </c>
      <c r="S109" s="152" t="s">
        <v>637</v>
      </c>
      <c r="T109" s="152" t="s">
        <v>687</v>
      </c>
      <c r="U109" s="152" t="s">
        <v>644</v>
      </c>
      <c r="V109" s="152" t="s">
        <v>199</v>
      </c>
      <c r="W109" s="152" t="s">
        <v>643</v>
      </c>
      <c r="Y109" s="152" t="s">
        <v>637</v>
      </c>
      <c r="Z109" s="152" t="s">
        <v>783</v>
      </c>
      <c r="AA109" s="152" t="s">
        <v>665</v>
      </c>
      <c r="AB109" s="152" t="s">
        <v>640</v>
      </c>
      <c r="AC109" s="152" t="s">
        <v>777</v>
      </c>
      <c r="AD109" s="152" t="s">
        <v>673</v>
      </c>
      <c r="AE109" s="152" t="s">
        <v>637</v>
      </c>
      <c r="AF109" s="152" t="s">
        <v>637</v>
      </c>
      <c r="AG109" s="152" t="s">
        <v>637</v>
      </c>
      <c r="AH109" s="152" t="s">
        <v>677</v>
      </c>
      <c r="AI109" s="152" t="s">
        <v>655</v>
      </c>
      <c r="AJ109" s="152" t="s">
        <v>635</v>
      </c>
      <c r="AK109" s="152" t="s">
        <v>634</v>
      </c>
      <c r="AL109" s="152" t="s">
        <v>633</v>
      </c>
      <c r="AM109" s="152" t="s">
        <v>1228</v>
      </c>
      <c r="AO109" s="152" t="s">
        <v>631</v>
      </c>
      <c r="AP109" s="152" t="s">
        <v>628</v>
      </c>
      <c r="AQ109" s="152" t="s">
        <v>662</v>
      </c>
      <c r="AR109" s="152" t="s">
        <v>629</v>
      </c>
      <c r="AS109" s="152" t="s">
        <v>678</v>
      </c>
      <c r="AT109" s="152" t="s">
        <v>670</v>
      </c>
      <c r="AU109" s="152">
        <v>2019</v>
      </c>
      <c r="AV109" s="339">
        <v>5995</v>
      </c>
      <c r="AW109" s="339">
        <v>1917276</v>
      </c>
      <c r="AX109" s="152">
        <v>6</v>
      </c>
      <c r="AY109" s="152">
        <v>0</v>
      </c>
      <c r="AZ109" s="152">
        <v>75</v>
      </c>
      <c r="BA109" s="152">
        <v>2.9353509999999999E-2</v>
      </c>
      <c r="BB109" s="152">
        <v>610</v>
      </c>
      <c r="BC109" s="152">
        <v>90</v>
      </c>
      <c r="BD109" s="152">
        <v>5.6069998999999999</v>
      </c>
    </row>
    <row r="110" spans="1:56" x14ac:dyDescent="0.25">
      <c r="A110" s="152" t="s">
        <v>1207</v>
      </c>
      <c r="B110" s="152">
        <v>43.646774000000001</v>
      </c>
      <c r="C110" s="152">
        <v>-97.093305000000001</v>
      </c>
      <c r="D110" s="152">
        <v>47</v>
      </c>
      <c r="E110" s="152" t="s">
        <v>697</v>
      </c>
      <c r="F110" s="152">
        <v>2020</v>
      </c>
      <c r="G110" s="340">
        <v>44132.843055555553</v>
      </c>
      <c r="H110" s="152" t="s">
        <v>637</v>
      </c>
      <c r="I110" s="152" t="s">
        <v>696</v>
      </c>
      <c r="J110" s="152" t="s">
        <v>697</v>
      </c>
      <c r="L110" s="152" t="s">
        <v>1055</v>
      </c>
      <c r="M110" s="152" t="s">
        <v>676</v>
      </c>
      <c r="N110" s="152" t="s">
        <v>637</v>
      </c>
      <c r="O110" s="152" t="s">
        <v>647</v>
      </c>
      <c r="P110" s="152" t="s">
        <v>696</v>
      </c>
      <c r="Q110" s="152" t="s">
        <v>637</v>
      </c>
      <c r="R110" s="152" t="s">
        <v>701</v>
      </c>
      <c r="S110" s="152" t="s">
        <v>637</v>
      </c>
      <c r="T110" s="152" t="s">
        <v>701</v>
      </c>
      <c r="U110" s="152" t="s">
        <v>644</v>
      </c>
      <c r="V110" s="152" t="s">
        <v>199</v>
      </c>
      <c r="W110" s="152" t="s">
        <v>643</v>
      </c>
      <c r="Y110" s="152" t="s">
        <v>637</v>
      </c>
      <c r="Z110" s="152" t="s">
        <v>696</v>
      </c>
      <c r="AA110" s="152" t="s">
        <v>665</v>
      </c>
      <c r="AB110" s="152" t="s">
        <v>640</v>
      </c>
      <c r="AC110" s="152" t="s">
        <v>701</v>
      </c>
      <c r="AD110" s="152" t="s">
        <v>700</v>
      </c>
      <c r="AE110" s="152" t="s">
        <v>637</v>
      </c>
      <c r="AF110" s="152" t="s">
        <v>637</v>
      </c>
      <c r="AG110" s="152" t="s">
        <v>637</v>
      </c>
      <c r="AH110" s="152" t="s">
        <v>664</v>
      </c>
      <c r="AI110" s="152" t="s">
        <v>699</v>
      </c>
      <c r="AJ110" s="152" t="s">
        <v>696</v>
      </c>
      <c r="AL110" s="152" t="s">
        <v>637</v>
      </c>
      <c r="AM110" s="152" t="s">
        <v>1227</v>
      </c>
      <c r="AO110" s="152" t="s">
        <v>631</v>
      </c>
      <c r="AP110" s="152" t="s">
        <v>697</v>
      </c>
      <c r="AQ110" s="152" t="s">
        <v>671</v>
      </c>
      <c r="AS110" s="152" t="s">
        <v>696</v>
      </c>
      <c r="AT110" s="152" t="s">
        <v>702</v>
      </c>
      <c r="AU110" s="152">
        <v>2020</v>
      </c>
      <c r="AV110" s="339">
        <v>5995</v>
      </c>
      <c r="AW110" s="339">
        <v>2013969</v>
      </c>
      <c r="AX110" s="152">
        <v>28</v>
      </c>
      <c r="AY110" s="152">
        <v>-1</v>
      </c>
      <c r="AZ110" s="152">
        <v>75</v>
      </c>
      <c r="BA110" s="152">
        <v>6.8148241999999998E-2</v>
      </c>
      <c r="BB110" s="152">
        <v>751</v>
      </c>
      <c r="BC110" s="152">
        <v>90</v>
      </c>
      <c r="BD110" s="152">
        <v>5.6069998999999999</v>
      </c>
    </row>
    <row r="111" spans="1:56" x14ac:dyDescent="0.25">
      <c r="A111" s="152" t="s">
        <v>1207</v>
      </c>
      <c r="B111" s="152">
        <v>43.647677999999999</v>
      </c>
      <c r="C111" s="152">
        <v>-97.094506999999993</v>
      </c>
      <c r="D111" s="152">
        <v>47</v>
      </c>
      <c r="E111" s="152" t="s">
        <v>821</v>
      </c>
      <c r="F111" s="152">
        <v>2017</v>
      </c>
      <c r="G111" s="340">
        <v>42935.580555555556</v>
      </c>
      <c r="H111" s="152" t="s">
        <v>637</v>
      </c>
      <c r="I111" s="152" t="s">
        <v>669</v>
      </c>
      <c r="J111" s="152" t="s">
        <v>660</v>
      </c>
      <c r="K111" s="152" t="s">
        <v>775</v>
      </c>
      <c r="L111" s="152" t="s">
        <v>1055</v>
      </c>
      <c r="M111" s="152" t="s">
        <v>676</v>
      </c>
      <c r="N111" s="152" t="s">
        <v>637</v>
      </c>
      <c r="O111" s="152" t="s">
        <v>647</v>
      </c>
      <c r="P111" s="152" t="s">
        <v>774</v>
      </c>
      <c r="Q111" s="152" t="s">
        <v>637</v>
      </c>
      <c r="R111" s="152" t="s">
        <v>656</v>
      </c>
      <c r="S111" s="152" t="s">
        <v>637</v>
      </c>
      <c r="T111" s="152" t="s">
        <v>656</v>
      </c>
      <c r="U111" s="152" t="s">
        <v>644</v>
      </c>
      <c r="V111" s="152" t="s">
        <v>199</v>
      </c>
      <c r="W111" s="152" t="s">
        <v>643</v>
      </c>
      <c r="Y111" s="152" t="s">
        <v>637</v>
      </c>
      <c r="Z111" s="152" t="s">
        <v>783</v>
      </c>
      <c r="AA111" s="152" t="s">
        <v>641</v>
      </c>
      <c r="AB111" s="152" t="s">
        <v>728</v>
      </c>
      <c r="AC111" s="152" t="s">
        <v>656</v>
      </c>
      <c r="AD111" s="152" t="s">
        <v>805</v>
      </c>
      <c r="AE111" s="152" t="s">
        <v>637</v>
      </c>
      <c r="AF111" s="152" t="s">
        <v>637</v>
      </c>
      <c r="AG111" s="152" t="s">
        <v>637</v>
      </c>
      <c r="AH111" s="152" t="s">
        <v>664</v>
      </c>
      <c r="AI111" s="152" t="s">
        <v>628</v>
      </c>
      <c r="AJ111" s="152" t="s">
        <v>680</v>
      </c>
      <c r="AK111" s="152" t="s">
        <v>634</v>
      </c>
      <c r="AL111" s="152" t="s">
        <v>637</v>
      </c>
      <c r="AM111" s="152" t="s">
        <v>1226</v>
      </c>
      <c r="AO111" s="152" t="s">
        <v>631</v>
      </c>
      <c r="AP111" s="152" t="s">
        <v>628</v>
      </c>
      <c r="AQ111" s="152" t="s">
        <v>779</v>
      </c>
      <c r="AR111" s="152" t="s">
        <v>629</v>
      </c>
      <c r="AS111" s="152" t="s">
        <v>628</v>
      </c>
      <c r="AT111" s="152" t="s">
        <v>702</v>
      </c>
      <c r="AU111" s="152">
        <v>2017</v>
      </c>
      <c r="AV111" s="339">
        <v>5995</v>
      </c>
      <c r="AW111" s="339">
        <v>1708830</v>
      </c>
      <c r="AX111" s="152">
        <v>19</v>
      </c>
      <c r="AY111" s="152">
        <v>0</v>
      </c>
      <c r="AZ111" s="152">
        <v>75</v>
      </c>
      <c r="BA111" s="152">
        <v>0.62938638999999996</v>
      </c>
      <c r="BB111" s="152">
        <v>260</v>
      </c>
      <c r="BC111" s="152">
        <v>90</v>
      </c>
      <c r="BD111" s="152">
        <v>5.6069998999999999</v>
      </c>
    </row>
    <row r="112" spans="1:56" x14ac:dyDescent="0.25">
      <c r="A112" s="152" t="s">
        <v>1207</v>
      </c>
      <c r="B112" s="152">
        <v>43.6479</v>
      </c>
      <c r="C112" s="152">
        <v>-97.094791999999998</v>
      </c>
      <c r="D112" s="152">
        <v>47</v>
      </c>
      <c r="E112" s="152" t="s">
        <v>759</v>
      </c>
      <c r="F112" s="152">
        <v>2016</v>
      </c>
      <c r="G112" s="340">
        <v>42394.273611111108</v>
      </c>
      <c r="H112" s="152" t="s">
        <v>637</v>
      </c>
      <c r="I112" s="152" t="s">
        <v>669</v>
      </c>
      <c r="J112" s="152" t="s">
        <v>650</v>
      </c>
      <c r="L112" s="152" t="s">
        <v>1055</v>
      </c>
      <c r="M112" s="152" t="s">
        <v>685</v>
      </c>
      <c r="N112" s="152" t="s">
        <v>637</v>
      </c>
      <c r="O112" s="152" t="s">
        <v>647</v>
      </c>
      <c r="P112" s="152" t="s">
        <v>840</v>
      </c>
      <c r="Q112" s="152" t="s">
        <v>637</v>
      </c>
      <c r="R112" s="152" t="s">
        <v>825</v>
      </c>
      <c r="S112" s="152" t="s">
        <v>637</v>
      </c>
      <c r="T112" s="152" t="s">
        <v>708</v>
      </c>
      <c r="U112" s="152" t="s">
        <v>644</v>
      </c>
      <c r="V112" s="152" t="s">
        <v>199</v>
      </c>
      <c r="W112" s="152" t="s">
        <v>643</v>
      </c>
      <c r="Y112" s="152" t="s">
        <v>637</v>
      </c>
      <c r="Z112" s="152" t="s">
        <v>642</v>
      </c>
      <c r="AA112" s="152" t="s">
        <v>665</v>
      </c>
      <c r="AB112" s="152" t="s">
        <v>640</v>
      </c>
      <c r="AC112" s="152" t="s">
        <v>708</v>
      </c>
      <c r="AD112" s="152" t="s">
        <v>638</v>
      </c>
      <c r="AE112" s="152" t="s">
        <v>637</v>
      </c>
      <c r="AF112" s="152" t="s">
        <v>633</v>
      </c>
      <c r="AG112" s="152" t="s">
        <v>637</v>
      </c>
      <c r="AH112" s="152" t="s">
        <v>1122</v>
      </c>
      <c r="AI112" s="152" t="s">
        <v>655</v>
      </c>
      <c r="AJ112" s="152" t="s">
        <v>635</v>
      </c>
      <c r="AK112" s="152" t="s">
        <v>634</v>
      </c>
      <c r="AL112" s="152" t="s">
        <v>637</v>
      </c>
      <c r="AM112" s="152" t="s">
        <v>1225</v>
      </c>
      <c r="AO112" s="152" t="s">
        <v>631</v>
      </c>
      <c r="AP112" s="152" t="s">
        <v>628</v>
      </c>
      <c r="AQ112" s="152" t="s">
        <v>671</v>
      </c>
      <c r="AR112" s="152" t="s">
        <v>629</v>
      </c>
      <c r="AS112" s="152" t="s">
        <v>628</v>
      </c>
      <c r="AT112" s="152" t="s">
        <v>702</v>
      </c>
      <c r="AU112" s="152">
        <v>2016</v>
      </c>
      <c r="AV112" s="339">
        <v>5995</v>
      </c>
      <c r="AW112" s="339">
        <v>1600796</v>
      </c>
      <c r="AX112" s="152">
        <v>25</v>
      </c>
      <c r="AY112" s="152">
        <v>0</v>
      </c>
      <c r="AZ112" s="152">
        <v>75</v>
      </c>
      <c r="BA112" s="152">
        <v>0.51158308900000005</v>
      </c>
      <c r="BB112" s="152">
        <v>18</v>
      </c>
      <c r="BC112" s="152">
        <v>90</v>
      </c>
      <c r="BD112" s="152">
        <v>5.6069998999999999</v>
      </c>
    </row>
    <row r="113" spans="1:56" x14ac:dyDescent="0.25">
      <c r="A113" s="152" t="s">
        <v>1207</v>
      </c>
      <c r="B113" s="152">
        <v>43.648929000000003</v>
      </c>
      <c r="C113" s="152">
        <v>-97.096114</v>
      </c>
      <c r="D113" s="152">
        <v>47</v>
      </c>
      <c r="E113" s="152" t="s">
        <v>697</v>
      </c>
      <c r="F113" s="152">
        <v>2020</v>
      </c>
      <c r="G113" s="340">
        <v>43897.895138888889</v>
      </c>
      <c r="H113" s="152" t="s">
        <v>637</v>
      </c>
      <c r="I113" s="152" t="s">
        <v>696</v>
      </c>
      <c r="J113" s="152" t="s">
        <v>697</v>
      </c>
      <c r="L113" s="152" t="s">
        <v>1055</v>
      </c>
      <c r="M113" s="152" t="s">
        <v>693</v>
      </c>
      <c r="N113" s="152" t="s">
        <v>637</v>
      </c>
      <c r="O113" s="152" t="s">
        <v>647</v>
      </c>
      <c r="P113" s="152" t="s">
        <v>696</v>
      </c>
      <c r="Q113" s="152" t="s">
        <v>637</v>
      </c>
      <c r="R113" s="152" t="s">
        <v>701</v>
      </c>
      <c r="S113" s="152" t="s">
        <v>637</v>
      </c>
      <c r="T113" s="152" t="s">
        <v>701</v>
      </c>
      <c r="U113" s="152" t="s">
        <v>644</v>
      </c>
      <c r="V113" s="152" t="s">
        <v>199</v>
      </c>
      <c r="W113" s="152" t="s">
        <v>643</v>
      </c>
      <c r="Y113" s="152" t="s">
        <v>637</v>
      </c>
      <c r="Z113" s="152" t="s">
        <v>696</v>
      </c>
      <c r="AA113" s="152" t="s">
        <v>665</v>
      </c>
      <c r="AB113" s="152" t="s">
        <v>640</v>
      </c>
      <c r="AC113" s="152" t="s">
        <v>701</v>
      </c>
      <c r="AD113" s="152" t="s">
        <v>691</v>
      </c>
      <c r="AE113" s="152" t="s">
        <v>637</v>
      </c>
      <c r="AF113" s="152" t="s">
        <v>637</v>
      </c>
      <c r="AG113" s="152" t="s">
        <v>637</v>
      </c>
      <c r="AH113" s="152" t="s">
        <v>664</v>
      </c>
      <c r="AI113" s="152" t="s">
        <v>699</v>
      </c>
      <c r="AJ113" s="152" t="s">
        <v>696</v>
      </c>
      <c r="AL113" s="152" t="s">
        <v>637</v>
      </c>
      <c r="AM113" s="152" t="s">
        <v>1224</v>
      </c>
      <c r="AO113" s="152" t="s">
        <v>631</v>
      </c>
      <c r="AP113" s="152" t="s">
        <v>697</v>
      </c>
      <c r="AQ113" s="152" t="s">
        <v>630</v>
      </c>
      <c r="AS113" s="152" t="s">
        <v>696</v>
      </c>
      <c r="AT113" s="152" t="s">
        <v>702</v>
      </c>
      <c r="AU113" s="152">
        <v>2020</v>
      </c>
      <c r="AV113" s="339">
        <v>5995</v>
      </c>
      <c r="AW113" s="339">
        <v>2003157</v>
      </c>
      <c r="AX113" s="152">
        <v>7</v>
      </c>
      <c r="AY113" s="152">
        <v>-1</v>
      </c>
      <c r="AZ113" s="152">
        <v>75</v>
      </c>
      <c r="BA113" s="152">
        <v>0.148350173</v>
      </c>
      <c r="BB113" s="152">
        <v>666</v>
      </c>
      <c r="BC113" s="152">
        <v>90</v>
      </c>
      <c r="BD113" s="152">
        <v>5.6069998999999999</v>
      </c>
    </row>
    <row r="114" spans="1:56" x14ac:dyDescent="0.25">
      <c r="A114" s="152" t="s">
        <v>1207</v>
      </c>
      <c r="B114" s="152">
        <v>43.649771000000001</v>
      </c>
      <c r="C114" s="152">
        <v>-97.097189</v>
      </c>
      <c r="D114" s="152">
        <v>47</v>
      </c>
      <c r="E114" s="152" t="s">
        <v>697</v>
      </c>
      <c r="F114" s="152">
        <v>2017</v>
      </c>
      <c r="G114" s="340">
        <v>42858.857638888891</v>
      </c>
      <c r="H114" s="152" t="s">
        <v>637</v>
      </c>
      <c r="I114" s="152" t="s">
        <v>696</v>
      </c>
      <c r="J114" s="152" t="s">
        <v>697</v>
      </c>
      <c r="L114" s="152" t="s">
        <v>1055</v>
      </c>
      <c r="M114" s="152" t="s">
        <v>676</v>
      </c>
      <c r="N114" s="152" t="s">
        <v>637</v>
      </c>
      <c r="O114" s="152" t="s">
        <v>647</v>
      </c>
      <c r="P114" s="152" t="s">
        <v>696</v>
      </c>
      <c r="Q114" s="152" t="s">
        <v>637</v>
      </c>
      <c r="R114" s="152" t="s">
        <v>701</v>
      </c>
      <c r="S114" s="152" t="s">
        <v>637</v>
      </c>
      <c r="T114" s="152" t="s">
        <v>701</v>
      </c>
      <c r="U114" s="152" t="s">
        <v>644</v>
      </c>
      <c r="V114" s="152" t="s">
        <v>199</v>
      </c>
      <c r="W114" s="152" t="s">
        <v>643</v>
      </c>
      <c r="Y114" s="152" t="s">
        <v>637</v>
      </c>
      <c r="Z114" s="152" t="s">
        <v>642</v>
      </c>
      <c r="AA114" s="152" t="s">
        <v>856</v>
      </c>
      <c r="AB114" s="152" t="s">
        <v>640</v>
      </c>
      <c r="AC114" s="152" t="s">
        <v>701</v>
      </c>
      <c r="AD114" s="152" t="s">
        <v>752</v>
      </c>
      <c r="AE114" s="152" t="s">
        <v>637</v>
      </c>
      <c r="AF114" s="152" t="s">
        <v>637</v>
      </c>
      <c r="AG114" s="152" t="s">
        <v>637</v>
      </c>
      <c r="AH114" s="152" t="s">
        <v>664</v>
      </c>
      <c r="AI114" s="152" t="s">
        <v>699</v>
      </c>
      <c r="AJ114" s="152" t="s">
        <v>696</v>
      </c>
      <c r="AL114" s="152" t="s">
        <v>637</v>
      </c>
      <c r="AM114" s="152" t="s">
        <v>1165</v>
      </c>
      <c r="AO114" s="152" t="s">
        <v>631</v>
      </c>
      <c r="AP114" s="152" t="s">
        <v>697</v>
      </c>
      <c r="AQ114" s="152" t="s">
        <v>703</v>
      </c>
      <c r="AS114" s="152" t="s">
        <v>696</v>
      </c>
      <c r="AT114" s="152" t="s">
        <v>702</v>
      </c>
      <c r="AU114" s="152">
        <v>2017</v>
      </c>
      <c r="AV114" s="339">
        <v>5995</v>
      </c>
      <c r="AW114" s="339">
        <v>1705594</v>
      </c>
      <c r="AX114" s="152">
        <v>3</v>
      </c>
      <c r="AY114" s="152">
        <v>-1</v>
      </c>
      <c r="AZ114" s="152">
        <v>75</v>
      </c>
      <c r="BA114" s="152">
        <v>2.1711086609999999</v>
      </c>
      <c r="BB114" s="152">
        <v>223</v>
      </c>
      <c r="BC114" s="152">
        <v>90</v>
      </c>
      <c r="BD114" s="152">
        <v>5.6069998999999999</v>
      </c>
    </row>
    <row r="115" spans="1:56" x14ac:dyDescent="0.25">
      <c r="A115" s="152" t="s">
        <v>1207</v>
      </c>
      <c r="B115" s="152">
        <v>43.649903000000002</v>
      </c>
      <c r="C115" s="152">
        <v>-97.097370999999995</v>
      </c>
      <c r="D115" s="152">
        <v>47</v>
      </c>
      <c r="E115" s="152" t="s">
        <v>697</v>
      </c>
      <c r="F115" s="152">
        <v>2016</v>
      </c>
      <c r="G115" s="340">
        <v>42504.958333333336</v>
      </c>
      <c r="H115" s="152" t="s">
        <v>637</v>
      </c>
      <c r="I115" s="152" t="s">
        <v>696</v>
      </c>
      <c r="J115" s="152" t="s">
        <v>697</v>
      </c>
      <c r="L115" s="152" t="s">
        <v>1055</v>
      </c>
      <c r="M115" s="152" t="s">
        <v>693</v>
      </c>
      <c r="N115" s="152" t="s">
        <v>637</v>
      </c>
      <c r="O115" s="152" t="s">
        <v>647</v>
      </c>
      <c r="P115" s="152" t="s">
        <v>696</v>
      </c>
      <c r="Q115" s="152" t="s">
        <v>637</v>
      </c>
      <c r="R115" s="152" t="s">
        <v>701</v>
      </c>
      <c r="S115" s="152" t="s">
        <v>637</v>
      </c>
      <c r="T115" s="152" t="s">
        <v>701</v>
      </c>
      <c r="U115" s="152" t="s">
        <v>644</v>
      </c>
      <c r="V115" s="152" t="s">
        <v>199</v>
      </c>
      <c r="W115" s="152" t="s">
        <v>643</v>
      </c>
      <c r="Y115" s="152" t="s">
        <v>637</v>
      </c>
      <c r="Z115" s="152" t="s">
        <v>642</v>
      </c>
      <c r="AA115" s="152" t="s">
        <v>665</v>
      </c>
      <c r="AB115" s="152" t="s">
        <v>640</v>
      </c>
      <c r="AC115" s="152" t="s">
        <v>701</v>
      </c>
      <c r="AD115" s="152" t="s">
        <v>752</v>
      </c>
      <c r="AE115" s="152" t="s">
        <v>637</v>
      </c>
      <c r="AF115" s="152" t="s">
        <v>637</v>
      </c>
      <c r="AG115" s="152" t="s">
        <v>637</v>
      </c>
      <c r="AH115" s="152" t="s">
        <v>664</v>
      </c>
      <c r="AI115" s="152" t="s">
        <v>699</v>
      </c>
      <c r="AJ115" s="152" t="s">
        <v>696</v>
      </c>
      <c r="AL115" s="152" t="s">
        <v>637</v>
      </c>
      <c r="AM115" s="152" t="s">
        <v>761</v>
      </c>
      <c r="AO115" s="152" t="s">
        <v>631</v>
      </c>
      <c r="AP115" s="152" t="s">
        <v>697</v>
      </c>
      <c r="AQ115" s="152" t="s">
        <v>630</v>
      </c>
      <c r="AS115" s="152" t="s">
        <v>696</v>
      </c>
      <c r="AT115" s="152" t="s">
        <v>702</v>
      </c>
      <c r="AU115" s="152">
        <v>2016</v>
      </c>
      <c r="AV115" s="339">
        <v>5995</v>
      </c>
      <c r="AW115" s="339">
        <v>1605716</v>
      </c>
      <c r="AX115" s="152">
        <v>14</v>
      </c>
      <c r="AY115" s="152">
        <v>-1</v>
      </c>
      <c r="AZ115" s="152">
        <v>75</v>
      </c>
      <c r="BA115" s="152">
        <v>0.17904447800000001</v>
      </c>
      <c r="BB115" s="152">
        <v>57</v>
      </c>
      <c r="BC115" s="152">
        <v>90</v>
      </c>
      <c r="BD115" s="152">
        <v>5.6069998999999999</v>
      </c>
    </row>
    <row r="116" spans="1:56" x14ac:dyDescent="0.25">
      <c r="A116" s="152" t="s">
        <v>1207</v>
      </c>
      <c r="B116" s="152">
        <v>43.649962000000002</v>
      </c>
      <c r="C116" s="152">
        <v>-97.097448999999997</v>
      </c>
      <c r="D116" s="152">
        <v>47</v>
      </c>
      <c r="E116" s="152" t="s">
        <v>697</v>
      </c>
      <c r="F116" s="152">
        <v>2019</v>
      </c>
      <c r="G116" s="340">
        <v>43763.329861111109</v>
      </c>
      <c r="H116" s="152" t="s">
        <v>637</v>
      </c>
      <c r="I116" s="152" t="s">
        <v>696</v>
      </c>
      <c r="J116" s="152" t="s">
        <v>697</v>
      </c>
      <c r="L116" s="152" t="s">
        <v>1055</v>
      </c>
      <c r="M116" s="152" t="s">
        <v>648</v>
      </c>
      <c r="N116" s="152" t="s">
        <v>637</v>
      </c>
      <c r="O116" s="152" t="s">
        <v>647</v>
      </c>
      <c r="P116" s="152" t="s">
        <v>696</v>
      </c>
      <c r="Q116" s="152" t="s">
        <v>637</v>
      </c>
      <c r="R116" s="152" t="s">
        <v>701</v>
      </c>
      <c r="S116" s="152" t="s">
        <v>637</v>
      </c>
      <c r="T116" s="152" t="s">
        <v>701</v>
      </c>
      <c r="U116" s="152" t="s">
        <v>644</v>
      </c>
      <c r="V116" s="152" t="s">
        <v>199</v>
      </c>
      <c r="W116" s="152" t="s">
        <v>643</v>
      </c>
      <c r="Y116" s="152" t="s">
        <v>637</v>
      </c>
      <c r="Z116" s="152" t="s">
        <v>642</v>
      </c>
      <c r="AA116" s="152" t="s">
        <v>641</v>
      </c>
      <c r="AB116" s="152" t="s">
        <v>640</v>
      </c>
      <c r="AC116" s="152" t="s">
        <v>701</v>
      </c>
      <c r="AD116" s="152" t="s">
        <v>700</v>
      </c>
      <c r="AE116" s="152" t="s">
        <v>637</v>
      </c>
      <c r="AF116" s="152" t="s">
        <v>637</v>
      </c>
      <c r="AG116" s="152" t="s">
        <v>637</v>
      </c>
      <c r="AH116" s="152" t="s">
        <v>664</v>
      </c>
      <c r="AI116" s="152" t="s">
        <v>699</v>
      </c>
      <c r="AJ116" s="152" t="s">
        <v>696</v>
      </c>
      <c r="AL116" s="152" t="s">
        <v>637</v>
      </c>
      <c r="AM116" s="152" t="s">
        <v>1223</v>
      </c>
      <c r="AO116" s="152" t="s">
        <v>631</v>
      </c>
      <c r="AP116" s="152" t="s">
        <v>697</v>
      </c>
      <c r="AQ116" s="152" t="s">
        <v>630</v>
      </c>
      <c r="AS116" s="152" t="s">
        <v>696</v>
      </c>
      <c r="AT116" s="152" t="s">
        <v>702</v>
      </c>
      <c r="AU116" s="152">
        <v>2019</v>
      </c>
      <c r="AV116" s="339">
        <v>5995</v>
      </c>
      <c r="AW116" s="339">
        <v>1915995</v>
      </c>
      <c r="AX116" s="152">
        <v>25</v>
      </c>
      <c r="AY116" s="152">
        <v>-1</v>
      </c>
      <c r="AZ116" s="152">
        <v>75</v>
      </c>
      <c r="BA116" s="152">
        <v>6.6793329999999998E-2</v>
      </c>
      <c r="BB116" s="152">
        <v>599</v>
      </c>
      <c r="BC116" s="152">
        <v>90</v>
      </c>
      <c r="BD116" s="152">
        <v>5.6069998999999999</v>
      </c>
    </row>
    <row r="117" spans="1:56" x14ac:dyDescent="0.25">
      <c r="A117" s="152" t="s">
        <v>1207</v>
      </c>
      <c r="B117" s="152">
        <v>43.650199999999998</v>
      </c>
      <c r="C117" s="152">
        <v>-97.097758999999996</v>
      </c>
      <c r="D117" s="152">
        <v>47</v>
      </c>
      <c r="E117" s="152" t="s">
        <v>697</v>
      </c>
      <c r="F117" s="152">
        <v>2018</v>
      </c>
      <c r="G117" s="340">
        <v>43386.306250000001</v>
      </c>
      <c r="H117" s="152" t="s">
        <v>637</v>
      </c>
      <c r="I117" s="152" t="s">
        <v>696</v>
      </c>
      <c r="J117" s="152" t="s">
        <v>697</v>
      </c>
      <c r="L117" s="152" t="s">
        <v>1055</v>
      </c>
      <c r="M117" s="152" t="s">
        <v>693</v>
      </c>
      <c r="N117" s="152" t="s">
        <v>637</v>
      </c>
      <c r="O117" s="152" t="s">
        <v>647</v>
      </c>
      <c r="P117" s="152" t="s">
        <v>696</v>
      </c>
      <c r="Q117" s="152" t="s">
        <v>637</v>
      </c>
      <c r="R117" s="152" t="s">
        <v>701</v>
      </c>
      <c r="S117" s="152" t="s">
        <v>637</v>
      </c>
      <c r="T117" s="152" t="s">
        <v>701</v>
      </c>
      <c r="U117" s="152" t="s">
        <v>644</v>
      </c>
      <c r="V117" s="152" t="s">
        <v>199</v>
      </c>
      <c r="W117" s="152" t="s">
        <v>643</v>
      </c>
      <c r="Y117" s="152" t="s">
        <v>637</v>
      </c>
      <c r="Z117" s="152" t="s">
        <v>642</v>
      </c>
      <c r="AA117" s="152" t="s">
        <v>641</v>
      </c>
      <c r="AB117" s="152" t="s">
        <v>640</v>
      </c>
      <c r="AC117" s="152" t="s">
        <v>701</v>
      </c>
      <c r="AD117" s="152" t="s">
        <v>700</v>
      </c>
      <c r="AE117" s="152" t="s">
        <v>637</v>
      </c>
      <c r="AF117" s="152" t="s">
        <v>637</v>
      </c>
      <c r="AG117" s="152" t="s">
        <v>637</v>
      </c>
      <c r="AH117" s="152" t="s">
        <v>664</v>
      </c>
      <c r="AI117" s="152" t="s">
        <v>699</v>
      </c>
      <c r="AJ117" s="152" t="s">
        <v>696</v>
      </c>
      <c r="AL117" s="152" t="s">
        <v>637</v>
      </c>
      <c r="AM117" s="152" t="s">
        <v>1222</v>
      </c>
      <c r="AO117" s="152" t="s">
        <v>631</v>
      </c>
      <c r="AP117" s="152" t="s">
        <v>697</v>
      </c>
      <c r="AQ117" s="152" t="s">
        <v>703</v>
      </c>
      <c r="AS117" s="152" t="s">
        <v>696</v>
      </c>
      <c r="AT117" s="152" t="s">
        <v>702</v>
      </c>
      <c r="AU117" s="152">
        <v>2018</v>
      </c>
      <c r="AV117" s="339">
        <v>5995</v>
      </c>
      <c r="AW117" s="339">
        <v>1812569</v>
      </c>
      <c r="AX117" s="152">
        <v>13</v>
      </c>
      <c r="AY117" s="152">
        <v>-1</v>
      </c>
      <c r="AZ117" s="152">
        <v>75</v>
      </c>
      <c r="BA117" s="152">
        <v>0.164974707</v>
      </c>
      <c r="BB117" s="152">
        <v>451</v>
      </c>
      <c r="BC117" s="152">
        <v>90</v>
      </c>
      <c r="BD117" s="152">
        <v>5.6069998999999999</v>
      </c>
    </row>
    <row r="118" spans="1:56" x14ac:dyDescent="0.25">
      <c r="A118" s="152" t="s">
        <v>1207</v>
      </c>
      <c r="B118" s="152">
        <v>43.650616999999997</v>
      </c>
      <c r="C118" s="152">
        <v>-97.098304999999996</v>
      </c>
      <c r="D118" s="152">
        <v>47</v>
      </c>
      <c r="E118" s="152" t="s">
        <v>652</v>
      </c>
      <c r="F118" s="152">
        <v>2019</v>
      </c>
      <c r="G118" s="340">
        <v>43829.510416666664</v>
      </c>
      <c r="H118" s="152" t="s">
        <v>637</v>
      </c>
      <c r="I118" s="152" t="s">
        <v>669</v>
      </c>
      <c r="J118" s="152" t="s">
        <v>650</v>
      </c>
      <c r="L118" s="152" t="s">
        <v>1055</v>
      </c>
      <c r="M118" s="152" t="s">
        <v>685</v>
      </c>
      <c r="N118" s="152" t="s">
        <v>637</v>
      </c>
      <c r="O118" s="152" t="s">
        <v>647</v>
      </c>
      <c r="P118" s="152" t="s">
        <v>684</v>
      </c>
      <c r="Q118" s="152" t="s">
        <v>637</v>
      </c>
      <c r="R118" s="152" t="s">
        <v>1020</v>
      </c>
      <c r="S118" s="152" t="s">
        <v>637</v>
      </c>
      <c r="T118" s="152" t="s">
        <v>777</v>
      </c>
      <c r="U118" s="152" t="s">
        <v>644</v>
      </c>
      <c r="V118" s="152" t="s">
        <v>199</v>
      </c>
      <c r="W118" s="152" t="s">
        <v>643</v>
      </c>
      <c r="Y118" s="152" t="s">
        <v>637</v>
      </c>
      <c r="Z118" s="152" t="s">
        <v>642</v>
      </c>
      <c r="AA118" s="152" t="s">
        <v>641</v>
      </c>
      <c r="AB118" s="152" t="s">
        <v>640</v>
      </c>
      <c r="AC118" s="152" t="s">
        <v>682</v>
      </c>
      <c r="AD118" s="152" t="s">
        <v>681</v>
      </c>
      <c r="AE118" s="152" t="s">
        <v>637</v>
      </c>
      <c r="AF118" s="152" t="s">
        <v>637</v>
      </c>
      <c r="AG118" s="152" t="s">
        <v>637</v>
      </c>
      <c r="AH118" s="152" t="s">
        <v>636</v>
      </c>
      <c r="AI118" s="152" t="s">
        <v>655</v>
      </c>
      <c r="AJ118" s="152" t="s">
        <v>635</v>
      </c>
      <c r="AK118" s="152" t="s">
        <v>634</v>
      </c>
      <c r="AL118" s="152" t="s">
        <v>637</v>
      </c>
      <c r="AM118" s="152" t="s">
        <v>1221</v>
      </c>
      <c r="AO118" s="152" t="s">
        <v>631</v>
      </c>
      <c r="AP118" s="152" t="s">
        <v>628</v>
      </c>
      <c r="AQ118" s="152" t="s">
        <v>769</v>
      </c>
      <c r="AR118" s="152" t="s">
        <v>629</v>
      </c>
      <c r="AS118" s="152" t="s">
        <v>628</v>
      </c>
      <c r="AT118" s="152" t="s">
        <v>627</v>
      </c>
      <c r="AU118" s="152">
        <v>2019</v>
      </c>
      <c r="AV118" s="339">
        <v>5995</v>
      </c>
      <c r="AW118" s="339">
        <v>1920641</v>
      </c>
      <c r="AX118" s="152">
        <v>30</v>
      </c>
      <c r="AY118" s="152">
        <v>0</v>
      </c>
      <c r="AZ118" s="152">
        <v>75</v>
      </c>
      <c r="BA118" s="152">
        <v>0.88314371599999997</v>
      </c>
      <c r="BB118" s="152">
        <v>638</v>
      </c>
      <c r="BC118" s="152">
        <v>90</v>
      </c>
      <c r="BD118" s="152">
        <v>5.6069998999999999</v>
      </c>
    </row>
    <row r="119" spans="1:56" x14ac:dyDescent="0.25">
      <c r="A119" s="152" t="s">
        <v>1207</v>
      </c>
      <c r="B119" s="152">
        <v>43.650618000000001</v>
      </c>
      <c r="C119" s="152">
        <v>-97.098305999999994</v>
      </c>
      <c r="D119" s="152">
        <v>47</v>
      </c>
      <c r="E119" s="152" t="s">
        <v>652</v>
      </c>
      <c r="F119" s="152">
        <v>2019</v>
      </c>
      <c r="G119" s="340">
        <v>43829.5</v>
      </c>
      <c r="H119" s="152" t="s">
        <v>637</v>
      </c>
      <c r="I119" s="152" t="s">
        <v>669</v>
      </c>
      <c r="J119" s="152" t="s">
        <v>650</v>
      </c>
      <c r="L119" s="152" t="s">
        <v>1055</v>
      </c>
      <c r="M119" s="152" t="s">
        <v>685</v>
      </c>
      <c r="N119" s="152" t="s">
        <v>637</v>
      </c>
      <c r="O119" s="152" t="s">
        <v>647</v>
      </c>
      <c r="P119" s="152" t="s">
        <v>684</v>
      </c>
      <c r="Q119" s="152" t="s">
        <v>637</v>
      </c>
      <c r="R119" s="152" t="s">
        <v>666</v>
      </c>
      <c r="S119" s="152" t="s">
        <v>637</v>
      </c>
      <c r="T119" s="152" t="s">
        <v>777</v>
      </c>
      <c r="U119" s="152" t="s">
        <v>644</v>
      </c>
      <c r="V119" s="152" t="s">
        <v>199</v>
      </c>
      <c r="W119" s="152" t="s">
        <v>643</v>
      </c>
      <c r="Y119" s="152" t="s">
        <v>637</v>
      </c>
      <c r="Z119" s="152" t="s">
        <v>642</v>
      </c>
      <c r="AA119" s="152" t="s">
        <v>641</v>
      </c>
      <c r="AB119" s="152" t="s">
        <v>640</v>
      </c>
      <c r="AC119" s="152" t="s">
        <v>639</v>
      </c>
      <c r="AD119" s="152" t="s">
        <v>681</v>
      </c>
      <c r="AE119" s="152" t="s">
        <v>637</v>
      </c>
      <c r="AF119" s="152" t="s">
        <v>637</v>
      </c>
      <c r="AG119" s="152" t="s">
        <v>637</v>
      </c>
      <c r="AH119" s="152" t="s">
        <v>636</v>
      </c>
      <c r="AI119" s="152" t="s">
        <v>655</v>
      </c>
      <c r="AJ119" s="152" t="s">
        <v>635</v>
      </c>
      <c r="AK119" s="152" t="s">
        <v>634</v>
      </c>
      <c r="AL119" s="152" t="s">
        <v>637</v>
      </c>
      <c r="AM119" s="152" t="s">
        <v>1220</v>
      </c>
      <c r="AO119" s="152" t="s">
        <v>631</v>
      </c>
      <c r="AP119" s="152" t="s">
        <v>628</v>
      </c>
      <c r="AQ119" s="152" t="s">
        <v>671</v>
      </c>
      <c r="AR119" s="152" t="s">
        <v>629</v>
      </c>
      <c r="AS119" s="152" t="s">
        <v>628</v>
      </c>
      <c r="AT119" s="152" t="s">
        <v>627</v>
      </c>
      <c r="AU119" s="152">
        <v>2019</v>
      </c>
      <c r="AV119" s="339">
        <v>5995</v>
      </c>
      <c r="AW119" s="339">
        <v>1920519</v>
      </c>
      <c r="AX119" s="152">
        <v>30</v>
      </c>
      <c r="AY119" s="152">
        <v>0</v>
      </c>
      <c r="AZ119" s="152">
        <v>75</v>
      </c>
      <c r="BA119" s="152">
        <v>0.82565313299999998</v>
      </c>
      <c r="BB119" s="152">
        <v>637</v>
      </c>
      <c r="BC119" s="152">
        <v>90</v>
      </c>
      <c r="BD119" s="152">
        <v>5.6069998999999999</v>
      </c>
    </row>
    <row r="120" spans="1:56" x14ac:dyDescent="0.25">
      <c r="A120" s="152" t="s">
        <v>1207</v>
      </c>
      <c r="B120" s="152">
        <v>43.650933000000002</v>
      </c>
      <c r="C120" s="152">
        <v>-97.098712000000006</v>
      </c>
      <c r="D120" s="152">
        <v>47</v>
      </c>
      <c r="E120" s="152" t="s">
        <v>697</v>
      </c>
      <c r="F120" s="152">
        <v>2019</v>
      </c>
      <c r="G120" s="340">
        <v>43605.96875</v>
      </c>
      <c r="H120" s="152" t="s">
        <v>637</v>
      </c>
      <c r="I120" s="152" t="s">
        <v>696</v>
      </c>
      <c r="J120" s="152" t="s">
        <v>697</v>
      </c>
      <c r="L120" s="152" t="s">
        <v>1055</v>
      </c>
      <c r="M120" s="152" t="s">
        <v>685</v>
      </c>
      <c r="N120" s="152" t="s">
        <v>637</v>
      </c>
      <c r="O120" s="152" t="s">
        <v>647</v>
      </c>
      <c r="P120" s="152" t="s">
        <v>696</v>
      </c>
      <c r="Q120" s="152" t="s">
        <v>637</v>
      </c>
      <c r="R120" s="152" t="s">
        <v>701</v>
      </c>
      <c r="S120" s="152" t="s">
        <v>637</v>
      </c>
      <c r="T120" s="152" t="s">
        <v>701</v>
      </c>
      <c r="U120" s="152" t="s">
        <v>644</v>
      </c>
      <c r="V120" s="152" t="s">
        <v>199</v>
      </c>
      <c r="W120" s="152" t="s">
        <v>643</v>
      </c>
      <c r="Y120" s="152" t="s">
        <v>637</v>
      </c>
      <c r="Z120" s="152" t="s">
        <v>696</v>
      </c>
      <c r="AA120" s="152" t="s">
        <v>665</v>
      </c>
      <c r="AB120" s="152" t="s">
        <v>640</v>
      </c>
      <c r="AC120" s="152" t="s">
        <v>701</v>
      </c>
      <c r="AD120" s="152" t="s">
        <v>752</v>
      </c>
      <c r="AE120" s="152" t="s">
        <v>637</v>
      </c>
      <c r="AF120" s="152" t="s">
        <v>637</v>
      </c>
      <c r="AG120" s="152" t="s">
        <v>637</v>
      </c>
      <c r="AH120" s="152" t="s">
        <v>664</v>
      </c>
      <c r="AI120" s="152" t="s">
        <v>699</v>
      </c>
      <c r="AJ120" s="152" t="s">
        <v>696</v>
      </c>
      <c r="AL120" s="152" t="s">
        <v>637</v>
      </c>
      <c r="AM120" s="152" t="s">
        <v>828</v>
      </c>
      <c r="AO120" s="152" t="s">
        <v>631</v>
      </c>
      <c r="AP120" s="152" t="s">
        <v>697</v>
      </c>
      <c r="AQ120" s="152" t="s">
        <v>703</v>
      </c>
      <c r="AS120" s="152" t="s">
        <v>696</v>
      </c>
      <c r="AT120" s="152" t="s">
        <v>702</v>
      </c>
      <c r="AU120" s="152">
        <v>2019</v>
      </c>
      <c r="AV120" s="339">
        <v>5995</v>
      </c>
      <c r="AW120" s="339">
        <v>1905700</v>
      </c>
      <c r="AX120" s="152">
        <v>20</v>
      </c>
      <c r="AY120" s="152">
        <v>-1</v>
      </c>
      <c r="AZ120" s="152">
        <v>75</v>
      </c>
      <c r="BA120" s="152">
        <v>0.12619634299999999</v>
      </c>
      <c r="BB120" s="152">
        <v>550</v>
      </c>
      <c r="BC120" s="152">
        <v>90</v>
      </c>
      <c r="BD120" s="152">
        <v>5.6069998999999999</v>
      </c>
    </row>
    <row r="121" spans="1:56" x14ac:dyDescent="0.25">
      <c r="A121" s="152" t="s">
        <v>1207</v>
      </c>
      <c r="B121" s="152">
        <v>43.651243999999998</v>
      </c>
      <c r="C121" s="152">
        <v>-97.099114999999998</v>
      </c>
      <c r="D121" s="152">
        <v>47</v>
      </c>
      <c r="E121" s="152" t="s">
        <v>652</v>
      </c>
      <c r="F121" s="152">
        <v>2020</v>
      </c>
      <c r="G121" s="340">
        <v>44032.430555555555</v>
      </c>
      <c r="H121" s="152" t="s">
        <v>637</v>
      </c>
      <c r="I121" s="152" t="s">
        <v>669</v>
      </c>
      <c r="J121" s="152" t="s">
        <v>694</v>
      </c>
      <c r="L121" s="152" t="s">
        <v>1055</v>
      </c>
      <c r="M121" s="152" t="s">
        <v>685</v>
      </c>
      <c r="N121" s="152" t="s">
        <v>637</v>
      </c>
      <c r="O121" s="152" t="s">
        <v>647</v>
      </c>
      <c r="P121" s="152" t="s">
        <v>628</v>
      </c>
      <c r="Q121" s="152" t="s">
        <v>637</v>
      </c>
      <c r="R121" s="152" t="s">
        <v>711</v>
      </c>
      <c r="S121" s="152" t="s">
        <v>637</v>
      </c>
      <c r="T121" s="152" t="s">
        <v>711</v>
      </c>
      <c r="U121" s="152" t="s">
        <v>644</v>
      </c>
      <c r="V121" s="152" t="s">
        <v>199</v>
      </c>
      <c r="W121" s="152" t="s">
        <v>643</v>
      </c>
      <c r="Y121" s="152" t="s">
        <v>637</v>
      </c>
      <c r="Z121" s="152" t="s">
        <v>642</v>
      </c>
      <c r="AA121" s="152" t="s">
        <v>641</v>
      </c>
      <c r="AB121" s="152" t="s">
        <v>640</v>
      </c>
      <c r="AC121" s="152" t="s">
        <v>711</v>
      </c>
      <c r="AD121" s="152" t="s">
        <v>805</v>
      </c>
      <c r="AE121" s="152" t="s">
        <v>637</v>
      </c>
      <c r="AF121" s="152" t="s">
        <v>637</v>
      </c>
      <c r="AG121" s="152" t="s">
        <v>637</v>
      </c>
      <c r="AH121" s="152" t="s">
        <v>664</v>
      </c>
      <c r="AI121" s="152" t="s">
        <v>899</v>
      </c>
      <c r="AJ121" s="152" t="s">
        <v>635</v>
      </c>
      <c r="AK121" s="152" t="s">
        <v>634</v>
      </c>
      <c r="AL121" s="152" t="s">
        <v>637</v>
      </c>
      <c r="AM121" s="152" t="s">
        <v>1219</v>
      </c>
      <c r="AO121" s="152" t="s">
        <v>631</v>
      </c>
      <c r="AP121" s="152" t="s">
        <v>628</v>
      </c>
      <c r="AQ121" s="152" t="s">
        <v>769</v>
      </c>
      <c r="AR121" s="152" t="s">
        <v>629</v>
      </c>
      <c r="AS121" s="152" t="s">
        <v>628</v>
      </c>
      <c r="AT121" s="152" t="s">
        <v>702</v>
      </c>
      <c r="AU121" s="152">
        <v>2020</v>
      </c>
      <c r="AV121" s="339">
        <v>5995</v>
      </c>
      <c r="AW121" s="339">
        <v>2008514</v>
      </c>
      <c r="AX121" s="152">
        <v>20</v>
      </c>
      <c r="AY121" s="152">
        <v>0</v>
      </c>
      <c r="AZ121" s="152">
        <v>75</v>
      </c>
      <c r="BA121" s="152">
        <v>0.150520238</v>
      </c>
      <c r="BB121" s="152">
        <v>703</v>
      </c>
      <c r="BC121" s="152">
        <v>90</v>
      </c>
      <c r="BD121" s="152">
        <v>5.6069998999999999</v>
      </c>
    </row>
    <row r="122" spans="1:56" x14ac:dyDescent="0.25">
      <c r="A122" s="152" t="s">
        <v>1207</v>
      </c>
      <c r="B122" s="152">
        <v>43.653225999999997</v>
      </c>
      <c r="C122" s="152">
        <v>-97.101688999999993</v>
      </c>
      <c r="D122" s="152">
        <v>47</v>
      </c>
      <c r="E122" s="152" t="s">
        <v>652</v>
      </c>
      <c r="F122" s="152">
        <v>2019</v>
      </c>
      <c r="G122" s="340">
        <v>43829.77847222222</v>
      </c>
      <c r="H122" s="152" t="s">
        <v>637</v>
      </c>
      <c r="I122" s="152" t="s">
        <v>745</v>
      </c>
      <c r="J122" s="152" t="s">
        <v>650</v>
      </c>
      <c r="L122" s="152" t="s">
        <v>1055</v>
      </c>
      <c r="M122" s="152" t="s">
        <v>685</v>
      </c>
      <c r="N122" s="152" t="s">
        <v>637</v>
      </c>
      <c r="O122" s="152" t="s">
        <v>647</v>
      </c>
      <c r="P122" s="152" t="s">
        <v>765</v>
      </c>
      <c r="Q122" s="152" t="s">
        <v>637</v>
      </c>
      <c r="R122" s="152" t="s">
        <v>683</v>
      </c>
      <c r="S122" s="152" t="s">
        <v>637</v>
      </c>
      <c r="T122" s="152" t="s">
        <v>682</v>
      </c>
      <c r="U122" s="152" t="s">
        <v>644</v>
      </c>
      <c r="V122" s="152" t="s">
        <v>199</v>
      </c>
      <c r="W122" s="152" t="s">
        <v>643</v>
      </c>
      <c r="Y122" s="152" t="s">
        <v>637</v>
      </c>
      <c r="Z122" s="152" t="s">
        <v>642</v>
      </c>
      <c r="AA122" s="152" t="s">
        <v>665</v>
      </c>
      <c r="AB122" s="152" t="s">
        <v>640</v>
      </c>
      <c r="AC122" s="152" t="s">
        <v>682</v>
      </c>
      <c r="AD122" s="152" t="s">
        <v>681</v>
      </c>
      <c r="AE122" s="152" t="s">
        <v>637</v>
      </c>
      <c r="AF122" s="152" t="s">
        <v>637</v>
      </c>
      <c r="AG122" s="152" t="s">
        <v>637</v>
      </c>
      <c r="AH122" s="152" t="s">
        <v>636</v>
      </c>
      <c r="AI122" s="152" t="s">
        <v>655</v>
      </c>
      <c r="AJ122" s="152" t="s">
        <v>635</v>
      </c>
      <c r="AK122" s="152" t="s">
        <v>634</v>
      </c>
      <c r="AL122" s="152" t="s">
        <v>637</v>
      </c>
      <c r="AM122" s="152" t="s">
        <v>1218</v>
      </c>
      <c r="AO122" s="152" t="s">
        <v>631</v>
      </c>
      <c r="AP122" s="152" t="s">
        <v>628</v>
      </c>
      <c r="AQ122" s="152" t="s">
        <v>630</v>
      </c>
      <c r="AR122" s="152" t="s">
        <v>629</v>
      </c>
      <c r="AS122" s="152" t="s">
        <v>678</v>
      </c>
      <c r="AT122" s="152" t="s">
        <v>788</v>
      </c>
      <c r="AU122" s="152">
        <v>2019</v>
      </c>
      <c r="AV122" s="339">
        <v>5995</v>
      </c>
      <c r="AW122" s="339">
        <v>1920810</v>
      </c>
      <c r="AX122" s="152">
        <v>30</v>
      </c>
      <c r="AY122" s="152">
        <v>0</v>
      </c>
      <c r="AZ122" s="152">
        <v>75</v>
      </c>
      <c r="BA122" s="152">
        <v>8.5990070000000005E-3</v>
      </c>
      <c r="BB122" s="152">
        <v>643</v>
      </c>
      <c r="BC122" s="152">
        <v>90</v>
      </c>
      <c r="BD122" s="152">
        <v>5.6069998999999999</v>
      </c>
    </row>
    <row r="123" spans="1:56" x14ac:dyDescent="0.25">
      <c r="A123" s="152" t="s">
        <v>1207</v>
      </c>
      <c r="B123" s="152">
        <v>43.653913000000003</v>
      </c>
      <c r="C123" s="152">
        <v>-97.102580000000003</v>
      </c>
      <c r="D123" s="152">
        <v>47</v>
      </c>
      <c r="E123" s="152" t="s">
        <v>652</v>
      </c>
      <c r="F123" s="152">
        <v>2018</v>
      </c>
      <c r="G123" s="340">
        <v>43410.574999999997</v>
      </c>
      <c r="H123" s="152" t="s">
        <v>637</v>
      </c>
      <c r="I123" s="152" t="s">
        <v>669</v>
      </c>
      <c r="J123" s="152" t="s">
        <v>660</v>
      </c>
      <c r="L123" s="152" t="s">
        <v>1055</v>
      </c>
      <c r="M123" s="152" t="s">
        <v>736</v>
      </c>
      <c r="N123" s="152" t="s">
        <v>637</v>
      </c>
      <c r="O123" s="152" t="s">
        <v>647</v>
      </c>
      <c r="P123" s="152" t="s">
        <v>784</v>
      </c>
      <c r="Q123" s="152" t="s">
        <v>637</v>
      </c>
      <c r="R123" s="152" t="s">
        <v>656</v>
      </c>
      <c r="S123" s="152" t="s">
        <v>637</v>
      </c>
      <c r="T123" s="152" t="s">
        <v>656</v>
      </c>
      <c r="U123" s="152" t="s">
        <v>644</v>
      </c>
      <c r="V123" s="152" t="s">
        <v>199</v>
      </c>
      <c r="W123" s="152" t="s">
        <v>643</v>
      </c>
      <c r="Y123" s="152" t="s">
        <v>637</v>
      </c>
      <c r="Z123" s="152" t="s">
        <v>642</v>
      </c>
      <c r="AA123" s="152" t="s">
        <v>641</v>
      </c>
      <c r="AB123" s="152" t="s">
        <v>728</v>
      </c>
      <c r="AC123" s="152" t="s">
        <v>656</v>
      </c>
      <c r="AD123" s="152" t="s">
        <v>673</v>
      </c>
      <c r="AE123" s="152" t="s">
        <v>637</v>
      </c>
      <c r="AF123" s="152" t="s">
        <v>637</v>
      </c>
      <c r="AG123" s="152" t="s">
        <v>637</v>
      </c>
      <c r="AH123" s="152" t="s">
        <v>664</v>
      </c>
      <c r="AI123" s="152" t="s">
        <v>628</v>
      </c>
      <c r="AJ123" s="152" t="s">
        <v>635</v>
      </c>
      <c r="AK123" s="152" t="s">
        <v>634</v>
      </c>
      <c r="AL123" s="152" t="s">
        <v>637</v>
      </c>
      <c r="AM123" s="152" t="s">
        <v>1217</v>
      </c>
      <c r="AO123" s="152" t="s">
        <v>631</v>
      </c>
      <c r="AP123" s="152" t="s">
        <v>628</v>
      </c>
      <c r="AQ123" s="152" t="s">
        <v>779</v>
      </c>
      <c r="AR123" s="152" t="s">
        <v>772</v>
      </c>
      <c r="AS123" s="152" t="s">
        <v>628</v>
      </c>
      <c r="AT123" s="152" t="s">
        <v>702</v>
      </c>
      <c r="AU123" s="152">
        <v>2018</v>
      </c>
      <c r="AV123" s="339">
        <v>5995</v>
      </c>
      <c r="AW123" s="339">
        <v>1814394</v>
      </c>
      <c r="AX123" s="152">
        <v>6</v>
      </c>
      <c r="AY123" s="152">
        <v>0</v>
      </c>
      <c r="AZ123" s="152">
        <v>75</v>
      </c>
      <c r="BA123" s="152">
        <v>3.4677013999999999E-2</v>
      </c>
      <c r="BB123" s="152">
        <v>468</v>
      </c>
      <c r="BC123" s="152">
        <v>90</v>
      </c>
      <c r="BD123" s="152">
        <v>5.6069998999999999</v>
      </c>
    </row>
    <row r="124" spans="1:56" x14ac:dyDescent="0.25">
      <c r="A124" s="152" t="s">
        <v>1207</v>
      </c>
      <c r="B124" s="152">
        <v>43.655551000000003</v>
      </c>
      <c r="C124" s="152">
        <v>-97.104709</v>
      </c>
      <c r="D124" s="152">
        <v>47</v>
      </c>
      <c r="E124" s="152" t="s">
        <v>697</v>
      </c>
      <c r="F124" s="152">
        <v>2016</v>
      </c>
      <c r="G124" s="340">
        <v>42504.890277777777</v>
      </c>
      <c r="H124" s="152" t="s">
        <v>637</v>
      </c>
      <c r="I124" s="152" t="s">
        <v>696</v>
      </c>
      <c r="J124" s="152" t="s">
        <v>697</v>
      </c>
      <c r="L124" s="152" t="s">
        <v>1055</v>
      </c>
      <c r="M124" s="152" t="s">
        <v>693</v>
      </c>
      <c r="N124" s="152" t="s">
        <v>637</v>
      </c>
      <c r="O124" s="152" t="s">
        <v>647</v>
      </c>
      <c r="P124" s="152" t="s">
        <v>696</v>
      </c>
      <c r="Q124" s="152" t="s">
        <v>637</v>
      </c>
      <c r="R124" s="152" t="s">
        <v>701</v>
      </c>
      <c r="S124" s="152" t="s">
        <v>637</v>
      </c>
      <c r="T124" s="152" t="s">
        <v>701</v>
      </c>
      <c r="U124" s="152" t="s">
        <v>644</v>
      </c>
      <c r="V124" s="152" t="s">
        <v>199</v>
      </c>
      <c r="W124" s="152" t="s">
        <v>643</v>
      </c>
      <c r="Y124" s="152" t="s">
        <v>637</v>
      </c>
      <c r="Z124" s="152" t="s">
        <v>642</v>
      </c>
      <c r="AA124" s="152" t="s">
        <v>665</v>
      </c>
      <c r="AB124" s="152" t="s">
        <v>640</v>
      </c>
      <c r="AC124" s="152" t="s">
        <v>701</v>
      </c>
      <c r="AD124" s="152" t="s">
        <v>752</v>
      </c>
      <c r="AE124" s="152" t="s">
        <v>637</v>
      </c>
      <c r="AF124" s="152" t="s">
        <v>637</v>
      </c>
      <c r="AG124" s="152" t="s">
        <v>637</v>
      </c>
      <c r="AH124" s="152" t="s">
        <v>664</v>
      </c>
      <c r="AI124" s="152" t="s">
        <v>699</v>
      </c>
      <c r="AJ124" s="152" t="s">
        <v>696</v>
      </c>
      <c r="AL124" s="152" t="s">
        <v>637</v>
      </c>
      <c r="AM124" s="152" t="s">
        <v>1216</v>
      </c>
      <c r="AO124" s="152" t="s">
        <v>631</v>
      </c>
      <c r="AP124" s="152" t="s">
        <v>697</v>
      </c>
      <c r="AQ124" s="152" t="s">
        <v>671</v>
      </c>
      <c r="AS124" s="152" t="s">
        <v>696</v>
      </c>
      <c r="AT124" s="152" t="s">
        <v>702</v>
      </c>
      <c r="AU124" s="152">
        <v>2016</v>
      </c>
      <c r="AV124" s="339">
        <v>5995</v>
      </c>
      <c r="AW124" s="339">
        <v>1605418</v>
      </c>
      <c r="AX124" s="152">
        <v>14</v>
      </c>
      <c r="AY124" s="152">
        <v>-1</v>
      </c>
      <c r="AZ124" s="152">
        <v>75</v>
      </c>
      <c r="BA124" s="152">
        <v>7.7609016000000003E-2</v>
      </c>
      <c r="BB124" s="152">
        <v>55</v>
      </c>
      <c r="BC124" s="152">
        <v>90</v>
      </c>
      <c r="BD124" s="152">
        <v>5.6069998999999999</v>
      </c>
    </row>
    <row r="125" spans="1:56" x14ac:dyDescent="0.25">
      <c r="A125" s="152" t="s">
        <v>1207</v>
      </c>
      <c r="B125" s="152">
        <v>43.660068000000003</v>
      </c>
      <c r="C125" s="152">
        <v>-97.110585999999998</v>
      </c>
      <c r="D125" s="152">
        <v>47</v>
      </c>
      <c r="E125" s="152" t="s">
        <v>652</v>
      </c>
      <c r="F125" s="152">
        <v>2018</v>
      </c>
      <c r="G125" s="340">
        <v>43107.781944444447</v>
      </c>
      <c r="H125" s="152" t="s">
        <v>637</v>
      </c>
      <c r="I125" s="152" t="s">
        <v>669</v>
      </c>
      <c r="J125" s="152" t="s">
        <v>650</v>
      </c>
      <c r="L125" s="152" t="s">
        <v>1055</v>
      </c>
      <c r="M125" s="152" t="s">
        <v>712</v>
      </c>
      <c r="N125" s="152" t="s">
        <v>637</v>
      </c>
      <c r="O125" s="152" t="s">
        <v>647</v>
      </c>
      <c r="P125" s="152" t="s">
        <v>1000</v>
      </c>
      <c r="Q125" s="152" t="s">
        <v>637</v>
      </c>
      <c r="R125" s="152" t="s">
        <v>683</v>
      </c>
      <c r="S125" s="152" t="s">
        <v>637</v>
      </c>
      <c r="T125" s="152" t="s">
        <v>682</v>
      </c>
      <c r="U125" s="152" t="s">
        <v>644</v>
      </c>
      <c r="V125" s="152" t="s">
        <v>199</v>
      </c>
      <c r="W125" s="152" t="s">
        <v>643</v>
      </c>
      <c r="Y125" s="152" t="s">
        <v>637</v>
      </c>
      <c r="Z125" s="152" t="s">
        <v>642</v>
      </c>
      <c r="AA125" s="152" t="s">
        <v>665</v>
      </c>
      <c r="AB125" s="152" t="s">
        <v>640</v>
      </c>
      <c r="AC125" s="152" t="s">
        <v>682</v>
      </c>
      <c r="AD125" s="152" t="s">
        <v>638</v>
      </c>
      <c r="AE125" s="152" t="s">
        <v>637</v>
      </c>
      <c r="AF125" s="152" t="s">
        <v>633</v>
      </c>
      <c r="AG125" s="152" t="s">
        <v>637</v>
      </c>
      <c r="AH125" s="152" t="s">
        <v>664</v>
      </c>
      <c r="AI125" s="152" t="s">
        <v>628</v>
      </c>
      <c r="AJ125" s="152" t="s">
        <v>680</v>
      </c>
      <c r="AK125" s="152" t="s">
        <v>634</v>
      </c>
      <c r="AL125" s="152" t="s">
        <v>637</v>
      </c>
      <c r="AM125" s="152" t="s">
        <v>1215</v>
      </c>
      <c r="AO125" s="152" t="s">
        <v>631</v>
      </c>
      <c r="AP125" s="152" t="s">
        <v>628</v>
      </c>
      <c r="AQ125" s="152" t="s">
        <v>671</v>
      </c>
      <c r="AR125" s="152" t="s">
        <v>629</v>
      </c>
      <c r="AS125" s="152" t="s">
        <v>628</v>
      </c>
      <c r="AT125" s="152" t="s">
        <v>702</v>
      </c>
      <c r="AU125" s="152">
        <v>2018</v>
      </c>
      <c r="AV125" s="339">
        <v>5995</v>
      </c>
      <c r="AW125" s="339">
        <v>1800381</v>
      </c>
      <c r="AX125" s="152">
        <v>7</v>
      </c>
      <c r="AY125" s="152">
        <v>0</v>
      </c>
      <c r="AZ125" s="152">
        <v>75</v>
      </c>
      <c r="BA125" s="152">
        <v>0.124216673</v>
      </c>
      <c r="BB125" s="152">
        <v>325</v>
      </c>
      <c r="BC125" s="152">
        <v>90</v>
      </c>
      <c r="BD125" s="152">
        <v>5.6069998999999999</v>
      </c>
    </row>
    <row r="126" spans="1:56" x14ac:dyDescent="0.25">
      <c r="A126" s="152" t="s">
        <v>1207</v>
      </c>
      <c r="B126" s="152">
        <v>43.66084</v>
      </c>
      <c r="C126" s="152">
        <v>-97.111587999999998</v>
      </c>
      <c r="D126" s="152">
        <v>47</v>
      </c>
      <c r="E126" s="152" t="s">
        <v>697</v>
      </c>
      <c r="F126" s="152">
        <v>2019</v>
      </c>
      <c r="G126" s="340">
        <v>43816.254166666666</v>
      </c>
      <c r="H126" s="152" t="s">
        <v>637</v>
      </c>
      <c r="I126" s="152" t="s">
        <v>696</v>
      </c>
      <c r="J126" s="152" t="s">
        <v>697</v>
      </c>
      <c r="L126" s="152" t="s">
        <v>1055</v>
      </c>
      <c r="M126" s="152" t="s">
        <v>736</v>
      </c>
      <c r="N126" s="152" t="s">
        <v>637</v>
      </c>
      <c r="O126" s="152" t="s">
        <v>647</v>
      </c>
      <c r="P126" s="152" t="s">
        <v>696</v>
      </c>
      <c r="Q126" s="152" t="s">
        <v>637</v>
      </c>
      <c r="R126" s="152" t="s">
        <v>701</v>
      </c>
      <c r="S126" s="152" t="s">
        <v>637</v>
      </c>
      <c r="T126" s="152" t="s">
        <v>701</v>
      </c>
      <c r="U126" s="152" t="s">
        <v>644</v>
      </c>
      <c r="V126" s="152" t="s">
        <v>199</v>
      </c>
      <c r="W126" s="152" t="s">
        <v>643</v>
      </c>
      <c r="Y126" s="152" t="s">
        <v>637</v>
      </c>
      <c r="Z126" s="152" t="s">
        <v>696</v>
      </c>
      <c r="AA126" s="152" t="s">
        <v>665</v>
      </c>
      <c r="AB126" s="152" t="s">
        <v>640</v>
      </c>
      <c r="AC126" s="152" t="s">
        <v>701</v>
      </c>
      <c r="AD126" s="152" t="s">
        <v>681</v>
      </c>
      <c r="AE126" s="152" t="s">
        <v>637</v>
      </c>
      <c r="AF126" s="152" t="s">
        <v>637</v>
      </c>
      <c r="AG126" s="152" t="s">
        <v>637</v>
      </c>
      <c r="AH126" s="152" t="s">
        <v>664</v>
      </c>
      <c r="AI126" s="152" t="s">
        <v>699</v>
      </c>
      <c r="AJ126" s="152" t="s">
        <v>696</v>
      </c>
      <c r="AL126" s="152" t="s">
        <v>637</v>
      </c>
      <c r="AM126" s="152" t="s">
        <v>1214</v>
      </c>
      <c r="AO126" s="152" t="s">
        <v>631</v>
      </c>
      <c r="AP126" s="152" t="s">
        <v>697</v>
      </c>
      <c r="AQ126" s="152" t="s">
        <v>630</v>
      </c>
      <c r="AS126" s="152" t="s">
        <v>696</v>
      </c>
      <c r="AT126" s="152" t="s">
        <v>702</v>
      </c>
      <c r="AU126" s="152">
        <v>2019</v>
      </c>
      <c r="AV126" s="339">
        <v>5995</v>
      </c>
      <c r="AW126" s="339">
        <v>1919416</v>
      </c>
      <c r="AX126" s="152">
        <v>17</v>
      </c>
      <c r="AY126" s="152">
        <v>-1</v>
      </c>
      <c r="AZ126" s="152">
        <v>75</v>
      </c>
      <c r="BA126" s="152">
        <v>0.18081793099999999</v>
      </c>
      <c r="BB126" s="152">
        <v>630</v>
      </c>
      <c r="BC126" s="152">
        <v>90</v>
      </c>
      <c r="BD126" s="152">
        <v>5.6069998999999999</v>
      </c>
    </row>
    <row r="127" spans="1:56" x14ac:dyDescent="0.25">
      <c r="A127" s="152" t="s">
        <v>1207</v>
      </c>
      <c r="B127" s="152">
        <v>43.661157000000003</v>
      </c>
      <c r="C127" s="152">
        <v>-97.112001000000006</v>
      </c>
      <c r="D127" s="152">
        <v>47</v>
      </c>
      <c r="E127" s="152" t="s">
        <v>652</v>
      </c>
      <c r="F127" s="152">
        <v>2016</v>
      </c>
      <c r="G127" s="340">
        <v>42400.006944444445</v>
      </c>
      <c r="H127" s="152" t="s">
        <v>633</v>
      </c>
      <c r="I127" s="152" t="s">
        <v>669</v>
      </c>
      <c r="J127" s="152" t="s">
        <v>1213</v>
      </c>
      <c r="K127" s="152" t="s">
        <v>1212</v>
      </c>
      <c r="L127" s="152" t="s">
        <v>1055</v>
      </c>
      <c r="M127" s="152" t="s">
        <v>712</v>
      </c>
      <c r="N127" s="152" t="s">
        <v>637</v>
      </c>
      <c r="O127" s="152" t="s">
        <v>647</v>
      </c>
      <c r="P127" s="152" t="s">
        <v>1211</v>
      </c>
      <c r="Q127" s="152" t="s">
        <v>637</v>
      </c>
      <c r="R127" s="152" t="s">
        <v>778</v>
      </c>
      <c r="S127" s="152" t="s">
        <v>637</v>
      </c>
      <c r="T127" s="152" t="s">
        <v>777</v>
      </c>
      <c r="U127" s="152" t="s">
        <v>644</v>
      </c>
      <c r="V127" s="152" t="s">
        <v>199</v>
      </c>
      <c r="W127" s="152" t="s">
        <v>643</v>
      </c>
      <c r="Y127" s="152" t="s">
        <v>637</v>
      </c>
      <c r="Z127" s="152" t="s">
        <v>642</v>
      </c>
      <c r="AA127" s="152" t="s">
        <v>665</v>
      </c>
      <c r="AB127" s="152" t="s">
        <v>640</v>
      </c>
      <c r="AC127" s="152" t="s">
        <v>777</v>
      </c>
      <c r="AD127" s="152" t="s">
        <v>638</v>
      </c>
      <c r="AE127" s="152" t="s">
        <v>637</v>
      </c>
      <c r="AF127" s="152" t="s">
        <v>637</v>
      </c>
      <c r="AG127" s="152" t="s">
        <v>637</v>
      </c>
      <c r="AH127" s="152" t="s">
        <v>664</v>
      </c>
      <c r="AI127" s="152" t="s">
        <v>628</v>
      </c>
      <c r="AJ127" s="152" t="s">
        <v>680</v>
      </c>
      <c r="AK127" s="152" t="s">
        <v>634</v>
      </c>
      <c r="AL127" s="152" t="s">
        <v>637</v>
      </c>
      <c r="AM127" s="152" t="s">
        <v>964</v>
      </c>
      <c r="AO127" s="152" t="s">
        <v>631</v>
      </c>
      <c r="AP127" s="152" t="s">
        <v>628</v>
      </c>
      <c r="AQ127" s="152" t="s">
        <v>630</v>
      </c>
      <c r="AR127" s="152" t="s">
        <v>629</v>
      </c>
      <c r="AS127" s="152" t="s">
        <v>628</v>
      </c>
      <c r="AT127" s="152" t="s">
        <v>702</v>
      </c>
      <c r="AU127" s="152">
        <v>2016</v>
      </c>
      <c r="AV127" s="339">
        <v>5995</v>
      </c>
      <c r="AW127" s="339">
        <v>1601215</v>
      </c>
      <c r="AX127" s="152">
        <v>31</v>
      </c>
      <c r="AY127" s="152">
        <v>0</v>
      </c>
      <c r="AZ127" s="152">
        <v>75</v>
      </c>
      <c r="BA127" s="152">
        <v>9.3835903999999998E-2</v>
      </c>
      <c r="BB127" s="152">
        <v>21</v>
      </c>
      <c r="BC127" s="152">
        <v>90</v>
      </c>
      <c r="BD127" s="152">
        <v>5.6069998999999999</v>
      </c>
    </row>
    <row r="128" spans="1:56" x14ac:dyDescent="0.25">
      <c r="A128" s="152" t="s">
        <v>1207</v>
      </c>
      <c r="B128" s="152">
        <v>43.661157000000003</v>
      </c>
      <c r="C128" s="152">
        <v>-97.112001000000006</v>
      </c>
      <c r="D128" s="152">
        <v>47</v>
      </c>
      <c r="E128" s="152" t="s">
        <v>697</v>
      </c>
      <c r="F128" s="152">
        <v>2017</v>
      </c>
      <c r="G128" s="340">
        <v>42883.9375</v>
      </c>
      <c r="H128" s="152" t="s">
        <v>637</v>
      </c>
      <c r="I128" s="152" t="s">
        <v>696</v>
      </c>
      <c r="J128" s="152" t="s">
        <v>697</v>
      </c>
      <c r="L128" s="152" t="s">
        <v>1055</v>
      </c>
      <c r="M128" s="152" t="s">
        <v>712</v>
      </c>
      <c r="N128" s="152" t="s">
        <v>637</v>
      </c>
      <c r="O128" s="152" t="s">
        <v>647</v>
      </c>
      <c r="P128" s="152" t="s">
        <v>696</v>
      </c>
      <c r="Q128" s="152" t="s">
        <v>637</v>
      </c>
      <c r="R128" s="152" t="s">
        <v>701</v>
      </c>
      <c r="S128" s="152" t="s">
        <v>637</v>
      </c>
      <c r="T128" s="152" t="s">
        <v>701</v>
      </c>
      <c r="U128" s="152" t="s">
        <v>644</v>
      </c>
      <c r="V128" s="152" t="s">
        <v>199</v>
      </c>
      <c r="W128" s="152" t="s">
        <v>643</v>
      </c>
      <c r="Y128" s="152" t="s">
        <v>637</v>
      </c>
      <c r="Z128" s="152" t="s">
        <v>642</v>
      </c>
      <c r="AA128" s="152" t="s">
        <v>665</v>
      </c>
      <c r="AB128" s="152" t="s">
        <v>640</v>
      </c>
      <c r="AC128" s="152" t="s">
        <v>701</v>
      </c>
      <c r="AD128" s="152" t="s">
        <v>752</v>
      </c>
      <c r="AE128" s="152" t="s">
        <v>637</v>
      </c>
      <c r="AF128" s="152" t="s">
        <v>637</v>
      </c>
      <c r="AG128" s="152" t="s">
        <v>637</v>
      </c>
      <c r="AH128" s="152" t="s">
        <v>664</v>
      </c>
      <c r="AI128" s="152" t="s">
        <v>699</v>
      </c>
      <c r="AJ128" s="152" t="s">
        <v>696</v>
      </c>
      <c r="AL128" s="152" t="s">
        <v>637</v>
      </c>
      <c r="AM128" s="152" t="s">
        <v>770</v>
      </c>
      <c r="AO128" s="152" t="s">
        <v>631</v>
      </c>
      <c r="AP128" s="152" t="s">
        <v>697</v>
      </c>
      <c r="AQ128" s="152" t="s">
        <v>630</v>
      </c>
      <c r="AS128" s="152" t="s">
        <v>696</v>
      </c>
      <c r="AT128" s="152" t="s">
        <v>702</v>
      </c>
      <c r="AU128" s="152">
        <v>2017</v>
      </c>
      <c r="AV128" s="339">
        <v>5995</v>
      </c>
      <c r="AW128" s="339">
        <v>1706556</v>
      </c>
      <c r="AX128" s="152">
        <v>28</v>
      </c>
      <c r="AY128" s="152">
        <v>-1</v>
      </c>
      <c r="AZ128" s="152">
        <v>75</v>
      </c>
      <c r="BA128" s="152">
        <v>9.3835903999999998E-2</v>
      </c>
      <c r="BB128" s="152">
        <v>238</v>
      </c>
      <c r="BC128" s="152">
        <v>90</v>
      </c>
      <c r="BD128" s="152">
        <v>5.6069998999999999</v>
      </c>
    </row>
    <row r="129" spans="1:56" x14ac:dyDescent="0.25">
      <c r="A129" s="152" t="s">
        <v>1207</v>
      </c>
      <c r="B129" s="152">
        <v>43.661816999999999</v>
      </c>
      <c r="C129" s="152">
        <v>-97.112857000000005</v>
      </c>
      <c r="D129" s="152">
        <v>47</v>
      </c>
      <c r="E129" s="152" t="s">
        <v>652</v>
      </c>
      <c r="F129" s="152">
        <v>2020</v>
      </c>
      <c r="G129" s="340">
        <v>44140.779861111114</v>
      </c>
      <c r="H129" s="152" t="s">
        <v>637</v>
      </c>
      <c r="I129" s="152" t="s">
        <v>669</v>
      </c>
      <c r="J129" s="152" t="s">
        <v>660</v>
      </c>
      <c r="K129" s="152" t="s">
        <v>775</v>
      </c>
      <c r="L129" s="152" t="s">
        <v>1055</v>
      </c>
      <c r="M129" s="152" t="s">
        <v>668</v>
      </c>
      <c r="N129" s="152" t="s">
        <v>637</v>
      </c>
      <c r="O129" s="152" t="s">
        <v>647</v>
      </c>
      <c r="P129" s="152" t="s">
        <v>1210</v>
      </c>
      <c r="Q129" s="152" t="s">
        <v>637</v>
      </c>
      <c r="R129" s="152" t="s">
        <v>656</v>
      </c>
      <c r="S129" s="152" t="s">
        <v>637</v>
      </c>
      <c r="T129" s="152" t="s">
        <v>656</v>
      </c>
      <c r="U129" s="152" t="s">
        <v>644</v>
      </c>
      <c r="V129" s="152" t="s">
        <v>199</v>
      </c>
      <c r="W129" s="152" t="s">
        <v>643</v>
      </c>
      <c r="Y129" s="152" t="s">
        <v>637</v>
      </c>
      <c r="Z129" s="152" t="s">
        <v>642</v>
      </c>
      <c r="AA129" s="152" t="s">
        <v>665</v>
      </c>
      <c r="AB129" s="152" t="s">
        <v>728</v>
      </c>
      <c r="AC129" s="152" t="s">
        <v>656</v>
      </c>
      <c r="AD129" s="152" t="s">
        <v>673</v>
      </c>
      <c r="AE129" s="152" t="s">
        <v>637</v>
      </c>
      <c r="AF129" s="152" t="s">
        <v>637</v>
      </c>
      <c r="AG129" s="152" t="s">
        <v>637</v>
      </c>
      <c r="AH129" s="152" t="s">
        <v>664</v>
      </c>
      <c r="AI129" s="152" t="s">
        <v>628</v>
      </c>
      <c r="AJ129" s="152" t="s">
        <v>635</v>
      </c>
      <c r="AK129" s="152" t="s">
        <v>634</v>
      </c>
      <c r="AL129" s="152" t="s">
        <v>637</v>
      </c>
      <c r="AM129" s="152" t="s">
        <v>1209</v>
      </c>
      <c r="AO129" s="152" t="s">
        <v>631</v>
      </c>
      <c r="AP129" s="152" t="s">
        <v>628</v>
      </c>
      <c r="AQ129" s="152" t="s">
        <v>703</v>
      </c>
      <c r="AR129" s="152" t="s">
        <v>772</v>
      </c>
      <c r="AS129" s="152" t="s">
        <v>628</v>
      </c>
      <c r="AT129" s="152" t="s">
        <v>702</v>
      </c>
      <c r="AU129" s="152">
        <v>2020</v>
      </c>
      <c r="AV129" s="339">
        <v>5995</v>
      </c>
      <c r="AW129" s="339">
        <v>2014821</v>
      </c>
      <c r="AX129" s="152">
        <v>5</v>
      </c>
      <c r="AY129" s="152">
        <v>0</v>
      </c>
      <c r="AZ129" s="152">
        <v>75</v>
      </c>
      <c r="BA129" s="152">
        <v>8.4636360999999993E-2</v>
      </c>
      <c r="BB129" s="152">
        <v>767</v>
      </c>
      <c r="BC129" s="152">
        <v>90</v>
      </c>
      <c r="BD129" s="152">
        <v>5.6069998999999999</v>
      </c>
    </row>
    <row r="130" spans="1:56" x14ac:dyDescent="0.25">
      <c r="A130" s="152" t="s">
        <v>1207</v>
      </c>
      <c r="B130" s="152">
        <v>43.665146999999997</v>
      </c>
      <c r="C130" s="152">
        <v>-97.117776000000006</v>
      </c>
      <c r="D130" s="152">
        <v>47</v>
      </c>
      <c r="E130" s="152" t="s">
        <v>697</v>
      </c>
      <c r="F130" s="152">
        <v>2019</v>
      </c>
      <c r="G130" s="340">
        <v>43572.375</v>
      </c>
      <c r="H130" s="152" t="s">
        <v>637</v>
      </c>
      <c r="I130" s="152" t="s">
        <v>696</v>
      </c>
      <c r="J130" s="152" t="s">
        <v>697</v>
      </c>
      <c r="L130" s="152" t="s">
        <v>1055</v>
      </c>
      <c r="M130" s="152" t="s">
        <v>676</v>
      </c>
      <c r="N130" s="152" t="s">
        <v>637</v>
      </c>
      <c r="O130" s="152" t="s">
        <v>647</v>
      </c>
      <c r="P130" s="152" t="s">
        <v>696</v>
      </c>
      <c r="Q130" s="152" t="s">
        <v>637</v>
      </c>
      <c r="R130" s="152" t="s">
        <v>701</v>
      </c>
      <c r="S130" s="152" t="s">
        <v>637</v>
      </c>
      <c r="T130" s="152" t="s">
        <v>701</v>
      </c>
      <c r="U130" s="152" t="s">
        <v>644</v>
      </c>
      <c r="V130" s="152" t="s">
        <v>199</v>
      </c>
      <c r="W130" s="152" t="s">
        <v>643</v>
      </c>
      <c r="Y130" s="152" t="s">
        <v>637</v>
      </c>
      <c r="Z130" s="152" t="s">
        <v>696</v>
      </c>
      <c r="AA130" s="152" t="s">
        <v>641</v>
      </c>
      <c r="AB130" s="152" t="s">
        <v>640</v>
      </c>
      <c r="AC130" s="152" t="s">
        <v>701</v>
      </c>
      <c r="AD130" s="152" t="s">
        <v>787</v>
      </c>
      <c r="AE130" s="152" t="s">
        <v>637</v>
      </c>
      <c r="AF130" s="152" t="s">
        <v>637</v>
      </c>
      <c r="AG130" s="152" t="s">
        <v>637</v>
      </c>
      <c r="AH130" s="152" t="s">
        <v>762</v>
      </c>
      <c r="AI130" s="152" t="s">
        <v>699</v>
      </c>
      <c r="AJ130" s="152" t="s">
        <v>696</v>
      </c>
      <c r="AL130" s="152" t="s">
        <v>637</v>
      </c>
      <c r="AM130" s="152" t="s">
        <v>901</v>
      </c>
      <c r="AO130" s="152" t="s">
        <v>631</v>
      </c>
      <c r="AP130" s="152" t="s">
        <v>697</v>
      </c>
      <c r="AQ130" s="152" t="s">
        <v>630</v>
      </c>
      <c r="AS130" s="152" t="s">
        <v>696</v>
      </c>
      <c r="AT130" s="152" t="s">
        <v>760</v>
      </c>
      <c r="AU130" s="152">
        <v>2019</v>
      </c>
      <c r="AV130" s="339">
        <v>5995</v>
      </c>
      <c r="AW130" s="339">
        <v>1903856</v>
      </c>
      <c r="AX130" s="152">
        <v>17</v>
      </c>
      <c r="AY130" s="152">
        <v>-1</v>
      </c>
      <c r="AZ130" s="152">
        <v>75</v>
      </c>
      <c r="BA130" s="152">
        <v>3.5650006999999997E-2</v>
      </c>
      <c r="BB130" s="152">
        <v>530</v>
      </c>
      <c r="BC130" s="152">
        <v>90</v>
      </c>
      <c r="BD130" s="152">
        <v>5.6069998999999999</v>
      </c>
    </row>
    <row r="131" spans="1:56" x14ac:dyDescent="0.25">
      <c r="A131" s="152" t="s">
        <v>1207</v>
      </c>
      <c r="B131" s="152">
        <v>43.665734999999998</v>
      </c>
      <c r="C131" s="152">
        <v>-97.119231999999997</v>
      </c>
      <c r="D131" s="152">
        <v>47</v>
      </c>
      <c r="E131" s="152" t="s">
        <v>697</v>
      </c>
      <c r="F131" s="152">
        <v>2016</v>
      </c>
      <c r="G131" s="340">
        <v>42640.878472222219</v>
      </c>
      <c r="H131" s="152" t="s">
        <v>637</v>
      </c>
      <c r="I131" s="152" t="s">
        <v>696</v>
      </c>
      <c r="J131" s="152" t="s">
        <v>697</v>
      </c>
      <c r="L131" s="152" t="s">
        <v>1055</v>
      </c>
      <c r="M131" s="152" t="s">
        <v>736</v>
      </c>
      <c r="N131" s="152" t="s">
        <v>637</v>
      </c>
      <c r="O131" s="152" t="s">
        <v>647</v>
      </c>
      <c r="P131" s="152" t="s">
        <v>696</v>
      </c>
      <c r="Q131" s="152" t="s">
        <v>637</v>
      </c>
      <c r="R131" s="152" t="s">
        <v>701</v>
      </c>
      <c r="S131" s="152" t="s">
        <v>637</v>
      </c>
      <c r="T131" s="152" t="s">
        <v>701</v>
      </c>
      <c r="U131" s="152" t="s">
        <v>644</v>
      </c>
      <c r="V131" s="152" t="s">
        <v>199</v>
      </c>
      <c r="W131" s="152" t="s">
        <v>643</v>
      </c>
      <c r="Y131" s="152" t="s">
        <v>637</v>
      </c>
      <c r="Z131" s="152" t="s">
        <v>642</v>
      </c>
      <c r="AA131" s="152" t="s">
        <v>665</v>
      </c>
      <c r="AB131" s="152" t="s">
        <v>640</v>
      </c>
      <c r="AC131" s="152" t="s">
        <v>701</v>
      </c>
      <c r="AD131" s="152" t="s">
        <v>706</v>
      </c>
      <c r="AE131" s="152" t="s">
        <v>637</v>
      </c>
      <c r="AF131" s="152" t="s">
        <v>637</v>
      </c>
      <c r="AG131" s="152" t="s">
        <v>637</v>
      </c>
      <c r="AH131" s="152" t="s">
        <v>664</v>
      </c>
      <c r="AI131" s="152" t="s">
        <v>699</v>
      </c>
      <c r="AJ131" s="152" t="s">
        <v>696</v>
      </c>
      <c r="AL131" s="152" t="s">
        <v>637</v>
      </c>
      <c r="AM131" s="152" t="s">
        <v>751</v>
      </c>
      <c r="AO131" s="152" t="s">
        <v>715</v>
      </c>
      <c r="AP131" s="152" t="s">
        <v>697</v>
      </c>
      <c r="AQ131" s="152" t="s">
        <v>671</v>
      </c>
      <c r="AS131" s="152" t="s">
        <v>696</v>
      </c>
      <c r="AT131" s="152" t="s">
        <v>702</v>
      </c>
      <c r="AU131" s="152">
        <v>2016</v>
      </c>
      <c r="AV131" s="339">
        <v>5995</v>
      </c>
      <c r="AW131" s="339">
        <v>1612183</v>
      </c>
      <c r="AX131" s="152">
        <v>27</v>
      </c>
      <c r="AY131" s="152">
        <v>-1</v>
      </c>
      <c r="AZ131" s="152">
        <v>75</v>
      </c>
      <c r="BA131" s="152">
        <v>5.375008491</v>
      </c>
      <c r="BB131" s="152">
        <v>111</v>
      </c>
      <c r="BC131" s="152">
        <v>90</v>
      </c>
      <c r="BD131" s="152">
        <v>5.6069998999999999</v>
      </c>
    </row>
    <row r="132" spans="1:56" x14ac:dyDescent="0.25">
      <c r="A132" s="152" t="s">
        <v>1207</v>
      </c>
      <c r="B132" s="152">
        <v>43.666300999999997</v>
      </c>
      <c r="C132" s="152">
        <v>-97.121162999999996</v>
      </c>
      <c r="D132" s="152">
        <v>47</v>
      </c>
      <c r="E132" s="152" t="s">
        <v>652</v>
      </c>
      <c r="F132" s="152">
        <v>2017</v>
      </c>
      <c r="G132" s="340">
        <v>42877.038888888892</v>
      </c>
      <c r="H132" s="152" t="s">
        <v>637</v>
      </c>
      <c r="I132" s="152" t="s">
        <v>651</v>
      </c>
      <c r="J132" s="152" t="s">
        <v>650</v>
      </c>
      <c r="K132" s="152" t="s">
        <v>785</v>
      </c>
      <c r="L132" s="152" t="s">
        <v>1055</v>
      </c>
      <c r="M132" s="152" t="s">
        <v>685</v>
      </c>
      <c r="N132" s="152" t="s">
        <v>637</v>
      </c>
      <c r="O132" s="152" t="s">
        <v>647</v>
      </c>
      <c r="P132" s="152" t="s">
        <v>628</v>
      </c>
      <c r="Q132" s="152" t="s">
        <v>637</v>
      </c>
      <c r="R132" s="152" t="s">
        <v>711</v>
      </c>
      <c r="S132" s="152" t="s">
        <v>637</v>
      </c>
      <c r="T132" s="152" t="s">
        <v>711</v>
      </c>
      <c r="U132" s="152" t="s">
        <v>644</v>
      </c>
      <c r="V132" s="152" t="s">
        <v>199</v>
      </c>
      <c r="W132" s="152" t="s">
        <v>643</v>
      </c>
      <c r="Y132" s="152" t="s">
        <v>637</v>
      </c>
      <c r="Z132" s="152" t="s">
        <v>642</v>
      </c>
      <c r="AA132" s="152" t="s">
        <v>665</v>
      </c>
      <c r="AB132" s="152" t="s">
        <v>640</v>
      </c>
      <c r="AC132" s="152" t="s">
        <v>711</v>
      </c>
      <c r="AD132" s="152" t="s">
        <v>752</v>
      </c>
      <c r="AE132" s="152" t="s">
        <v>637</v>
      </c>
      <c r="AF132" s="152" t="s">
        <v>637</v>
      </c>
      <c r="AG132" s="152" t="s">
        <v>637</v>
      </c>
      <c r="AH132" s="152" t="s">
        <v>664</v>
      </c>
      <c r="AI132" s="152" t="s">
        <v>628</v>
      </c>
      <c r="AJ132" s="152" t="s">
        <v>635</v>
      </c>
      <c r="AK132" s="152" t="s">
        <v>634</v>
      </c>
      <c r="AL132" s="152" t="s">
        <v>637</v>
      </c>
      <c r="AM132" s="152" t="s">
        <v>1208</v>
      </c>
      <c r="AO132" s="152" t="s">
        <v>631</v>
      </c>
      <c r="AP132" s="152" t="s">
        <v>628</v>
      </c>
      <c r="AQ132" s="152" t="s">
        <v>630</v>
      </c>
      <c r="AR132" s="152" t="s">
        <v>629</v>
      </c>
      <c r="AS132" s="152" t="s">
        <v>628</v>
      </c>
      <c r="AT132" s="152" t="s">
        <v>702</v>
      </c>
      <c r="AU132" s="152">
        <v>2017</v>
      </c>
      <c r="AV132" s="339">
        <v>5995</v>
      </c>
      <c r="AW132" s="339">
        <v>1706275</v>
      </c>
      <c r="AX132" s="152">
        <v>22</v>
      </c>
      <c r="AY132" s="152">
        <v>0</v>
      </c>
      <c r="AZ132" s="152">
        <v>75</v>
      </c>
      <c r="BA132" s="152">
        <v>0.63036514200000004</v>
      </c>
      <c r="BB132" s="152">
        <v>233</v>
      </c>
      <c r="BC132" s="152">
        <v>90</v>
      </c>
      <c r="BD132" s="152">
        <v>5.6069998999999999</v>
      </c>
    </row>
    <row r="133" spans="1:56" x14ac:dyDescent="0.25">
      <c r="A133" s="152" t="s">
        <v>1207</v>
      </c>
      <c r="B133" s="152">
        <v>43.666300999999997</v>
      </c>
      <c r="C133" s="152">
        <v>-97.121162999999996</v>
      </c>
      <c r="D133" s="152">
        <v>47</v>
      </c>
      <c r="E133" s="152" t="s">
        <v>652</v>
      </c>
      <c r="F133" s="152">
        <v>2017</v>
      </c>
      <c r="G133" s="340">
        <v>42877.038888888892</v>
      </c>
      <c r="H133" s="152" t="s">
        <v>637</v>
      </c>
      <c r="I133" s="152" t="s">
        <v>651</v>
      </c>
      <c r="J133" s="152" t="s">
        <v>650</v>
      </c>
      <c r="L133" s="152" t="s">
        <v>1055</v>
      </c>
      <c r="M133" s="152" t="s">
        <v>685</v>
      </c>
      <c r="N133" s="152" t="s">
        <v>637</v>
      </c>
      <c r="O133" s="152" t="s">
        <v>647</v>
      </c>
      <c r="P133" s="152" t="s">
        <v>628</v>
      </c>
      <c r="Q133" s="152" t="s">
        <v>637</v>
      </c>
      <c r="R133" s="152" t="s">
        <v>711</v>
      </c>
      <c r="S133" s="152" t="s">
        <v>637</v>
      </c>
      <c r="T133" s="152" t="s">
        <v>711</v>
      </c>
      <c r="U133" s="152" t="s">
        <v>644</v>
      </c>
      <c r="V133" s="152" t="s">
        <v>199</v>
      </c>
      <c r="W133" s="152" t="s">
        <v>643</v>
      </c>
      <c r="Y133" s="152" t="s">
        <v>637</v>
      </c>
      <c r="Z133" s="152" t="s">
        <v>642</v>
      </c>
      <c r="AA133" s="152" t="s">
        <v>665</v>
      </c>
      <c r="AB133" s="152" t="s">
        <v>640</v>
      </c>
      <c r="AC133" s="152" t="s">
        <v>711</v>
      </c>
      <c r="AD133" s="152" t="s">
        <v>752</v>
      </c>
      <c r="AE133" s="152" t="s">
        <v>637</v>
      </c>
      <c r="AF133" s="152" t="s">
        <v>637</v>
      </c>
      <c r="AG133" s="152" t="s">
        <v>637</v>
      </c>
      <c r="AH133" s="152" t="s">
        <v>664</v>
      </c>
      <c r="AI133" s="152" t="s">
        <v>628</v>
      </c>
      <c r="AJ133" s="152" t="s">
        <v>635</v>
      </c>
      <c r="AK133" s="152" t="s">
        <v>634</v>
      </c>
      <c r="AL133" s="152" t="s">
        <v>637</v>
      </c>
      <c r="AM133" s="152" t="s">
        <v>1208</v>
      </c>
      <c r="AO133" s="152" t="s">
        <v>631</v>
      </c>
      <c r="AP133" s="152" t="s">
        <v>628</v>
      </c>
      <c r="AQ133" s="152" t="s">
        <v>630</v>
      </c>
      <c r="AR133" s="152" t="s">
        <v>629</v>
      </c>
      <c r="AS133" s="152" t="s">
        <v>628</v>
      </c>
      <c r="AT133" s="152" t="s">
        <v>702</v>
      </c>
      <c r="AU133" s="152">
        <v>2017</v>
      </c>
      <c r="AV133" s="339">
        <v>5995</v>
      </c>
      <c r="AW133" s="339">
        <v>1706274</v>
      </c>
      <c r="AX133" s="152">
        <v>22</v>
      </c>
      <c r="AY133" s="152">
        <v>0</v>
      </c>
      <c r="AZ133" s="152">
        <v>75</v>
      </c>
      <c r="BA133" s="152">
        <v>0.63036514200000004</v>
      </c>
      <c r="BB133" s="152">
        <v>234</v>
      </c>
      <c r="BC133" s="152">
        <v>90</v>
      </c>
      <c r="BD133" s="152">
        <v>5.6069998999999999</v>
      </c>
    </row>
    <row r="134" spans="1:56" x14ac:dyDescent="0.25">
      <c r="A134" s="152" t="s">
        <v>1207</v>
      </c>
      <c r="B134" s="152">
        <v>43.666812</v>
      </c>
      <c r="C134" s="152">
        <v>-97.125412999999995</v>
      </c>
      <c r="D134" s="152">
        <v>47</v>
      </c>
      <c r="E134" s="152" t="s">
        <v>697</v>
      </c>
      <c r="F134" s="152">
        <v>2016</v>
      </c>
      <c r="G134" s="340">
        <v>42436.717361111114</v>
      </c>
      <c r="H134" s="152" t="s">
        <v>637</v>
      </c>
      <c r="I134" s="152" t="s">
        <v>696</v>
      </c>
      <c r="J134" s="152" t="s">
        <v>697</v>
      </c>
      <c r="L134" s="152" t="s">
        <v>1055</v>
      </c>
      <c r="M134" s="152" t="s">
        <v>685</v>
      </c>
      <c r="N134" s="152" t="s">
        <v>637</v>
      </c>
      <c r="O134" s="152" t="s">
        <v>647</v>
      </c>
      <c r="P134" s="152" t="s">
        <v>696</v>
      </c>
      <c r="Q134" s="152" t="s">
        <v>637</v>
      </c>
      <c r="R134" s="152" t="s">
        <v>701</v>
      </c>
      <c r="S134" s="152" t="s">
        <v>637</v>
      </c>
      <c r="T134" s="152" t="s">
        <v>701</v>
      </c>
      <c r="U134" s="152" t="s">
        <v>644</v>
      </c>
      <c r="V134" s="152" t="s">
        <v>199</v>
      </c>
      <c r="W134" s="152" t="s">
        <v>643</v>
      </c>
      <c r="Y134" s="152" t="s">
        <v>637</v>
      </c>
      <c r="Z134" s="152" t="s">
        <v>642</v>
      </c>
      <c r="AA134" s="152" t="s">
        <v>641</v>
      </c>
      <c r="AB134" s="152" t="s">
        <v>640</v>
      </c>
      <c r="AC134" s="152" t="s">
        <v>701</v>
      </c>
      <c r="AD134" s="152" t="s">
        <v>691</v>
      </c>
      <c r="AE134" s="152" t="s">
        <v>637</v>
      </c>
      <c r="AF134" s="152" t="s">
        <v>637</v>
      </c>
      <c r="AG134" s="152" t="s">
        <v>637</v>
      </c>
      <c r="AH134" s="152" t="s">
        <v>664</v>
      </c>
      <c r="AI134" s="152" t="s">
        <v>699</v>
      </c>
      <c r="AJ134" s="152" t="s">
        <v>696</v>
      </c>
      <c r="AL134" s="152" t="s">
        <v>637</v>
      </c>
      <c r="AM134" s="152" t="s">
        <v>1206</v>
      </c>
      <c r="AO134" s="152" t="s">
        <v>631</v>
      </c>
      <c r="AP134" s="152" t="s">
        <v>697</v>
      </c>
      <c r="AQ134" s="152" t="s">
        <v>630</v>
      </c>
      <c r="AS134" s="152" t="s">
        <v>696</v>
      </c>
      <c r="AT134" s="152" t="s">
        <v>702</v>
      </c>
      <c r="AU134" s="152">
        <v>2016</v>
      </c>
      <c r="AV134" s="339">
        <v>5995</v>
      </c>
      <c r="AW134" s="339">
        <v>1602889</v>
      </c>
      <c r="AX134" s="152">
        <v>7</v>
      </c>
      <c r="AY134" s="152">
        <v>-1</v>
      </c>
      <c r="AZ134" s="152">
        <v>75</v>
      </c>
      <c r="BA134" s="152">
        <v>0.21658013700000001</v>
      </c>
      <c r="BB134" s="152">
        <v>36</v>
      </c>
      <c r="BC134" s="152">
        <v>90</v>
      </c>
      <c r="BD134" s="152">
        <v>5.6069998999999999</v>
      </c>
    </row>
    <row r="135" spans="1:56" x14ac:dyDescent="0.25">
      <c r="A135" s="152" t="s">
        <v>1056</v>
      </c>
      <c r="B135" s="152">
        <v>43.644418999999999</v>
      </c>
      <c r="C135" s="152">
        <v>-97.090511000000006</v>
      </c>
      <c r="D135" s="152">
        <v>32</v>
      </c>
      <c r="E135" s="152" t="s">
        <v>697</v>
      </c>
      <c r="F135" s="152">
        <v>2020</v>
      </c>
      <c r="G135" s="340">
        <v>43929.194444444445</v>
      </c>
      <c r="H135" s="152" t="s">
        <v>637</v>
      </c>
      <c r="I135" s="152" t="s">
        <v>696</v>
      </c>
      <c r="J135" s="152" t="s">
        <v>697</v>
      </c>
      <c r="L135" s="152" t="s">
        <v>1055</v>
      </c>
      <c r="M135" s="152" t="s">
        <v>676</v>
      </c>
      <c r="N135" s="152" t="s">
        <v>637</v>
      </c>
      <c r="O135" s="152" t="s">
        <v>647</v>
      </c>
      <c r="P135" s="152" t="s">
        <v>696</v>
      </c>
      <c r="Q135" s="152" t="s">
        <v>637</v>
      </c>
      <c r="R135" s="152" t="s">
        <v>701</v>
      </c>
      <c r="S135" s="152" t="s">
        <v>637</v>
      </c>
      <c r="T135" s="152" t="s">
        <v>701</v>
      </c>
      <c r="U135" s="152" t="s">
        <v>644</v>
      </c>
      <c r="V135" s="152" t="s">
        <v>96</v>
      </c>
      <c r="W135" s="152" t="s">
        <v>643</v>
      </c>
      <c r="Y135" s="152" t="s">
        <v>637</v>
      </c>
      <c r="Z135" s="152" t="s">
        <v>696</v>
      </c>
      <c r="AA135" s="152" t="s">
        <v>665</v>
      </c>
      <c r="AB135" s="152" t="s">
        <v>640</v>
      </c>
      <c r="AC135" s="152" t="s">
        <v>701</v>
      </c>
      <c r="AD135" s="152" t="s">
        <v>787</v>
      </c>
      <c r="AE135" s="152" t="s">
        <v>637</v>
      </c>
      <c r="AF135" s="152" t="s">
        <v>637</v>
      </c>
      <c r="AG135" s="152" t="s">
        <v>637</v>
      </c>
      <c r="AH135" s="152" t="s">
        <v>664</v>
      </c>
      <c r="AI135" s="152" t="s">
        <v>699</v>
      </c>
      <c r="AJ135" s="152" t="s">
        <v>696</v>
      </c>
      <c r="AL135" s="152" t="s">
        <v>637</v>
      </c>
      <c r="AM135" s="152" t="s">
        <v>1119</v>
      </c>
      <c r="AO135" s="152" t="s">
        <v>715</v>
      </c>
      <c r="AP135" s="152" t="s">
        <v>697</v>
      </c>
      <c r="AQ135" s="152" t="s">
        <v>630</v>
      </c>
      <c r="AS135" s="152" t="s">
        <v>696</v>
      </c>
      <c r="AT135" s="152" t="s">
        <v>702</v>
      </c>
      <c r="AU135" s="152">
        <v>2020</v>
      </c>
      <c r="AV135" s="339">
        <v>5995</v>
      </c>
      <c r="AW135" s="339">
        <v>2004401</v>
      </c>
      <c r="AX135" s="152">
        <v>8</v>
      </c>
      <c r="AY135" s="152">
        <v>-1</v>
      </c>
      <c r="AZ135" s="152">
        <v>75</v>
      </c>
      <c r="BA135" s="152">
        <v>0.106293968</v>
      </c>
      <c r="BB135" s="152">
        <v>670</v>
      </c>
      <c r="BC135" s="152">
        <v>90</v>
      </c>
      <c r="BD135" s="152">
        <v>5.6079998</v>
      </c>
    </row>
    <row r="136" spans="1:56" x14ac:dyDescent="0.25">
      <c r="A136" s="152" t="s">
        <v>1056</v>
      </c>
      <c r="B136" s="152">
        <v>43.644944000000002</v>
      </c>
      <c r="C136" s="152">
        <v>-97.091292999999993</v>
      </c>
      <c r="D136" s="152">
        <v>32</v>
      </c>
      <c r="E136" s="152" t="s">
        <v>759</v>
      </c>
      <c r="F136" s="152">
        <v>2019</v>
      </c>
      <c r="G136" s="340">
        <v>43565.579861111109</v>
      </c>
      <c r="H136" s="152" t="s">
        <v>637</v>
      </c>
      <c r="I136" s="152" t="s">
        <v>669</v>
      </c>
      <c r="J136" s="152" t="s">
        <v>650</v>
      </c>
      <c r="L136" s="152" t="s">
        <v>1055</v>
      </c>
      <c r="M136" s="152" t="s">
        <v>676</v>
      </c>
      <c r="N136" s="152" t="s">
        <v>637</v>
      </c>
      <c r="O136" s="152" t="s">
        <v>647</v>
      </c>
      <c r="P136" s="152" t="s">
        <v>628</v>
      </c>
      <c r="Q136" s="152" t="s">
        <v>637</v>
      </c>
      <c r="R136" s="152" t="s">
        <v>724</v>
      </c>
      <c r="S136" s="152" t="s">
        <v>637</v>
      </c>
      <c r="T136" s="152" t="s">
        <v>723</v>
      </c>
      <c r="U136" s="152" t="s">
        <v>644</v>
      </c>
      <c r="V136" s="152" t="s">
        <v>96</v>
      </c>
      <c r="W136" s="152" t="s">
        <v>643</v>
      </c>
      <c r="Y136" s="152" t="s">
        <v>637</v>
      </c>
      <c r="Z136" s="152" t="s">
        <v>783</v>
      </c>
      <c r="AA136" s="152" t="s">
        <v>641</v>
      </c>
      <c r="AB136" s="152" t="s">
        <v>640</v>
      </c>
      <c r="AC136" s="152" t="s">
        <v>723</v>
      </c>
      <c r="AD136" s="152" t="s">
        <v>787</v>
      </c>
      <c r="AE136" s="152" t="s">
        <v>637</v>
      </c>
      <c r="AF136" s="152" t="s">
        <v>637</v>
      </c>
      <c r="AG136" s="152" t="s">
        <v>637</v>
      </c>
      <c r="AH136" s="152" t="s">
        <v>636</v>
      </c>
      <c r="AI136" s="152" t="s">
        <v>655</v>
      </c>
      <c r="AJ136" s="152" t="s">
        <v>635</v>
      </c>
      <c r="AK136" s="152" t="s">
        <v>634</v>
      </c>
      <c r="AL136" s="152" t="s">
        <v>637</v>
      </c>
      <c r="AM136" s="152" t="s">
        <v>1205</v>
      </c>
      <c r="AO136" s="152" t="s">
        <v>715</v>
      </c>
      <c r="AP136" s="152" t="s">
        <v>628</v>
      </c>
      <c r="AQ136" s="152" t="s">
        <v>671</v>
      </c>
      <c r="AR136" s="152" t="s">
        <v>629</v>
      </c>
      <c r="AS136" s="152" t="s">
        <v>628</v>
      </c>
      <c r="AT136" s="152" t="s">
        <v>797</v>
      </c>
      <c r="AU136" s="152">
        <v>2019</v>
      </c>
      <c r="AV136" s="339">
        <v>5995</v>
      </c>
      <c r="AW136" s="339">
        <v>1905096</v>
      </c>
      <c r="AX136" s="152">
        <v>10</v>
      </c>
      <c r="AY136" s="152">
        <v>0</v>
      </c>
      <c r="AZ136" s="152">
        <v>75</v>
      </c>
      <c r="BA136" s="152">
        <v>1.8795439519999999</v>
      </c>
      <c r="BB136" s="152">
        <v>538</v>
      </c>
      <c r="BC136" s="152">
        <v>90</v>
      </c>
      <c r="BD136" s="152">
        <v>5.6079998</v>
      </c>
    </row>
    <row r="137" spans="1:56" x14ac:dyDescent="0.25">
      <c r="A137" s="152" t="s">
        <v>1056</v>
      </c>
      <c r="B137" s="152">
        <v>43.646990000000002</v>
      </c>
      <c r="C137" s="152">
        <v>-97.094061999999994</v>
      </c>
      <c r="D137" s="152">
        <v>32</v>
      </c>
      <c r="E137" s="152" t="s">
        <v>697</v>
      </c>
      <c r="F137" s="152">
        <v>2020</v>
      </c>
      <c r="G137" s="340">
        <v>44022.012499999997</v>
      </c>
      <c r="H137" s="152" t="s">
        <v>637</v>
      </c>
      <c r="I137" s="152" t="s">
        <v>696</v>
      </c>
      <c r="J137" s="152" t="s">
        <v>697</v>
      </c>
      <c r="L137" s="152" t="s">
        <v>1055</v>
      </c>
      <c r="M137" s="152" t="s">
        <v>648</v>
      </c>
      <c r="N137" s="152" t="s">
        <v>637</v>
      </c>
      <c r="O137" s="152" t="s">
        <v>647</v>
      </c>
      <c r="P137" s="152" t="s">
        <v>696</v>
      </c>
      <c r="Q137" s="152" t="s">
        <v>637</v>
      </c>
      <c r="R137" s="152" t="s">
        <v>701</v>
      </c>
      <c r="S137" s="152" t="s">
        <v>637</v>
      </c>
      <c r="T137" s="152" t="s">
        <v>701</v>
      </c>
      <c r="U137" s="152" t="s">
        <v>644</v>
      </c>
      <c r="V137" s="152" t="s">
        <v>96</v>
      </c>
      <c r="W137" s="152" t="s">
        <v>643</v>
      </c>
      <c r="Y137" s="152" t="s">
        <v>637</v>
      </c>
      <c r="Z137" s="152" t="s">
        <v>696</v>
      </c>
      <c r="AA137" s="152" t="s">
        <v>665</v>
      </c>
      <c r="AB137" s="152" t="s">
        <v>640</v>
      </c>
      <c r="AC137" s="152" t="s">
        <v>701</v>
      </c>
      <c r="AD137" s="152" t="s">
        <v>805</v>
      </c>
      <c r="AE137" s="152" t="s">
        <v>637</v>
      </c>
      <c r="AF137" s="152" t="s">
        <v>637</v>
      </c>
      <c r="AG137" s="152" t="s">
        <v>637</v>
      </c>
      <c r="AH137" s="152" t="s">
        <v>664</v>
      </c>
      <c r="AI137" s="152" t="s">
        <v>699</v>
      </c>
      <c r="AJ137" s="152" t="s">
        <v>696</v>
      </c>
      <c r="AL137" s="152" t="s">
        <v>637</v>
      </c>
      <c r="AM137" s="152" t="s">
        <v>1204</v>
      </c>
      <c r="AO137" s="152" t="s">
        <v>715</v>
      </c>
      <c r="AP137" s="152" t="s">
        <v>697</v>
      </c>
      <c r="AQ137" s="152" t="s">
        <v>671</v>
      </c>
      <c r="AS137" s="152" t="s">
        <v>696</v>
      </c>
      <c r="AT137" s="152" t="s">
        <v>702</v>
      </c>
      <c r="AU137" s="152">
        <v>2020</v>
      </c>
      <c r="AV137" s="339">
        <v>5995</v>
      </c>
      <c r="AW137" s="339">
        <v>2007818</v>
      </c>
      <c r="AX137" s="152">
        <v>10</v>
      </c>
      <c r="AY137" s="152">
        <v>-1</v>
      </c>
      <c r="AZ137" s="152">
        <v>75</v>
      </c>
      <c r="BA137" s="152">
        <v>0.910558643</v>
      </c>
      <c r="BB137" s="152">
        <v>701</v>
      </c>
      <c r="BC137" s="152">
        <v>90</v>
      </c>
      <c r="BD137" s="152">
        <v>5.6079998</v>
      </c>
    </row>
    <row r="138" spans="1:56" x14ac:dyDescent="0.25">
      <c r="A138" s="152" t="s">
        <v>1056</v>
      </c>
      <c r="B138" s="152">
        <v>43.649768000000002</v>
      </c>
      <c r="C138" s="152">
        <v>-97.097669999999994</v>
      </c>
      <c r="D138" s="152">
        <v>32</v>
      </c>
      <c r="E138" s="152" t="s">
        <v>697</v>
      </c>
      <c r="F138" s="152">
        <v>2018</v>
      </c>
      <c r="G138" s="340">
        <v>43364.993055555555</v>
      </c>
      <c r="H138" s="152" t="s">
        <v>637</v>
      </c>
      <c r="I138" s="152" t="s">
        <v>696</v>
      </c>
      <c r="J138" s="152" t="s">
        <v>697</v>
      </c>
      <c r="L138" s="152" t="s">
        <v>1055</v>
      </c>
      <c r="M138" s="152" t="s">
        <v>648</v>
      </c>
      <c r="N138" s="152" t="s">
        <v>637</v>
      </c>
      <c r="O138" s="152" t="s">
        <v>647</v>
      </c>
      <c r="P138" s="152" t="s">
        <v>696</v>
      </c>
      <c r="Q138" s="152" t="s">
        <v>637</v>
      </c>
      <c r="R138" s="152" t="s">
        <v>701</v>
      </c>
      <c r="S138" s="152" t="s">
        <v>637</v>
      </c>
      <c r="T138" s="152" t="s">
        <v>701</v>
      </c>
      <c r="U138" s="152" t="s">
        <v>644</v>
      </c>
      <c r="V138" s="152" t="s">
        <v>96</v>
      </c>
      <c r="W138" s="152" t="s">
        <v>643</v>
      </c>
      <c r="Y138" s="152" t="s">
        <v>637</v>
      </c>
      <c r="Z138" s="152" t="s">
        <v>642</v>
      </c>
      <c r="AA138" s="152" t="s">
        <v>665</v>
      </c>
      <c r="AB138" s="152" t="s">
        <v>640</v>
      </c>
      <c r="AC138" s="152" t="s">
        <v>701</v>
      </c>
      <c r="AD138" s="152" t="s">
        <v>706</v>
      </c>
      <c r="AE138" s="152" t="s">
        <v>637</v>
      </c>
      <c r="AF138" s="152" t="s">
        <v>637</v>
      </c>
      <c r="AG138" s="152" t="s">
        <v>637</v>
      </c>
      <c r="AH138" s="152" t="s">
        <v>664</v>
      </c>
      <c r="AI138" s="152" t="s">
        <v>699</v>
      </c>
      <c r="AJ138" s="152" t="s">
        <v>696</v>
      </c>
      <c r="AL138" s="152" t="s">
        <v>637</v>
      </c>
      <c r="AM138" s="152" t="s">
        <v>1203</v>
      </c>
      <c r="AO138" s="152" t="s">
        <v>715</v>
      </c>
      <c r="AP138" s="152" t="s">
        <v>697</v>
      </c>
      <c r="AQ138" s="152" t="s">
        <v>671</v>
      </c>
      <c r="AS138" s="152" t="s">
        <v>696</v>
      </c>
      <c r="AT138" s="152" t="s">
        <v>702</v>
      </c>
      <c r="AU138" s="152">
        <v>2018</v>
      </c>
      <c r="AV138" s="339">
        <v>5995</v>
      </c>
      <c r="AW138" s="339">
        <v>1812244</v>
      </c>
      <c r="AX138" s="152">
        <v>21</v>
      </c>
      <c r="AY138" s="152">
        <v>-1</v>
      </c>
      <c r="AZ138" s="152">
        <v>75</v>
      </c>
      <c r="BA138" s="152">
        <v>0.13469747500000001</v>
      </c>
      <c r="BB138" s="152">
        <v>450</v>
      </c>
      <c r="BC138" s="152">
        <v>90</v>
      </c>
      <c r="BD138" s="152">
        <v>5.6079998</v>
      </c>
    </row>
    <row r="139" spans="1:56" x14ac:dyDescent="0.25">
      <c r="A139" s="152" t="s">
        <v>1056</v>
      </c>
      <c r="B139" s="152">
        <v>43.650519000000003</v>
      </c>
      <c r="C139" s="152">
        <v>-97.098645000000005</v>
      </c>
      <c r="D139" s="152">
        <v>32</v>
      </c>
      <c r="E139" s="152" t="s">
        <v>759</v>
      </c>
      <c r="F139" s="152">
        <v>2016</v>
      </c>
      <c r="G139" s="340">
        <v>42374.345833333333</v>
      </c>
      <c r="H139" s="152" t="s">
        <v>637</v>
      </c>
      <c r="I139" s="152" t="s">
        <v>669</v>
      </c>
      <c r="J139" s="152" t="s">
        <v>650</v>
      </c>
      <c r="L139" s="152" t="s">
        <v>1055</v>
      </c>
      <c r="M139" s="152" t="s">
        <v>736</v>
      </c>
      <c r="N139" s="152" t="s">
        <v>637</v>
      </c>
      <c r="O139" s="152" t="s">
        <v>647</v>
      </c>
      <c r="P139" s="152" t="s">
        <v>628</v>
      </c>
      <c r="Q139" s="152" t="s">
        <v>637</v>
      </c>
      <c r="R139" s="152" t="s">
        <v>709</v>
      </c>
      <c r="S139" s="152" t="s">
        <v>637</v>
      </c>
      <c r="T139" s="152" t="s">
        <v>708</v>
      </c>
      <c r="U139" s="152" t="s">
        <v>644</v>
      </c>
      <c r="V139" s="152" t="s">
        <v>96</v>
      </c>
      <c r="W139" s="152" t="s">
        <v>643</v>
      </c>
      <c r="Y139" s="152" t="s">
        <v>637</v>
      </c>
      <c r="Z139" s="152" t="s">
        <v>642</v>
      </c>
      <c r="AA139" s="152" t="s">
        <v>641</v>
      </c>
      <c r="AB139" s="152" t="s">
        <v>640</v>
      </c>
      <c r="AC139" s="152" t="s">
        <v>708</v>
      </c>
      <c r="AD139" s="152" t="s">
        <v>638</v>
      </c>
      <c r="AE139" s="152" t="s">
        <v>637</v>
      </c>
      <c r="AF139" s="152" t="s">
        <v>637</v>
      </c>
      <c r="AG139" s="152" t="s">
        <v>637</v>
      </c>
      <c r="AH139" s="152" t="s">
        <v>636</v>
      </c>
      <c r="AI139" s="152" t="s">
        <v>655</v>
      </c>
      <c r="AJ139" s="152" t="s">
        <v>635</v>
      </c>
      <c r="AK139" s="152" t="s">
        <v>634</v>
      </c>
      <c r="AL139" s="152" t="s">
        <v>637</v>
      </c>
      <c r="AM139" s="152" t="s">
        <v>1202</v>
      </c>
      <c r="AO139" s="152" t="s">
        <v>715</v>
      </c>
      <c r="AP139" s="152" t="s">
        <v>628</v>
      </c>
      <c r="AQ139" s="152" t="s">
        <v>671</v>
      </c>
      <c r="AR139" s="152" t="s">
        <v>629</v>
      </c>
      <c r="AS139" s="152" t="s">
        <v>628</v>
      </c>
      <c r="AT139" s="152" t="s">
        <v>627</v>
      </c>
      <c r="AU139" s="152">
        <v>2016</v>
      </c>
      <c r="AV139" s="339">
        <v>5995</v>
      </c>
      <c r="AW139" s="339">
        <v>1601750</v>
      </c>
      <c r="AX139" s="152">
        <v>5</v>
      </c>
      <c r="AY139" s="152">
        <v>0</v>
      </c>
      <c r="AZ139" s="152">
        <v>75</v>
      </c>
      <c r="BA139" s="152">
        <v>7.7050451000000006E-2</v>
      </c>
      <c r="BB139" s="152">
        <v>27</v>
      </c>
      <c r="BC139" s="152">
        <v>90</v>
      </c>
      <c r="BD139" s="152">
        <v>5.6079998</v>
      </c>
    </row>
    <row r="140" spans="1:56" x14ac:dyDescent="0.25">
      <c r="A140" s="152" t="s">
        <v>1056</v>
      </c>
      <c r="B140" s="152">
        <v>43.650748999999998</v>
      </c>
      <c r="C140" s="152">
        <v>-97.098941999999994</v>
      </c>
      <c r="D140" s="152">
        <v>32</v>
      </c>
      <c r="E140" s="152" t="s">
        <v>652</v>
      </c>
      <c r="F140" s="152">
        <v>2019</v>
      </c>
      <c r="G140" s="340">
        <v>43541.40347222222</v>
      </c>
      <c r="H140" s="152" t="s">
        <v>637</v>
      </c>
      <c r="I140" s="152" t="s">
        <v>669</v>
      </c>
      <c r="J140" s="152" t="s">
        <v>694</v>
      </c>
      <c r="K140" s="152" t="s">
        <v>775</v>
      </c>
      <c r="L140" s="152" t="s">
        <v>1055</v>
      </c>
      <c r="M140" s="152" t="s">
        <v>712</v>
      </c>
      <c r="N140" s="152" t="s">
        <v>637</v>
      </c>
      <c r="O140" s="152" t="s">
        <v>647</v>
      </c>
      <c r="P140" s="152" t="s">
        <v>796</v>
      </c>
      <c r="Q140" s="152" t="s">
        <v>637</v>
      </c>
      <c r="R140" s="152" t="s">
        <v>839</v>
      </c>
      <c r="S140" s="152" t="s">
        <v>633</v>
      </c>
      <c r="T140" s="152" t="s">
        <v>682</v>
      </c>
      <c r="U140" s="152" t="s">
        <v>644</v>
      </c>
      <c r="V140" s="152" t="s">
        <v>96</v>
      </c>
      <c r="W140" s="152" t="s">
        <v>643</v>
      </c>
      <c r="Y140" s="152" t="s">
        <v>637</v>
      </c>
      <c r="Z140" s="152" t="s">
        <v>642</v>
      </c>
      <c r="AA140" s="152" t="s">
        <v>641</v>
      </c>
      <c r="AB140" s="152" t="s">
        <v>640</v>
      </c>
      <c r="AC140" s="152" t="s">
        <v>682</v>
      </c>
      <c r="AD140" s="152" t="s">
        <v>691</v>
      </c>
      <c r="AE140" s="152" t="s">
        <v>637</v>
      </c>
      <c r="AF140" s="152" t="s">
        <v>637</v>
      </c>
      <c r="AG140" s="152" t="s">
        <v>637</v>
      </c>
      <c r="AH140" s="152" t="s">
        <v>664</v>
      </c>
      <c r="AI140" s="152" t="s">
        <v>628</v>
      </c>
      <c r="AJ140" s="152" t="s">
        <v>680</v>
      </c>
      <c r="AK140" s="152" t="s">
        <v>634</v>
      </c>
      <c r="AL140" s="152" t="s">
        <v>637</v>
      </c>
      <c r="AM140" s="152" t="s">
        <v>1201</v>
      </c>
      <c r="AO140" s="152" t="s">
        <v>715</v>
      </c>
      <c r="AP140" s="152" t="s">
        <v>628</v>
      </c>
      <c r="AQ140" s="152" t="s">
        <v>630</v>
      </c>
      <c r="AR140" s="152" t="s">
        <v>629</v>
      </c>
      <c r="AS140" s="152" t="s">
        <v>628</v>
      </c>
      <c r="AT140" s="152" t="s">
        <v>702</v>
      </c>
      <c r="AU140" s="152">
        <v>2019</v>
      </c>
      <c r="AV140" s="339">
        <v>5995</v>
      </c>
      <c r="AW140" s="339">
        <v>1902867</v>
      </c>
      <c r="AX140" s="152">
        <v>17</v>
      </c>
      <c r="AY140" s="152">
        <v>0</v>
      </c>
      <c r="AZ140" s="152">
        <v>75</v>
      </c>
      <c r="BA140" s="152">
        <v>0.168515104</v>
      </c>
      <c r="BB140" s="152">
        <v>521</v>
      </c>
      <c r="BC140" s="152">
        <v>90</v>
      </c>
      <c r="BD140" s="152">
        <v>5.6079998</v>
      </c>
    </row>
    <row r="141" spans="1:56" x14ac:dyDescent="0.25">
      <c r="A141" s="152" t="s">
        <v>1056</v>
      </c>
      <c r="B141" s="152">
        <v>43.650756999999999</v>
      </c>
      <c r="C141" s="152">
        <v>-97.098952999999995</v>
      </c>
      <c r="D141" s="152">
        <v>32</v>
      </c>
      <c r="E141" s="152" t="s">
        <v>759</v>
      </c>
      <c r="F141" s="152">
        <v>2019</v>
      </c>
      <c r="G141" s="340">
        <v>43774.982638888891</v>
      </c>
      <c r="H141" s="152" t="s">
        <v>637</v>
      </c>
      <c r="I141" s="152" t="s">
        <v>669</v>
      </c>
      <c r="J141" s="152" t="s">
        <v>694</v>
      </c>
      <c r="L141" s="152" t="s">
        <v>1055</v>
      </c>
      <c r="M141" s="152" t="s">
        <v>736</v>
      </c>
      <c r="N141" s="152" t="s">
        <v>637</v>
      </c>
      <c r="O141" s="152" t="s">
        <v>647</v>
      </c>
      <c r="P141" s="152" t="s">
        <v>628</v>
      </c>
      <c r="Q141" s="152" t="s">
        <v>637</v>
      </c>
      <c r="R141" s="152" t="s">
        <v>881</v>
      </c>
      <c r="S141" s="152" t="s">
        <v>637</v>
      </c>
      <c r="T141" s="152" t="s">
        <v>777</v>
      </c>
      <c r="U141" s="152" t="s">
        <v>644</v>
      </c>
      <c r="V141" s="152" t="s">
        <v>96</v>
      </c>
      <c r="W141" s="152" t="s">
        <v>643</v>
      </c>
      <c r="Y141" s="152" t="s">
        <v>637</v>
      </c>
      <c r="Z141" s="152" t="s">
        <v>642</v>
      </c>
      <c r="AA141" s="152" t="s">
        <v>665</v>
      </c>
      <c r="AB141" s="152" t="s">
        <v>640</v>
      </c>
      <c r="AC141" s="152" t="s">
        <v>708</v>
      </c>
      <c r="AD141" s="152" t="s">
        <v>673</v>
      </c>
      <c r="AE141" s="152" t="s">
        <v>637</v>
      </c>
      <c r="AF141" s="152" t="s">
        <v>637</v>
      </c>
      <c r="AG141" s="152" t="s">
        <v>637</v>
      </c>
      <c r="AH141" s="152" t="s">
        <v>636</v>
      </c>
      <c r="AI141" s="152" t="s">
        <v>655</v>
      </c>
      <c r="AJ141" s="152" t="s">
        <v>635</v>
      </c>
      <c r="AK141" s="152" t="s">
        <v>634</v>
      </c>
      <c r="AL141" s="152" t="s">
        <v>637</v>
      </c>
      <c r="AM141" s="152" t="s">
        <v>1200</v>
      </c>
      <c r="AO141" s="152" t="s">
        <v>715</v>
      </c>
      <c r="AP141" s="152" t="s">
        <v>628</v>
      </c>
      <c r="AQ141" s="152" t="s">
        <v>662</v>
      </c>
      <c r="AR141" s="152" t="s">
        <v>629</v>
      </c>
      <c r="AS141" s="152" t="s">
        <v>628</v>
      </c>
      <c r="AT141" s="152" t="s">
        <v>797</v>
      </c>
      <c r="AU141" s="152">
        <v>2019</v>
      </c>
      <c r="AV141" s="339">
        <v>5995</v>
      </c>
      <c r="AW141" s="339">
        <v>1917187</v>
      </c>
      <c r="AX141" s="152">
        <v>5</v>
      </c>
      <c r="AY141" s="152">
        <v>0</v>
      </c>
      <c r="AZ141" s="152">
        <v>75</v>
      </c>
      <c r="BA141" s="152">
        <v>4.8135342999999997E-2</v>
      </c>
      <c r="BB141" s="152">
        <v>607</v>
      </c>
      <c r="BC141" s="152">
        <v>90</v>
      </c>
      <c r="BD141" s="152">
        <v>5.6079998</v>
      </c>
    </row>
    <row r="142" spans="1:56" x14ac:dyDescent="0.25">
      <c r="A142" s="152" t="s">
        <v>1056</v>
      </c>
      <c r="B142" s="152">
        <v>43.652639999999998</v>
      </c>
      <c r="C142" s="152">
        <v>-97.101394999999997</v>
      </c>
      <c r="D142" s="152">
        <v>32</v>
      </c>
      <c r="E142" s="152" t="s">
        <v>746</v>
      </c>
      <c r="F142" s="152">
        <v>2016</v>
      </c>
      <c r="G142" s="340">
        <v>42389.38958333333</v>
      </c>
      <c r="H142" s="152" t="s">
        <v>637</v>
      </c>
      <c r="I142" s="152" t="s">
        <v>669</v>
      </c>
      <c r="J142" s="152" t="s">
        <v>879</v>
      </c>
      <c r="L142" s="152" t="s">
        <v>1055</v>
      </c>
      <c r="M142" s="152" t="s">
        <v>676</v>
      </c>
      <c r="N142" s="152" t="s">
        <v>637</v>
      </c>
      <c r="O142" s="152" t="s">
        <v>647</v>
      </c>
      <c r="P142" s="152" t="s">
        <v>646</v>
      </c>
      <c r="Q142" s="152" t="s">
        <v>637</v>
      </c>
      <c r="R142" s="152" t="s">
        <v>709</v>
      </c>
      <c r="S142" s="152" t="s">
        <v>637</v>
      </c>
      <c r="T142" s="152" t="s">
        <v>708</v>
      </c>
      <c r="U142" s="152" t="s">
        <v>644</v>
      </c>
      <c r="V142" s="152" t="s">
        <v>96</v>
      </c>
      <c r="W142" s="152" t="s">
        <v>643</v>
      </c>
      <c r="Y142" s="152" t="s">
        <v>637</v>
      </c>
      <c r="Z142" s="152" t="s">
        <v>642</v>
      </c>
      <c r="AA142" s="152" t="s">
        <v>641</v>
      </c>
      <c r="AB142" s="152" t="s">
        <v>640</v>
      </c>
      <c r="AC142" s="152" t="s">
        <v>708</v>
      </c>
      <c r="AD142" s="152" t="s">
        <v>638</v>
      </c>
      <c r="AE142" s="152" t="s">
        <v>637</v>
      </c>
      <c r="AF142" s="152" t="s">
        <v>637</v>
      </c>
      <c r="AG142" s="152" t="s">
        <v>637</v>
      </c>
      <c r="AH142" s="152" t="s">
        <v>636</v>
      </c>
      <c r="AI142" s="152" t="s">
        <v>655</v>
      </c>
      <c r="AJ142" s="152" t="s">
        <v>680</v>
      </c>
      <c r="AK142" s="152" t="s">
        <v>634</v>
      </c>
      <c r="AL142" s="152" t="s">
        <v>633</v>
      </c>
      <c r="AM142" s="152" t="s">
        <v>1199</v>
      </c>
      <c r="AO142" s="152" t="s">
        <v>715</v>
      </c>
      <c r="AP142" s="152" t="s">
        <v>628</v>
      </c>
      <c r="AQ142" s="152" t="s">
        <v>630</v>
      </c>
      <c r="AR142" s="152" t="s">
        <v>629</v>
      </c>
      <c r="AS142" s="152" t="s">
        <v>628</v>
      </c>
      <c r="AT142" s="152" t="s">
        <v>695</v>
      </c>
      <c r="AU142" s="152">
        <v>2016</v>
      </c>
      <c r="AV142" s="339">
        <v>5995</v>
      </c>
      <c r="AW142" s="339">
        <v>1600607</v>
      </c>
      <c r="AX142" s="152">
        <v>20</v>
      </c>
      <c r="AY142" s="152">
        <v>0</v>
      </c>
      <c r="AZ142" s="152">
        <v>75</v>
      </c>
      <c r="BA142" s="152">
        <v>6.3823473000000006E-2</v>
      </c>
      <c r="BB142" s="152">
        <v>14</v>
      </c>
      <c r="BC142" s="152">
        <v>90</v>
      </c>
      <c r="BD142" s="152">
        <v>5.6079998</v>
      </c>
    </row>
    <row r="143" spans="1:56" x14ac:dyDescent="0.25">
      <c r="A143" s="152" t="s">
        <v>1056</v>
      </c>
      <c r="B143" s="152">
        <v>43.652991999999998</v>
      </c>
      <c r="C143" s="152">
        <v>-97.101850999999996</v>
      </c>
      <c r="D143" s="152">
        <v>32</v>
      </c>
      <c r="E143" s="152" t="s">
        <v>746</v>
      </c>
      <c r="F143" s="152">
        <v>2016</v>
      </c>
      <c r="G143" s="340">
        <v>42389.302777777775</v>
      </c>
      <c r="H143" s="152" t="s">
        <v>637</v>
      </c>
      <c r="I143" s="152" t="s">
        <v>669</v>
      </c>
      <c r="J143" s="152" t="s">
        <v>879</v>
      </c>
      <c r="L143" s="152" t="s">
        <v>1055</v>
      </c>
      <c r="M143" s="152" t="s">
        <v>676</v>
      </c>
      <c r="N143" s="152" t="s">
        <v>637</v>
      </c>
      <c r="O143" s="152" t="s">
        <v>647</v>
      </c>
      <c r="P143" s="152" t="s">
        <v>646</v>
      </c>
      <c r="Q143" s="152" t="s">
        <v>637</v>
      </c>
      <c r="R143" s="152" t="s">
        <v>825</v>
      </c>
      <c r="S143" s="152" t="s">
        <v>637</v>
      </c>
      <c r="T143" s="152" t="s">
        <v>708</v>
      </c>
      <c r="U143" s="152" t="s">
        <v>644</v>
      </c>
      <c r="V143" s="152" t="s">
        <v>96</v>
      </c>
      <c r="W143" s="152" t="s">
        <v>643</v>
      </c>
      <c r="Y143" s="152" t="s">
        <v>637</v>
      </c>
      <c r="Z143" s="152" t="s">
        <v>642</v>
      </c>
      <c r="AA143" s="152" t="s">
        <v>641</v>
      </c>
      <c r="AB143" s="152" t="s">
        <v>640</v>
      </c>
      <c r="AC143" s="152" t="s">
        <v>708</v>
      </c>
      <c r="AD143" s="152" t="s">
        <v>638</v>
      </c>
      <c r="AE143" s="152" t="s">
        <v>637</v>
      </c>
      <c r="AF143" s="152" t="s">
        <v>637</v>
      </c>
      <c r="AG143" s="152" t="s">
        <v>637</v>
      </c>
      <c r="AH143" s="152" t="s">
        <v>636</v>
      </c>
      <c r="AI143" s="152" t="s">
        <v>655</v>
      </c>
      <c r="AJ143" s="152" t="s">
        <v>680</v>
      </c>
      <c r="AK143" s="152" t="s">
        <v>634</v>
      </c>
      <c r="AL143" s="152" t="s">
        <v>633</v>
      </c>
      <c r="AM143" s="152" t="s">
        <v>1198</v>
      </c>
      <c r="AO143" s="152" t="s">
        <v>715</v>
      </c>
      <c r="AP143" s="152" t="s">
        <v>628</v>
      </c>
      <c r="AQ143" s="152" t="s">
        <v>703</v>
      </c>
      <c r="AR143" s="152" t="s">
        <v>629</v>
      </c>
      <c r="AS143" s="152" t="s">
        <v>628</v>
      </c>
      <c r="AT143" s="152" t="s">
        <v>695</v>
      </c>
      <c r="AU143" s="152">
        <v>2016</v>
      </c>
      <c r="AV143" s="339">
        <v>5995</v>
      </c>
      <c r="AW143" s="339">
        <v>1600606</v>
      </c>
      <c r="AX143" s="152">
        <v>20</v>
      </c>
      <c r="AY143" s="152">
        <v>0</v>
      </c>
      <c r="AZ143" s="152">
        <v>75</v>
      </c>
      <c r="BA143" s="152">
        <v>0.16724914099999999</v>
      </c>
      <c r="BB143" s="152">
        <v>15</v>
      </c>
      <c r="BC143" s="152">
        <v>90</v>
      </c>
      <c r="BD143" s="152">
        <v>5.6079998</v>
      </c>
    </row>
    <row r="144" spans="1:56" x14ac:dyDescent="0.25">
      <c r="A144" s="152" t="s">
        <v>1056</v>
      </c>
      <c r="B144" s="152">
        <v>43.655450999999999</v>
      </c>
      <c r="C144" s="152">
        <v>-97.105041999999997</v>
      </c>
      <c r="D144" s="152">
        <v>32</v>
      </c>
      <c r="E144" s="152" t="s">
        <v>652</v>
      </c>
      <c r="F144" s="152">
        <v>2017</v>
      </c>
      <c r="G144" s="340">
        <v>42806.565972222219</v>
      </c>
      <c r="H144" s="152" t="s">
        <v>637</v>
      </c>
      <c r="I144" s="152" t="s">
        <v>669</v>
      </c>
      <c r="J144" s="152" t="s">
        <v>660</v>
      </c>
      <c r="K144" s="152" t="s">
        <v>659</v>
      </c>
      <c r="L144" s="152" t="s">
        <v>1055</v>
      </c>
      <c r="M144" s="152" t="s">
        <v>712</v>
      </c>
      <c r="N144" s="152" t="s">
        <v>637</v>
      </c>
      <c r="O144" s="152" t="s">
        <v>647</v>
      </c>
      <c r="P144" s="152" t="s">
        <v>646</v>
      </c>
      <c r="Q144" s="152" t="s">
        <v>637</v>
      </c>
      <c r="R144" s="152" t="s">
        <v>1093</v>
      </c>
      <c r="S144" s="152" t="s">
        <v>637</v>
      </c>
      <c r="T144" s="152" t="s">
        <v>656</v>
      </c>
      <c r="U144" s="152" t="s">
        <v>644</v>
      </c>
      <c r="V144" s="152" t="s">
        <v>96</v>
      </c>
      <c r="W144" s="152" t="s">
        <v>643</v>
      </c>
      <c r="Y144" s="152" t="s">
        <v>637</v>
      </c>
      <c r="Z144" s="152" t="s">
        <v>642</v>
      </c>
      <c r="AA144" s="152" t="s">
        <v>641</v>
      </c>
      <c r="AB144" s="152" t="s">
        <v>728</v>
      </c>
      <c r="AC144" s="152" t="s">
        <v>656</v>
      </c>
      <c r="AD144" s="152" t="s">
        <v>691</v>
      </c>
      <c r="AE144" s="152" t="s">
        <v>637</v>
      </c>
      <c r="AF144" s="152" t="s">
        <v>637</v>
      </c>
      <c r="AG144" s="152" t="s">
        <v>637</v>
      </c>
      <c r="AH144" s="152" t="s">
        <v>677</v>
      </c>
      <c r="AI144" s="152" t="s">
        <v>628</v>
      </c>
      <c r="AJ144" s="152" t="s">
        <v>635</v>
      </c>
      <c r="AK144" s="152" t="s">
        <v>634</v>
      </c>
      <c r="AL144" s="152" t="s">
        <v>633</v>
      </c>
      <c r="AM144" s="152" t="s">
        <v>1147</v>
      </c>
      <c r="AO144" s="152" t="s">
        <v>715</v>
      </c>
      <c r="AP144" s="152" t="s">
        <v>628</v>
      </c>
      <c r="AQ144" s="152" t="s">
        <v>832</v>
      </c>
      <c r="AR144" s="152" t="s">
        <v>629</v>
      </c>
      <c r="AS144" s="152" t="s">
        <v>628</v>
      </c>
      <c r="AT144" s="152" t="s">
        <v>677</v>
      </c>
      <c r="AU144" s="152">
        <v>2017</v>
      </c>
      <c r="AV144" s="339">
        <v>5995</v>
      </c>
      <c r="AW144" s="339">
        <v>1703144</v>
      </c>
      <c r="AX144" s="152">
        <v>12</v>
      </c>
      <c r="AY144" s="152">
        <v>0</v>
      </c>
      <c r="AZ144" s="152">
        <v>75</v>
      </c>
      <c r="BA144" s="152">
        <v>0.123632112</v>
      </c>
      <c r="BB144" s="152">
        <v>197</v>
      </c>
      <c r="BC144" s="152">
        <v>90</v>
      </c>
      <c r="BD144" s="152">
        <v>5.6079998</v>
      </c>
    </row>
    <row r="145" spans="1:56" x14ac:dyDescent="0.25">
      <c r="A145" s="152" t="s">
        <v>1056</v>
      </c>
      <c r="B145" s="152">
        <v>43.655450999999999</v>
      </c>
      <c r="C145" s="152">
        <v>-97.105041</v>
      </c>
      <c r="D145" s="152">
        <v>32</v>
      </c>
      <c r="E145" s="152" t="s">
        <v>759</v>
      </c>
      <c r="F145" s="152">
        <v>2017</v>
      </c>
      <c r="G145" s="340">
        <v>42806.565972222219</v>
      </c>
      <c r="H145" s="152" t="s">
        <v>637</v>
      </c>
      <c r="I145" s="152" t="s">
        <v>669</v>
      </c>
      <c r="J145" s="152" t="s">
        <v>879</v>
      </c>
      <c r="L145" s="152" t="s">
        <v>1055</v>
      </c>
      <c r="M145" s="152" t="s">
        <v>712</v>
      </c>
      <c r="N145" s="152" t="s">
        <v>637</v>
      </c>
      <c r="O145" s="152" t="s">
        <v>647</v>
      </c>
      <c r="P145" s="152" t="s">
        <v>646</v>
      </c>
      <c r="Q145" s="152" t="s">
        <v>637</v>
      </c>
      <c r="R145" s="152" t="s">
        <v>1197</v>
      </c>
      <c r="S145" s="152" t="s">
        <v>637</v>
      </c>
      <c r="T145" s="152" t="s">
        <v>1102</v>
      </c>
      <c r="U145" s="152" t="s">
        <v>644</v>
      </c>
      <c r="V145" s="152" t="s">
        <v>96</v>
      </c>
      <c r="W145" s="152" t="s">
        <v>643</v>
      </c>
      <c r="Y145" s="152" t="s">
        <v>637</v>
      </c>
      <c r="Z145" s="152" t="s">
        <v>642</v>
      </c>
      <c r="AA145" s="152" t="s">
        <v>641</v>
      </c>
      <c r="AB145" s="152" t="s">
        <v>640</v>
      </c>
      <c r="AC145" s="152" t="s">
        <v>1102</v>
      </c>
      <c r="AD145" s="152" t="s">
        <v>691</v>
      </c>
      <c r="AE145" s="152" t="s">
        <v>637</v>
      </c>
      <c r="AF145" s="152" t="s">
        <v>637</v>
      </c>
      <c r="AG145" s="152" t="s">
        <v>637</v>
      </c>
      <c r="AH145" s="152" t="s">
        <v>677</v>
      </c>
      <c r="AI145" s="152" t="s">
        <v>628</v>
      </c>
      <c r="AJ145" s="152" t="s">
        <v>635</v>
      </c>
      <c r="AK145" s="152" t="s">
        <v>634</v>
      </c>
      <c r="AL145" s="152" t="s">
        <v>633</v>
      </c>
      <c r="AM145" s="152" t="s">
        <v>1147</v>
      </c>
      <c r="AO145" s="152" t="s">
        <v>715</v>
      </c>
      <c r="AP145" s="152" t="s">
        <v>628</v>
      </c>
      <c r="AQ145" s="152" t="s">
        <v>671</v>
      </c>
      <c r="AR145" s="152" t="s">
        <v>629</v>
      </c>
      <c r="AS145" s="152" t="s">
        <v>628</v>
      </c>
      <c r="AT145" s="152" t="s">
        <v>677</v>
      </c>
      <c r="AU145" s="152">
        <v>2017</v>
      </c>
      <c r="AV145" s="339">
        <v>5995</v>
      </c>
      <c r="AW145" s="339">
        <v>1703394</v>
      </c>
      <c r="AX145" s="152">
        <v>12</v>
      </c>
      <c r="AY145" s="152">
        <v>0</v>
      </c>
      <c r="AZ145" s="152">
        <v>75</v>
      </c>
      <c r="BA145" s="152">
        <v>6.8934538000000004E-2</v>
      </c>
      <c r="BB145" s="152">
        <v>202</v>
      </c>
      <c r="BC145" s="152">
        <v>90</v>
      </c>
      <c r="BD145" s="152">
        <v>5.6079998</v>
      </c>
    </row>
    <row r="146" spans="1:56" x14ac:dyDescent="0.25">
      <c r="A146" s="152" t="s">
        <v>1056</v>
      </c>
      <c r="B146" s="152">
        <v>43.657178000000002</v>
      </c>
      <c r="C146" s="152">
        <v>-97.107281</v>
      </c>
      <c r="D146" s="152">
        <v>32</v>
      </c>
      <c r="E146" s="152" t="s">
        <v>697</v>
      </c>
      <c r="F146" s="152">
        <v>2019</v>
      </c>
      <c r="G146" s="340">
        <v>43631.047222222223</v>
      </c>
      <c r="H146" s="152" t="s">
        <v>637</v>
      </c>
      <c r="I146" s="152" t="s">
        <v>696</v>
      </c>
      <c r="J146" s="152" t="s">
        <v>697</v>
      </c>
      <c r="L146" s="152" t="s">
        <v>1055</v>
      </c>
      <c r="M146" s="152" t="s">
        <v>693</v>
      </c>
      <c r="N146" s="152" t="s">
        <v>637</v>
      </c>
      <c r="O146" s="152" t="s">
        <v>647</v>
      </c>
      <c r="P146" s="152" t="s">
        <v>696</v>
      </c>
      <c r="Q146" s="152" t="s">
        <v>637</v>
      </c>
      <c r="R146" s="152" t="s">
        <v>701</v>
      </c>
      <c r="S146" s="152" t="s">
        <v>637</v>
      </c>
      <c r="T146" s="152" t="s">
        <v>701</v>
      </c>
      <c r="U146" s="152" t="s">
        <v>644</v>
      </c>
      <c r="V146" s="152" t="s">
        <v>96</v>
      </c>
      <c r="W146" s="152" t="s">
        <v>643</v>
      </c>
      <c r="Y146" s="152" t="s">
        <v>637</v>
      </c>
      <c r="Z146" s="152" t="s">
        <v>696</v>
      </c>
      <c r="AA146" s="152" t="s">
        <v>665</v>
      </c>
      <c r="AB146" s="152" t="s">
        <v>640</v>
      </c>
      <c r="AC146" s="152" t="s">
        <v>701</v>
      </c>
      <c r="AD146" s="152" t="s">
        <v>771</v>
      </c>
      <c r="AE146" s="152" t="s">
        <v>637</v>
      </c>
      <c r="AF146" s="152" t="s">
        <v>637</v>
      </c>
      <c r="AG146" s="152" t="s">
        <v>637</v>
      </c>
      <c r="AH146" s="152" t="s">
        <v>664</v>
      </c>
      <c r="AI146" s="152" t="s">
        <v>699</v>
      </c>
      <c r="AJ146" s="152" t="s">
        <v>696</v>
      </c>
      <c r="AL146" s="152" t="s">
        <v>637</v>
      </c>
      <c r="AM146" s="152" t="s">
        <v>1196</v>
      </c>
      <c r="AO146" s="152" t="s">
        <v>715</v>
      </c>
      <c r="AP146" s="152" t="s">
        <v>697</v>
      </c>
      <c r="AQ146" s="152" t="s">
        <v>703</v>
      </c>
      <c r="AS146" s="152" t="s">
        <v>696</v>
      </c>
      <c r="AT146" s="152" t="s">
        <v>702</v>
      </c>
      <c r="AU146" s="152">
        <v>2019</v>
      </c>
      <c r="AV146" s="339">
        <v>5995</v>
      </c>
      <c r="AW146" s="339">
        <v>1907418</v>
      </c>
      <c r="AX146" s="152">
        <v>15</v>
      </c>
      <c r="AY146" s="152">
        <v>-1</v>
      </c>
      <c r="AZ146" s="152">
        <v>75</v>
      </c>
      <c r="BA146" s="152">
        <v>0.119359429</v>
      </c>
      <c r="BB146" s="152">
        <v>560</v>
      </c>
      <c r="BC146" s="152">
        <v>90</v>
      </c>
      <c r="BD146" s="152">
        <v>5.6079998</v>
      </c>
    </row>
    <row r="147" spans="1:56" x14ac:dyDescent="0.25">
      <c r="A147" s="152" t="s">
        <v>1056</v>
      </c>
      <c r="B147" s="152">
        <v>43.657882999999998</v>
      </c>
      <c r="C147" s="152">
        <v>-97.108197000000004</v>
      </c>
      <c r="D147" s="152">
        <v>32</v>
      </c>
      <c r="E147" s="152" t="s">
        <v>697</v>
      </c>
      <c r="F147" s="152">
        <v>2018</v>
      </c>
      <c r="G147" s="340">
        <v>43418.824305555558</v>
      </c>
      <c r="H147" s="152" t="s">
        <v>637</v>
      </c>
      <c r="I147" s="152" t="s">
        <v>696</v>
      </c>
      <c r="J147" s="152" t="s">
        <v>697</v>
      </c>
      <c r="L147" s="152" t="s">
        <v>1055</v>
      </c>
      <c r="M147" s="152" t="s">
        <v>676</v>
      </c>
      <c r="N147" s="152" t="s">
        <v>637</v>
      </c>
      <c r="O147" s="152" t="s">
        <v>647</v>
      </c>
      <c r="P147" s="152" t="s">
        <v>696</v>
      </c>
      <c r="Q147" s="152" t="s">
        <v>637</v>
      </c>
      <c r="R147" s="152" t="s">
        <v>701</v>
      </c>
      <c r="S147" s="152" t="s">
        <v>637</v>
      </c>
      <c r="T147" s="152" t="s">
        <v>701</v>
      </c>
      <c r="U147" s="152" t="s">
        <v>644</v>
      </c>
      <c r="V147" s="152" t="s">
        <v>96</v>
      </c>
      <c r="W147" s="152" t="s">
        <v>643</v>
      </c>
      <c r="Y147" s="152" t="s">
        <v>637</v>
      </c>
      <c r="Z147" s="152" t="s">
        <v>642</v>
      </c>
      <c r="AA147" s="152" t="s">
        <v>665</v>
      </c>
      <c r="AB147" s="152" t="s">
        <v>640</v>
      </c>
      <c r="AC147" s="152" t="s">
        <v>701</v>
      </c>
      <c r="AD147" s="152" t="s">
        <v>673</v>
      </c>
      <c r="AE147" s="152" t="s">
        <v>637</v>
      </c>
      <c r="AF147" s="152" t="s">
        <v>637</v>
      </c>
      <c r="AG147" s="152" t="s">
        <v>637</v>
      </c>
      <c r="AH147" s="152" t="s">
        <v>664</v>
      </c>
      <c r="AI147" s="152" t="s">
        <v>699</v>
      </c>
      <c r="AJ147" s="152" t="s">
        <v>696</v>
      </c>
      <c r="AL147" s="152" t="s">
        <v>637</v>
      </c>
      <c r="AM147" s="152" t="s">
        <v>1195</v>
      </c>
      <c r="AO147" s="152" t="s">
        <v>715</v>
      </c>
      <c r="AP147" s="152" t="s">
        <v>697</v>
      </c>
      <c r="AQ147" s="152" t="s">
        <v>882</v>
      </c>
      <c r="AS147" s="152" t="s">
        <v>696</v>
      </c>
      <c r="AT147" s="152" t="s">
        <v>702</v>
      </c>
      <c r="AU147" s="152">
        <v>2018</v>
      </c>
      <c r="AV147" s="339">
        <v>5995</v>
      </c>
      <c r="AW147" s="339">
        <v>1814677</v>
      </c>
      <c r="AX147" s="152">
        <v>14</v>
      </c>
      <c r="AY147" s="152">
        <v>-1</v>
      </c>
      <c r="AZ147" s="152">
        <v>75</v>
      </c>
      <c r="BA147" s="152">
        <v>0.15459509199999999</v>
      </c>
      <c r="BB147" s="152">
        <v>470</v>
      </c>
      <c r="BC147" s="152">
        <v>90</v>
      </c>
      <c r="BD147" s="152">
        <v>5.6079998</v>
      </c>
    </row>
    <row r="148" spans="1:56" x14ac:dyDescent="0.25">
      <c r="A148" s="152" t="s">
        <v>1056</v>
      </c>
      <c r="B148" s="152">
        <v>43.658056999999999</v>
      </c>
      <c r="C148" s="152">
        <v>-97.108422000000004</v>
      </c>
      <c r="D148" s="152">
        <v>32</v>
      </c>
      <c r="E148" s="152" t="s">
        <v>697</v>
      </c>
      <c r="F148" s="152">
        <v>2020</v>
      </c>
      <c r="G148" s="340">
        <v>44082.904166666667</v>
      </c>
      <c r="H148" s="152" t="s">
        <v>637</v>
      </c>
      <c r="I148" s="152" t="s">
        <v>696</v>
      </c>
      <c r="J148" s="152" t="s">
        <v>697</v>
      </c>
      <c r="L148" s="152" t="s">
        <v>1055</v>
      </c>
      <c r="M148" s="152" t="s">
        <v>736</v>
      </c>
      <c r="N148" s="152" t="s">
        <v>637</v>
      </c>
      <c r="O148" s="152" t="s">
        <v>647</v>
      </c>
      <c r="P148" s="152" t="s">
        <v>696</v>
      </c>
      <c r="Q148" s="152" t="s">
        <v>637</v>
      </c>
      <c r="R148" s="152" t="s">
        <v>701</v>
      </c>
      <c r="S148" s="152" t="s">
        <v>637</v>
      </c>
      <c r="T148" s="152" t="s">
        <v>701</v>
      </c>
      <c r="U148" s="152" t="s">
        <v>644</v>
      </c>
      <c r="V148" s="152" t="s">
        <v>96</v>
      </c>
      <c r="W148" s="152" t="s">
        <v>643</v>
      </c>
      <c r="Y148" s="152" t="s">
        <v>637</v>
      </c>
      <c r="Z148" s="152" t="s">
        <v>696</v>
      </c>
      <c r="AA148" s="152" t="s">
        <v>665</v>
      </c>
      <c r="AB148" s="152" t="s">
        <v>640</v>
      </c>
      <c r="AC148" s="152" t="s">
        <v>701</v>
      </c>
      <c r="AD148" s="152" t="s">
        <v>706</v>
      </c>
      <c r="AE148" s="152" t="s">
        <v>637</v>
      </c>
      <c r="AF148" s="152" t="s">
        <v>637</v>
      </c>
      <c r="AG148" s="152" t="s">
        <v>637</v>
      </c>
      <c r="AH148" s="152" t="s">
        <v>664</v>
      </c>
      <c r="AI148" s="152" t="s">
        <v>699</v>
      </c>
      <c r="AJ148" s="152" t="s">
        <v>696</v>
      </c>
      <c r="AL148" s="152" t="s">
        <v>637</v>
      </c>
      <c r="AM148" s="152" t="s">
        <v>1194</v>
      </c>
      <c r="AO148" s="152" t="s">
        <v>715</v>
      </c>
      <c r="AP148" s="152" t="s">
        <v>697</v>
      </c>
      <c r="AQ148" s="152" t="s">
        <v>769</v>
      </c>
      <c r="AS148" s="152" t="s">
        <v>696</v>
      </c>
      <c r="AT148" s="152" t="s">
        <v>702</v>
      </c>
      <c r="AU148" s="152">
        <v>2020</v>
      </c>
      <c r="AV148" s="339">
        <v>5995</v>
      </c>
      <c r="AW148" s="339">
        <v>2010479</v>
      </c>
      <c r="AX148" s="152">
        <v>8</v>
      </c>
      <c r="AY148" s="152">
        <v>-1</v>
      </c>
      <c r="AZ148" s="152">
        <v>75</v>
      </c>
      <c r="BA148" s="152">
        <v>1.3657562E-2</v>
      </c>
      <c r="BB148" s="152">
        <v>716</v>
      </c>
      <c r="BC148" s="152">
        <v>90</v>
      </c>
      <c r="BD148" s="152">
        <v>5.6079998</v>
      </c>
    </row>
    <row r="149" spans="1:56" x14ac:dyDescent="0.25">
      <c r="A149" s="152" t="s">
        <v>1056</v>
      </c>
      <c r="B149" s="152">
        <v>43.659717999999998</v>
      </c>
      <c r="C149" s="152">
        <v>-97.110575999999995</v>
      </c>
      <c r="D149" s="152">
        <v>32</v>
      </c>
      <c r="E149" s="152" t="s">
        <v>652</v>
      </c>
      <c r="F149" s="152">
        <v>2020</v>
      </c>
      <c r="G149" s="340">
        <v>43904.40625</v>
      </c>
      <c r="H149" s="152" t="s">
        <v>637</v>
      </c>
      <c r="I149" s="152" t="s">
        <v>669</v>
      </c>
      <c r="J149" s="152" t="s">
        <v>694</v>
      </c>
      <c r="L149" s="152" t="s">
        <v>1055</v>
      </c>
      <c r="M149" s="152" t="s">
        <v>693</v>
      </c>
      <c r="N149" s="152" t="s">
        <v>637</v>
      </c>
      <c r="O149" s="152" t="s">
        <v>647</v>
      </c>
      <c r="P149" s="152" t="s">
        <v>628</v>
      </c>
      <c r="Q149" s="152" t="s">
        <v>637</v>
      </c>
      <c r="R149" s="152" t="s">
        <v>1193</v>
      </c>
      <c r="S149" s="152" t="s">
        <v>637</v>
      </c>
      <c r="T149" s="152" t="s">
        <v>1192</v>
      </c>
      <c r="U149" s="152" t="s">
        <v>644</v>
      </c>
      <c r="V149" s="152" t="s">
        <v>96</v>
      </c>
      <c r="W149" s="152" t="s">
        <v>643</v>
      </c>
      <c r="Y149" s="152" t="s">
        <v>637</v>
      </c>
      <c r="Z149" s="152" t="s">
        <v>642</v>
      </c>
      <c r="AA149" s="152" t="s">
        <v>641</v>
      </c>
      <c r="AB149" s="152" t="s">
        <v>640</v>
      </c>
      <c r="AC149" s="152" t="s">
        <v>1192</v>
      </c>
      <c r="AD149" s="152" t="s">
        <v>691</v>
      </c>
      <c r="AE149" s="152" t="s">
        <v>637</v>
      </c>
      <c r="AF149" s="152" t="s">
        <v>637</v>
      </c>
      <c r="AG149" s="152" t="s">
        <v>637</v>
      </c>
      <c r="AH149" s="152" t="s">
        <v>677</v>
      </c>
      <c r="AI149" s="152" t="s">
        <v>655</v>
      </c>
      <c r="AJ149" s="152" t="s">
        <v>680</v>
      </c>
      <c r="AK149" s="152" t="s">
        <v>634</v>
      </c>
      <c r="AL149" s="152" t="s">
        <v>637</v>
      </c>
      <c r="AM149" s="152" t="s">
        <v>1041</v>
      </c>
      <c r="AO149" s="152" t="s">
        <v>715</v>
      </c>
      <c r="AP149" s="152" t="s">
        <v>628</v>
      </c>
      <c r="AQ149" s="152" t="s">
        <v>671</v>
      </c>
      <c r="AR149" s="152" t="s">
        <v>629</v>
      </c>
      <c r="AS149" s="152" t="s">
        <v>678</v>
      </c>
      <c r="AT149" s="152" t="s">
        <v>844</v>
      </c>
      <c r="AU149" s="152">
        <v>2020</v>
      </c>
      <c r="AV149" s="339">
        <v>5995</v>
      </c>
      <c r="AW149" s="339">
        <v>2003400</v>
      </c>
      <c r="AX149" s="152">
        <v>14</v>
      </c>
      <c r="AY149" s="152">
        <v>0</v>
      </c>
      <c r="AZ149" s="152">
        <v>75</v>
      </c>
      <c r="BA149" s="152">
        <v>1.9848681E-2</v>
      </c>
      <c r="BB149" s="152">
        <v>667</v>
      </c>
      <c r="BC149" s="152">
        <v>90</v>
      </c>
      <c r="BD149" s="152">
        <v>5.6079998</v>
      </c>
    </row>
    <row r="150" spans="1:56" x14ac:dyDescent="0.25">
      <c r="A150" s="152" t="s">
        <v>1056</v>
      </c>
      <c r="B150" s="152">
        <v>43.659796999999998</v>
      </c>
      <c r="C150" s="152">
        <v>-97.110677999999993</v>
      </c>
      <c r="D150" s="152">
        <v>32</v>
      </c>
      <c r="E150" s="152" t="s">
        <v>821</v>
      </c>
      <c r="F150" s="152">
        <v>2019</v>
      </c>
      <c r="G150" s="340">
        <v>43565.54791666667</v>
      </c>
      <c r="H150" s="152" t="s">
        <v>637</v>
      </c>
      <c r="I150" s="152" t="s">
        <v>669</v>
      </c>
      <c r="J150" s="152" t="s">
        <v>650</v>
      </c>
      <c r="L150" s="152" t="s">
        <v>1055</v>
      </c>
      <c r="M150" s="152" t="s">
        <v>676</v>
      </c>
      <c r="N150" s="152" t="s">
        <v>637</v>
      </c>
      <c r="O150" s="152" t="s">
        <v>647</v>
      </c>
      <c r="P150" s="152" t="s">
        <v>684</v>
      </c>
      <c r="Q150" s="152" t="s">
        <v>637</v>
      </c>
      <c r="R150" s="152" t="s">
        <v>825</v>
      </c>
      <c r="S150" s="152" t="s">
        <v>637</v>
      </c>
      <c r="T150" s="152" t="s">
        <v>708</v>
      </c>
      <c r="U150" s="152" t="s">
        <v>644</v>
      </c>
      <c r="V150" s="152" t="s">
        <v>96</v>
      </c>
      <c r="W150" s="152" t="s">
        <v>643</v>
      </c>
      <c r="Y150" s="152" t="s">
        <v>637</v>
      </c>
      <c r="Z150" s="152" t="s">
        <v>642</v>
      </c>
      <c r="AA150" s="152" t="s">
        <v>641</v>
      </c>
      <c r="AB150" s="152" t="s">
        <v>640</v>
      </c>
      <c r="AC150" s="152" t="s">
        <v>708</v>
      </c>
      <c r="AD150" s="152" t="s">
        <v>787</v>
      </c>
      <c r="AE150" s="152" t="s">
        <v>637</v>
      </c>
      <c r="AF150" s="152" t="s">
        <v>637</v>
      </c>
      <c r="AG150" s="152" t="s">
        <v>637</v>
      </c>
      <c r="AH150" s="152" t="s">
        <v>636</v>
      </c>
      <c r="AI150" s="152" t="s">
        <v>655</v>
      </c>
      <c r="AJ150" s="152" t="s">
        <v>635</v>
      </c>
      <c r="AK150" s="152" t="s">
        <v>634</v>
      </c>
      <c r="AL150" s="152" t="s">
        <v>637</v>
      </c>
      <c r="AM150" s="152" t="s">
        <v>1191</v>
      </c>
      <c r="AO150" s="152" t="s">
        <v>715</v>
      </c>
      <c r="AP150" s="152" t="s">
        <v>628</v>
      </c>
      <c r="AQ150" s="152" t="s">
        <v>662</v>
      </c>
      <c r="AR150" s="152" t="s">
        <v>629</v>
      </c>
      <c r="AS150" s="152" t="s">
        <v>628</v>
      </c>
      <c r="AT150" s="152" t="s">
        <v>1190</v>
      </c>
      <c r="AU150" s="152">
        <v>2019</v>
      </c>
      <c r="AV150" s="339">
        <v>5995</v>
      </c>
      <c r="AW150" s="339">
        <v>1903598</v>
      </c>
      <c r="AX150" s="152">
        <v>10</v>
      </c>
      <c r="AY150" s="152">
        <v>0</v>
      </c>
      <c r="AZ150" s="152">
        <v>75</v>
      </c>
      <c r="BA150" s="152">
        <v>6.0148518999999998E-2</v>
      </c>
      <c r="BB150" s="152">
        <v>527</v>
      </c>
      <c r="BC150" s="152">
        <v>90</v>
      </c>
      <c r="BD150" s="152">
        <v>5.6079998</v>
      </c>
    </row>
    <row r="151" spans="1:56" x14ac:dyDescent="0.25">
      <c r="A151" s="152" t="s">
        <v>1056</v>
      </c>
      <c r="B151" s="152">
        <v>43.660372000000002</v>
      </c>
      <c r="C151" s="152">
        <v>-97.111422000000005</v>
      </c>
      <c r="D151" s="152">
        <v>32</v>
      </c>
      <c r="E151" s="152" t="s">
        <v>697</v>
      </c>
      <c r="F151" s="152">
        <v>2016</v>
      </c>
      <c r="G151" s="340">
        <v>42659.038194444445</v>
      </c>
      <c r="H151" s="152" t="s">
        <v>637</v>
      </c>
      <c r="I151" s="152" t="s">
        <v>696</v>
      </c>
      <c r="J151" s="152" t="s">
        <v>697</v>
      </c>
      <c r="L151" s="152" t="s">
        <v>1055</v>
      </c>
      <c r="M151" s="152" t="s">
        <v>712</v>
      </c>
      <c r="N151" s="152" t="s">
        <v>637</v>
      </c>
      <c r="O151" s="152" t="s">
        <v>647</v>
      </c>
      <c r="P151" s="152" t="s">
        <v>696</v>
      </c>
      <c r="Q151" s="152" t="s">
        <v>637</v>
      </c>
      <c r="R151" s="152" t="s">
        <v>701</v>
      </c>
      <c r="S151" s="152" t="s">
        <v>637</v>
      </c>
      <c r="T151" s="152" t="s">
        <v>701</v>
      </c>
      <c r="U151" s="152" t="s">
        <v>644</v>
      </c>
      <c r="V151" s="152" t="s">
        <v>96</v>
      </c>
      <c r="W151" s="152" t="s">
        <v>643</v>
      </c>
      <c r="Y151" s="152" t="s">
        <v>637</v>
      </c>
      <c r="Z151" s="152" t="s">
        <v>642</v>
      </c>
      <c r="AA151" s="152" t="s">
        <v>665</v>
      </c>
      <c r="AB151" s="152" t="s">
        <v>640</v>
      </c>
      <c r="AC151" s="152" t="s">
        <v>701</v>
      </c>
      <c r="AD151" s="152" t="s">
        <v>700</v>
      </c>
      <c r="AE151" s="152" t="s">
        <v>637</v>
      </c>
      <c r="AF151" s="152" t="s">
        <v>637</v>
      </c>
      <c r="AG151" s="152" t="s">
        <v>637</v>
      </c>
      <c r="AH151" s="152" t="s">
        <v>664</v>
      </c>
      <c r="AI151" s="152" t="s">
        <v>699</v>
      </c>
      <c r="AJ151" s="152" t="s">
        <v>696</v>
      </c>
      <c r="AL151" s="152" t="s">
        <v>637</v>
      </c>
      <c r="AM151" s="152" t="s">
        <v>1189</v>
      </c>
      <c r="AO151" s="152" t="s">
        <v>715</v>
      </c>
      <c r="AP151" s="152" t="s">
        <v>697</v>
      </c>
      <c r="AQ151" s="152" t="s">
        <v>671</v>
      </c>
      <c r="AS151" s="152" t="s">
        <v>696</v>
      </c>
      <c r="AT151" s="152" t="s">
        <v>702</v>
      </c>
      <c r="AU151" s="152">
        <v>2016</v>
      </c>
      <c r="AV151" s="339">
        <v>5995</v>
      </c>
      <c r="AW151" s="339">
        <v>1613274</v>
      </c>
      <c r="AX151" s="152">
        <v>16</v>
      </c>
      <c r="AY151" s="152">
        <v>-1</v>
      </c>
      <c r="AZ151" s="152">
        <v>75</v>
      </c>
      <c r="BA151" s="152">
        <v>0.33802162000000002</v>
      </c>
      <c r="BB151" s="152">
        <v>117</v>
      </c>
      <c r="BC151" s="152">
        <v>90</v>
      </c>
      <c r="BD151" s="152">
        <v>5.6079998</v>
      </c>
    </row>
    <row r="152" spans="1:56" x14ac:dyDescent="0.25">
      <c r="A152" s="152" t="s">
        <v>1056</v>
      </c>
      <c r="B152" s="152">
        <v>43.660527000000002</v>
      </c>
      <c r="C152" s="152">
        <v>-97.111625000000004</v>
      </c>
      <c r="D152" s="152">
        <v>32</v>
      </c>
      <c r="E152" s="152" t="s">
        <v>652</v>
      </c>
      <c r="F152" s="152">
        <v>2018</v>
      </c>
      <c r="G152" s="340">
        <v>43154.416666666664</v>
      </c>
      <c r="H152" s="152" t="s">
        <v>637</v>
      </c>
      <c r="I152" s="152" t="s">
        <v>651</v>
      </c>
      <c r="J152" s="152" t="s">
        <v>650</v>
      </c>
      <c r="K152" s="152" t="s">
        <v>1188</v>
      </c>
      <c r="L152" s="152" t="s">
        <v>1055</v>
      </c>
      <c r="M152" s="152" t="s">
        <v>648</v>
      </c>
      <c r="N152" s="152" t="s">
        <v>637</v>
      </c>
      <c r="O152" s="152" t="s">
        <v>647</v>
      </c>
      <c r="P152" s="152" t="s">
        <v>646</v>
      </c>
      <c r="Q152" s="152" t="s">
        <v>637</v>
      </c>
      <c r="R152" s="152" t="s">
        <v>778</v>
      </c>
      <c r="S152" s="152" t="s">
        <v>637</v>
      </c>
      <c r="T152" s="152" t="s">
        <v>777</v>
      </c>
      <c r="U152" s="152" t="s">
        <v>644</v>
      </c>
      <c r="V152" s="152" t="s">
        <v>96</v>
      </c>
      <c r="W152" s="152" t="s">
        <v>643</v>
      </c>
      <c r="Y152" s="152" t="s">
        <v>637</v>
      </c>
      <c r="Z152" s="152" t="s">
        <v>642</v>
      </c>
      <c r="AA152" s="152" t="s">
        <v>641</v>
      </c>
      <c r="AB152" s="152" t="s">
        <v>640</v>
      </c>
      <c r="AC152" s="152" t="s">
        <v>777</v>
      </c>
      <c r="AD152" s="152" t="s">
        <v>718</v>
      </c>
      <c r="AE152" s="152" t="s">
        <v>637</v>
      </c>
      <c r="AF152" s="152" t="s">
        <v>637</v>
      </c>
      <c r="AG152" s="152" t="s">
        <v>637</v>
      </c>
      <c r="AH152" s="152" t="s">
        <v>677</v>
      </c>
      <c r="AI152" s="152" t="s">
        <v>655</v>
      </c>
      <c r="AJ152" s="152" t="s">
        <v>635</v>
      </c>
      <c r="AK152" s="152" t="s">
        <v>634</v>
      </c>
      <c r="AL152" s="152" t="s">
        <v>633</v>
      </c>
      <c r="AM152" s="152" t="s">
        <v>898</v>
      </c>
      <c r="AO152" s="152" t="s">
        <v>715</v>
      </c>
      <c r="AP152" s="152" t="s">
        <v>628</v>
      </c>
      <c r="AQ152" s="152" t="s">
        <v>630</v>
      </c>
      <c r="AR152" s="152" t="s">
        <v>629</v>
      </c>
      <c r="AS152" s="152" t="s">
        <v>628</v>
      </c>
      <c r="AT152" s="152" t="s">
        <v>677</v>
      </c>
      <c r="AU152" s="152">
        <v>2018</v>
      </c>
      <c r="AV152" s="339">
        <v>5995</v>
      </c>
      <c r="AW152" s="339">
        <v>1803068</v>
      </c>
      <c r="AX152" s="152">
        <v>23</v>
      </c>
      <c r="AY152" s="152">
        <v>0</v>
      </c>
      <c r="AZ152" s="152">
        <v>75</v>
      </c>
      <c r="BA152" s="152">
        <v>5.7135455000000002E-2</v>
      </c>
      <c r="BB152" s="152">
        <v>339</v>
      </c>
      <c r="BC152" s="152">
        <v>90</v>
      </c>
      <c r="BD152" s="152">
        <v>5.6079998</v>
      </c>
    </row>
    <row r="153" spans="1:56" x14ac:dyDescent="0.25">
      <c r="A153" s="152" t="s">
        <v>1056</v>
      </c>
      <c r="B153" s="152">
        <v>43.660753999999997</v>
      </c>
      <c r="C153" s="152">
        <v>-97.111919</v>
      </c>
      <c r="D153" s="152">
        <v>32</v>
      </c>
      <c r="E153" s="152" t="s">
        <v>697</v>
      </c>
      <c r="F153" s="152">
        <v>2018</v>
      </c>
      <c r="G153" s="340">
        <v>43256.1875</v>
      </c>
      <c r="H153" s="152" t="s">
        <v>637</v>
      </c>
      <c r="I153" s="152" t="s">
        <v>696</v>
      </c>
      <c r="J153" s="152" t="s">
        <v>697</v>
      </c>
      <c r="L153" s="152" t="s">
        <v>1055</v>
      </c>
      <c r="M153" s="152" t="s">
        <v>736</v>
      </c>
      <c r="N153" s="152" t="s">
        <v>637</v>
      </c>
      <c r="O153" s="152" t="s">
        <v>647</v>
      </c>
      <c r="P153" s="152" t="s">
        <v>696</v>
      </c>
      <c r="Q153" s="152" t="s">
        <v>637</v>
      </c>
      <c r="R153" s="152" t="s">
        <v>701</v>
      </c>
      <c r="S153" s="152" t="s">
        <v>637</v>
      </c>
      <c r="T153" s="152" t="s">
        <v>701</v>
      </c>
      <c r="U153" s="152" t="s">
        <v>644</v>
      </c>
      <c r="V153" s="152" t="s">
        <v>96</v>
      </c>
      <c r="W153" s="152" t="s">
        <v>643</v>
      </c>
      <c r="Y153" s="152" t="s">
        <v>637</v>
      </c>
      <c r="Z153" s="152" t="s">
        <v>642</v>
      </c>
      <c r="AA153" s="152" t="s">
        <v>665</v>
      </c>
      <c r="AB153" s="152" t="s">
        <v>640</v>
      </c>
      <c r="AC153" s="152" t="s">
        <v>701</v>
      </c>
      <c r="AD153" s="152" t="s">
        <v>771</v>
      </c>
      <c r="AE153" s="152" t="s">
        <v>637</v>
      </c>
      <c r="AF153" s="152" t="s">
        <v>637</v>
      </c>
      <c r="AG153" s="152" t="s">
        <v>637</v>
      </c>
      <c r="AH153" s="152" t="s">
        <v>664</v>
      </c>
      <c r="AI153" s="152" t="s">
        <v>699</v>
      </c>
      <c r="AJ153" s="152" t="s">
        <v>696</v>
      </c>
      <c r="AL153" s="152" t="s">
        <v>637</v>
      </c>
      <c r="AM153" s="152" t="s">
        <v>970</v>
      </c>
      <c r="AO153" s="152" t="s">
        <v>715</v>
      </c>
      <c r="AP153" s="152" t="s">
        <v>697</v>
      </c>
      <c r="AQ153" s="152" t="s">
        <v>671</v>
      </c>
      <c r="AS153" s="152" t="s">
        <v>696</v>
      </c>
      <c r="AT153" s="152" t="s">
        <v>702</v>
      </c>
      <c r="AU153" s="152">
        <v>2018</v>
      </c>
      <c r="AV153" s="339">
        <v>5995</v>
      </c>
      <c r="AW153" s="339">
        <v>1806824</v>
      </c>
      <c r="AX153" s="152">
        <v>5</v>
      </c>
      <c r="AY153" s="152">
        <v>-1</v>
      </c>
      <c r="AZ153" s="152">
        <v>75</v>
      </c>
      <c r="BA153" s="152">
        <v>2.78139E-4</v>
      </c>
      <c r="BB153" s="152">
        <v>409</v>
      </c>
      <c r="BC153" s="152">
        <v>90</v>
      </c>
      <c r="BD153" s="152">
        <v>5.6079998</v>
      </c>
    </row>
    <row r="154" spans="1:56" x14ac:dyDescent="0.25">
      <c r="A154" s="152" t="s">
        <v>1056</v>
      </c>
      <c r="B154" s="152">
        <v>43.660984999999997</v>
      </c>
      <c r="C154" s="152">
        <v>-97.112217999999999</v>
      </c>
      <c r="D154" s="152">
        <v>32</v>
      </c>
      <c r="E154" s="152" t="s">
        <v>697</v>
      </c>
      <c r="F154" s="152">
        <v>2019</v>
      </c>
      <c r="G154" s="340">
        <v>43651.138888888891</v>
      </c>
      <c r="H154" s="152" t="s">
        <v>637</v>
      </c>
      <c r="I154" s="152" t="s">
        <v>696</v>
      </c>
      <c r="J154" s="152" t="s">
        <v>697</v>
      </c>
      <c r="L154" s="152" t="s">
        <v>1055</v>
      </c>
      <c r="M154" s="152" t="s">
        <v>648</v>
      </c>
      <c r="N154" s="152" t="s">
        <v>637</v>
      </c>
      <c r="O154" s="152" t="s">
        <v>647</v>
      </c>
      <c r="P154" s="152" t="s">
        <v>696</v>
      </c>
      <c r="Q154" s="152" t="s">
        <v>637</v>
      </c>
      <c r="R154" s="152" t="s">
        <v>701</v>
      </c>
      <c r="S154" s="152" t="s">
        <v>637</v>
      </c>
      <c r="T154" s="152" t="s">
        <v>701</v>
      </c>
      <c r="U154" s="152" t="s">
        <v>644</v>
      </c>
      <c r="V154" s="152" t="s">
        <v>96</v>
      </c>
      <c r="W154" s="152" t="s">
        <v>643</v>
      </c>
      <c r="Y154" s="152" t="s">
        <v>637</v>
      </c>
      <c r="Z154" s="152" t="s">
        <v>696</v>
      </c>
      <c r="AA154" s="152" t="s">
        <v>665</v>
      </c>
      <c r="AB154" s="152" t="s">
        <v>640</v>
      </c>
      <c r="AC154" s="152" t="s">
        <v>701</v>
      </c>
      <c r="AD154" s="152" t="s">
        <v>805</v>
      </c>
      <c r="AE154" s="152" t="s">
        <v>637</v>
      </c>
      <c r="AF154" s="152" t="s">
        <v>637</v>
      </c>
      <c r="AG154" s="152" t="s">
        <v>637</v>
      </c>
      <c r="AH154" s="152" t="s">
        <v>664</v>
      </c>
      <c r="AI154" s="152" t="s">
        <v>699</v>
      </c>
      <c r="AJ154" s="152" t="s">
        <v>696</v>
      </c>
      <c r="AL154" s="152" t="s">
        <v>637</v>
      </c>
      <c r="AM154" s="152" t="s">
        <v>894</v>
      </c>
      <c r="AO154" s="152" t="s">
        <v>715</v>
      </c>
      <c r="AP154" s="152" t="s">
        <v>697</v>
      </c>
      <c r="AQ154" s="152" t="s">
        <v>630</v>
      </c>
      <c r="AS154" s="152" t="s">
        <v>696</v>
      </c>
      <c r="AT154" s="152" t="s">
        <v>702</v>
      </c>
      <c r="AU154" s="152">
        <v>2019</v>
      </c>
      <c r="AV154" s="339">
        <v>5995</v>
      </c>
      <c r="AW154" s="339">
        <v>1908550</v>
      </c>
      <c r="AX154" s="152">
        <v>5</v>
      </c>
      <c r="AY154" s="152">
        <v>-1</v>
      </c>
      <c r="AZ154" s="152">
        <v>75</v>
      </c>
      <c r="BA154" s="152">
        <v>9.3061362999999994E-2</v>
      </c>
      <c r="BB154" s="152">
        <v>569</v>
      </c>
      <c r="BC154" s="152">
        <v>90</v>
      </c>
      <c r="BD154" s="152">
        <v>5.6079998</v>
      </c>
    </row>
    <row r="155" spans="1:56" x14ac:dyDescent="0.25">
      <c r="A155" s="152" t="s">
        <v>1056</v>
      </c>
      <c r="B155" s="152">
        <v>43.661009</v>
      </c>
      <c r="C155" s="152">
        <v>-97.112249000000006</v>
      </c>
      <c r="D155" s="152">
        <v>32</v>
      </c>
      <c r="E155" s="152" t="s">
        <v>697</v>
      </c>
      <c r="F155" s="152">
        <v>2018</v>
      </c>
      <c r="G155" s="340">
        <v>43260.416666666664</v>
      </c>
      <c r="H155" s="152" t="s">
        <v>637</v>
      </c>
      <c r="I155" s="152" t="s">
        <v>696</v>
      </c>
      <c r="J155" s="152" t="s">
        <v>697</v>
      </c>
      <c r="L155" s="152" t="s">
        <v>1055</v>
      </c>
      <c r="M155" s="152" t="s">
        <v>693</v>
      </c>
      <c r="N155" s="152" t="s">
        <v>637</v>
      </c>
      <c r="O155" s="152" t="s">
        <v>647</v>
      </c>
      <c r="P155" s="152" t="s">
        <v>696</v>
      </c>
      <c r="Q155" s="152" t="s">
        <v>637</v>
      </c>
      <c r="R155" s="152" t="s">
        <v>701</v>
      </c>
      <c r="S155" s="152" t="s">
        <v>637</v>
      </c>
      <c r="T155" s="152" t="s">
        <v>701</v>
      </c>
      <c r="U155" s="152" t="s">
        <v>644</v>
      </c>
      <c r="V155" s="152" t="s">
        <v>96</v>
      </c>
      <c r="W155" s="152" t="s">
        <v>643</v>
      </c>
      <c r="Y155" s="152" t="s">
        <v>637</v>
      </c>
      <c r="Z155" s="152" t="s">
        <v>642</v>
      </c>
      <c r="AA155" s="152" t="s">
        <v>641</v>
      </c>
      <c r="AB155" s="152" t="s">
        <v>640</v>
      </c>
      <c r="AC155" s="152" t="s">
        <v>701</v>
      </c>
      <c r="AD155" s="152" t="s">
        <v>771</v>
      </c>
      <c r="AE155" s="152" t="s">
        <v>637</v>
      </c>
      <c r="AF155" s="152" t="s">
        <v>637</v>
      </c>
      <c r="AG155" s="152" t="s">
        <v>637</v>
      </c>
      <c r="AH155" s="152" t="s">
        <v>664</v>
      </c>
      <c r="AI155" s="152" t="s">
        <v>699</v>
      </c>
      <c r="AJ155" s="152" t="s">
        <v>696</v>
      </c>
      <c r="AL155" s="152" t="s">
        <v>637</v>
      </c>
      <c r="AM155" s="152" t="s">
        <v>898</v>
      </c>
      <c r="AO155" s="152" t="s">
        <v>715</v>
      </c>
      <c r="AP155" s="152" t="s">
        <v>697</v>
      </c>
      <c r="AQ155" s="152" t="s">
        <v>671</v>
      </c>
      <c r="AS155" s="152" t="s">
        <v>696</v>
      </c>
      <c r="AT155" s="152" t="s">
        <v>702</v>
      </c>
      <c r="AU155" s="152">
        <v>2018</v>
      </c>
      <c r="AV155" s="339">
        <v>5995</v>
      </c>
      <c r="AW155" s="339">
        <v>1806715</v>
      </c>
      <c r="AX155" s="152">
        <v>9</v>
      </c>
      <c r="AY155" s="152">
        <v>-1</v>
      </c>
      <c r="AZ155" s="152">
        <v>75</v>
      </c>
      <c r="BA155" s="152">
        <v>0.11538720500000001</v>
      </c>
      <c r="BB155" s="152">
        <v>404</v>
      </c>
      <c r="BC155" s="152">
        <v>90</v>
      </c>
      <c r="BD155" s="152">
        <v>5.6079998</v>
      </c>
    </row>
    <row r="156" spans="1:56" x14ac:dyDescent="0.25">
      <c r="A156" s="152" t="s">
        <v>1056</v>
      </c>
      <c r="B156" s="152">
        <v>43.661436000000002</v>
      </c>
      <c r="C156" s="152">
        <v>-97.112803</v>
      </c>
      <c r="D156" s="152">
        <v>32</v>
      </c>
      <c r="E156" s="152" t="s">
        <v>697</v>
      </c>
      <c r="F156" s="152">
        <v>2016</v>
      </c>
      <c r="G156" s="340">
        <v>42499.450694444444</v>
      </c>
      <c r="H156" s="152" t="s">
        <v>637</v>
      </c>
      <c r="I156" s="152" t="s">
        <v>696</v>
      </c>
      <c r="J156" s="152" t="s">
        <v>697</v>
      </c>
      <c r="L156" s="152" t="s">
        <v>1055</v>
      </c>
      <c r="M156" s="152" t="s">
        <v>685</v>
      </c>
      <c r="N156" s="152" t="s">
        <v>637</v>
      </c>
      <c r="O156" s="152" t="s">
        <v>647</v>
      </c>
      <c r="P156" s="152" t="s">
        <v>696</v>
      </c>
      <c r="Q156" s="152" t="s">
        <v>637</v>
      </c>
      <c r="R156" s="152" t="s">
        <v>701</v>
      </c>
      <c r="S156" s="152" t="s">
        <v>637</v>
      </c>
      <c r="T156" s="152" t="s">
        <v>701</v>
      </c>
      <c r="U156" s="152" t="s">
        <v>644</v>
      </c>
      <c r="V156" s="152" t="s">
        <v>96</v>
      </c>
      <c r="W156" s="152" t="s">
        <v>643</v>
      </c>
      <c r="Y156" s="152" t="s">
        <v>637</v>
      </c>
      <c r="Z156" s="152" t="s">
        <v>642</v>
      </c>
      <c r="AA156" s="152" t="s">
        <v>641</v>
      </c>
      <c r="AB156" s="152" t="s">
        <v>640</v>
      </c>
      <c r="AC156" s="152" t="s">
        <v>701</v>
      </c>
      <c r="AD156" s="152" t="s">
        <v>752</v>
      </c>
      <c r="AE156" s="152" t="s">
        <v>637</v>
      </c>
      <c r="AF156" s="152" t="s">
        <v>637</v>
      </c>
      <c r="AG156" s="152" t="s">
        <v>637</v>
      </c>
      <c r="AH156" s="152" t="s">
        <v>664</v>
      </c>
      <c r="AI156" s="152" t="s">
        <v>699</v>
      </c>
      <c r="AJ156" s="152" t="s">
        <v>696</v>
      </c>
      <c r="AL156" s="152" t="s">
        <v>637</v>
      </c>
      <c r="AM156" s="152" t="s">
        <v>1187</v>
      </c>
      <c r="AO156" s="152" t="s">
        <v>715</v>
      </c>
      <c r="AP156" s="152" t="s">
        <v>697</v>
      </c>
      <c r="AQ156" s="152" t="s">
        <v>630</v>
      </c>
      <c r="AS156" s="152" t="s">
        <v>696</v>
      </c>
      <c r="AT156" s="152" t="s">
        <v>702</v>
      </c>
      <c r="AU156" s="152">
        <v>2016</v>
      </c>
      <c r="AV156" s="339">
        <v>5995</v>
      </c>
      <c r="AW156" s="339">
        <v>1605289</v>
      </c>
      <c r="AX156" s="152">
        <v>9</v>
      </c>
      <c r="AY156" s="152">
        <v>-1</v>
      </c>
      <c r="AZ156" s="152">
        <v>75</v>
      </c>
      <c r="BA156" s="152">
        <v>3.8525136000000001E-2</v>
      </c>
      <c r="BB156" s="152">
        <v>52</v>
      </c>
      <c r="BC156" s="152">
        <v>90</v>
      </c>
      <c r="BD156" s="152">
        <v>5.6079998</v>
      </c>
    </row>
    <row r="157" spans="1:56" x14ac:dyDescent="0.25">
      <c r="A157" s="152" t="s">
        <v>1056</v>
      </c>
      <c r="B157" s="152">
        <v>43.664718999999998</v>
      </c>
      <c r="C157" s="152">
        <v>-97.117510999999993</v>
      </c>
      <c r="D157" s="152">
        <v>32</v>
      </c>
      <c r="E157" s="152" t="s">
        <v>697</v>
      </c>
      <c r="F157" s="152">
        <v>2018</v>
      </c>
      <c r="G157" s="340">
        <v>43247.910416666666</v>
      </c>
      <c r="H157" s="152" t="s">
        <v>637</v>
      </c>
      <c r="I157" s="152" t="s">
        <v>696</v>
      </c>
      <c r="J157" s="152" t="s">
        <v>697</v>
      </c>
      <c r="L157" s="152" t="s">
        <v>1055</v>
      </c>
      <c r="M157" s="152" t="s">
        <v>712</v>
      </c>
      <c r="N157" s="152" t="s">
        <v>637</v>
      </c>
      <c r="O157" s="152" t="s">
        <v>647</v>
      </c>
      <c r="P157" s="152" t="s">
        <v>696</v>
      </c>
      <c r="Q157" s="152" t="s">
        <v>637</v>
      </c>
      <c r="R157" s="152" t="s">
        <v>701</v>
      </c>
      <c r="S157" s="152" t="s">
        <v>637</v>
      </c>
      <c r="T157" s="152" t="s">
        <v>701</v>
      </c>
      <c r="U157" s="152" t="s">
        <v>644</v>
      </c>
      <c r="V157" s="152" t="s">
        <v>96</v>
      </c>
      <c r="W157" s="152" t="s">
        <v>643</v>
      </c>
      <c r="Y157" s="152" t="s">
        <v>637</v>
      </c>
      <c r="Z157" s="152" t="s">
        <v>642</v>
      </c>
      <c r="AA157" s="152" t="s">
        <v>665</v>
      </c>
      <c r="AB157" s="152" t="s">
        <v>640</v>
      </c>
      <c r="AC157" s="152" t="s">
        <v>701</v>
      </c>
      <c r="AD157" s="152" t="s">
        <v>752</v>
      </c>
      <c r="AE157" s="152" t="s">
        <v>637</v>
      </c>
      <c r="AF157" s="152" t="s">
        <v>637</v>
      </c>
      <c r="AG157" s="152" t="s">
        <v>637</v>
      </c>
      <c r="AH157" s="152" t="s">
        <v>664</v>
      </c>
      <c r="AI157" s="152" t="s">
        <v>699</v>
      </c>
      <c r="AJ157" s="152" t="s">
        <v>696</v>
      </c>
      <c r="AL157" s="152" t="s">
        <v>637</v>
      </c>
      <c r="AM157" s="152" t="s">
        <v>1133</v>
      </c>
      <c r="AO157" s="152" t="s">
        <v>715</v>
      </c>
      <c r="AP157" s="152" t="s">
        <v>697</v>
      </c>
      <c r="AQ157" s="152" t="s">
        <v>630</v>
      </c>
      <c r="AS157" s="152" t="s">
        <v>696</v>
      </c>
      <c r="AT157" s="152" t="s">
        <v>702</v>
      </c>
      <c r="AU157" s="152">
        <v>2018</v>
      </c>
      <c r="AV157" s="339">
        <v>5995</v>
      </c>
      <c r="AW157" s="339">
        <v>1805938</v>
      </c>
      <c r="AX157" s="152">
        <v>27</v>
      </c>
      <c r="AY157" s="152">
        <v>-1</v>
      </c>
      <c r="AZ157" s="152">
        <v>75</v>
      </c>
      <c r="BA157" s="152">
        <v>4.8383703369999997</v>
      </c>
      <c r="BB157" s="152">
        <v>391</v>
      </c>
      <c r="BC157" s="152">
        <v>90</v>
      </c>
      <c r="BD157" s="152">
        <v>5.6079998</v>
      </c>
    </row>
    <row r="158" spans="1:56" x14ac:dyDescent="0.25">
      <c r="A158" s="152" t="s">
        <v>1056</v>
      </c>
      <c r="B158" s="152">
        <v>43.665398000000003</v>
      </c>
      <c r="C158" s="152">
        <v>-97.119067999999999</v>
      </c>
      <c r="D158" s="152">
        <v>32</v>
      </c>
      <c r="E158" s="152" t="s">
        <v>697</v>
      </c>
      <c r="F158" s="152">
        <v>2016</v>
      </c>
      <c r="G158" s="340">
        <v>42718.090277777781</v>
      </c>
      <c r="H158" s="152" t="s">
        <v>637</v>
      </c>
      <c r="I158" s="152" t="s">
        <v>696</v>
      </c>
      <c r="J158" s="152" t="s">
        <v>697</v>
      </c>
      <c r="L158" s="152" t="s">
        <v>1055</v>
      </c>
      <c r="M158" s="152" t="s">
        <v>676</v>
      </c>
      <c r="N158" s="152" t="s">
        <v>637</v>
      </c>
      <c r="O158" s="152" t="s">
        <v>647</v>
      </c>
      <c r="P158" s="152" t="s">
        <v>696</v>
      </c>
      <c r="Q158" s="152" t="s">
        <v>637</v>
      </c>
      <c r="R158" s="152" t="s">
        <v>701</v>
      </c>
      <c r="S158" s="152" t="s">
        <v>637</v>
      </c>
      <c r="T158" s="152" t="s">
        <v>701</v>
      </c>
      <c r="U158" s="152" t="s">
        <v>644</v>
      </c>
      <c r="V158" s="152" t="s">
        <v>96</v>
      </c>
      <c r="W158" s="152" t="s">
        <v>643</v>
      </c>
      <c r="Y158" s="152" t="s">
        <v>637</v>
      </c>
      <c r="Z158" s="152" t="s">
        <v>642</v>
      </c>
      <c r="AA158" s="152" t="s">
        <v>665</v>
      </c>
      <c r="AB158" s="152" t="s">
        <v>640</v>
      </c>
      <c r="AC158" s="152" t="s">
        <v>701</v>
      </c>
      <c r="AD158" s="152" t="s">
        <v>681</v>
      </c>
      <c r="AE158" s="152" t="s">
        <v>637</v>
      </c>
      <c r="AF158" s="152" t="s">
        <v>637</v>
      </c>
      <c r="AG158" s="152" t="s">
        <v>637</v>
      </c>
      <c r="AH158" s="152" t="s">
        <v>664</v>
      </c>
      <c r="AI158" s="152" t="s">
        <v>699</v>
      </c>
      <c r="AJ158" s="152" t="s">
        <v>696</v>
      </c>
      <c r="AL158" s="152" t="s">
        <v>637</v>
      </c>
      <c r="AM158" s="152" t="s">
        <v>1186</v>
      </c>
      <c r="AO158" s="152" t="s">
        <v>715</v>
      </c>
      <c r="AP158" s="152" t="s">
        <v>697</v>
      </c>
      <c r="AQ158" s="152" t="s">
        <v>662</v>
      </c>
      <c r="AS158" s="152" t="s">
        <v>696</v>
      </c>
      <c r="AT158" s="152" t="s">
        <v>702</v>
      </c>
      <c r="AU158" s="152">
        <v>2016</v>
      </c>
      <c r="AV158" s="339">
        <v>5995</v>
      </c>
      <c r="AW158" s="339">
        <v>1616799</v>
      </c>
      <c r="AX158" s="152">
        <v>14</v>
      </c>
      <c r="AY158" s="152">
        <v>-1</v>
      </c>
      <c r="AZ158" s="152">
        <v>75</v>
      </c>
      <c r="BA158" s="152">
        <v>6.784295814</v>
      </c>
      <c r="BB158" s="152">
        <v>170</v>
      </c>
      <c r="BC158" s="152">
        <v>90</v>
      </c>
      <c r="BD158" s="152">
        <v>5.6079998</v>
      </c>
    </row>
    <row r="159" spans="1:56" x14ac:dyDescent="0.25">
      <c r="A159" s="152" t="s">
        <v>1056</v>
      </c>
      <c r="B159" s="152">
        <v>43.665477000000003</v>
      </c>
      <c r="C159" s="152">
        <v>-97.119292999999999</v>
      </c>
      <c r="D159" s="152">
        <v>32</v>
      </c>
      <c r="E159" s="152" t="s">
        <v>652</v>
      </c>
      <c r="F159" s="152">
        <v>2018</v>
      </c>
      <c r="G159" s="340">
        <v>43439.472916666666</v>
      </c>
      <c r="H159" s="152" t="s">
        <v>637</v>
      </c>
      <c r="I159" s="152" t="s">
        <v>1185</v>
      </c>
      <c r="J159" s="152" t="s">
        <v>650</v>
      </c>
      <c r="L159" s="152" t="s">
        <v>1055</v>
      </c>
      <c r="M159" s="152" t="s">
        <v>676</v>
      </c>
      <c r="N159" s="152" t="s">
        <v>637</v>
      </c>
      <c r="O159" s="152" t="s">
        <v>647</v>
      </c>
      <c r="P159" s="152" t="s">
        <v>721</v>
      </c>
      <c r="Q159" s="152" t="s">
        <v>637</v>
      </c>
      <c r="R159" s="152" t="s">
        <v>1184</v>
      </c>
      <c r="S159" s="152" t="s">
        <v>637</v>
      </c>
      <c r="T159" s="152" t="s">
        <v>777</v>
      </c>
      <c r="U159" s="152" t="s">
        <v>644</v>
      </c>
      <c r="V159" s="152" t="s">
        <v>96</v>
      </c>
      <c r="W159" s="152" t="s">
        <v>643</v>
      </c>
      <c r="Y159" s="152" t="s">
        <v>637</v>
      </c>
      <c r="Z159" s="152" t="s">
        <v>642</v>
      </c>
      <c r="AA159" s="152" t="s">
        <v>641</v>
      </c>
      <c r="AB159" s="152" t="s">
        <v>640</v>
      </c>
      <c r="AC159" s="152" t="s">
        <v>777</v>
      </c>
      <c r="AD159" s="152" t="s">
        <v>681</v>
      </c>
      <c r="AE159" s="152" t="s">
        <v>637</v>
      </c>
      <c r="AF159" s="152" t="s">
        <v>637</v>
      </c>
      <c r="AG159" s="152" t="s">
        <v>637</v>
      </c>
      <c r="AH159" s="152" t="s">
        <v>664</v>
      </c>
      <c r="AI159" s="152" t="s">
        <v>628</v>
      </c>
      <c r="AJ159" s="152" t="s">
        <v>635</v>
      </c>
      <c r="AK159" s="152" t="s">
        <v>634</v>
      </c>
      <c r="AL159" s="152" t="s">
        <v>637</v>
      </c>
      <c r="AM159" s="152" t="s">
        <v>1183</v>
      </c>
      <c r="AO159" s="152" t="s">
        <v>715</v>
      </c>
      <c r="AP159" s="152" t="s">
        <v>875</v>
      </c>
      <c r="AQ159" s="152" t="s">
        <v>769</v>
      </c>
      <c r="AR159" s="152" t="s">
        <v>629</v>
      </c>
      <c r="AS159" s="152" t="s">
        <v>628</v>
      </c>
      <c r="AT159" s="152" t="s">
        <v>702</v>
      </c>
      <c r="AU159" s="152">
        <v>2018</v>
      </c>
      <c r="AV159" s="339">
        <v>5995</v>
      </c>
      <c r="AW159" s="339">
        <v>1816062</v>
      </c>
      <c r="AX159" s="152">
        <v>5</v>
      </c>
      <c r="AY159" s="152">
        <v>0</v>
      </c>
      <c r="AZ159" s="152">
        <v>75</v>
      </c>
      <c r="BA159" s="152">
        <v>10.008967357</v>
      </c>
      <c r="BB159" s="152">
        <v>489</v>
      </c>
      <c r="BC159" s="152">
        <v>90</v>
      </c>
      <c r="BD159" s="152">
        <v>5.6079998</v>
      </c>
    </row>
    <row r="160" spans="1:56" x14ac:dyDescent="0.25">
      <c r="A160" s="152" t="s">
        <v>1056</v>
      </c>
      <c r="B160" s="152">
        <v>43.665556000000002</v>
      </c>
      <c r="C160" s="152">
        <v>-97.119512999999998</v>
      </c>
      <c r="D160" s="152">
        <v>32</v>
      </c>
      <c r="E160" s="152" t="s">
        <v>697</v>
      </c>
      <c r="F160" s="152">
        <v>2020</v>
      </c>
      <c r="G160" s="340">
        <v>44019.918055555558</v>
      </c>
      <c r="H160" s="152" t="s">
        <v>637</v>
      </c>
      <c r="I160" s="152" t="s">
        <v>696</v>
      </c>
      <c r="J160" s="152" t="s">
        <v>697</v>
      </c>
      <c r="L160" s="152" t="s">
        <v>1055</v>
      </c>
      <c r="M160" s="152" t="s">
        <v>736</v>
      </c>
      <c r="N160" s="152" t="s">
        <v>637</v>
      </c>
      <c r="O160" s="152" t="s">
        <v>647</v>
      </c>
      <c r="P160" s="152" t="s">
        <v>696</v>
      </c>
      <c r="Q160" s="152" t="s">
        <v>637</v>
      </c>
      <c r="R160" s="152" t="s">
        <v>701</v>
      </c>
      <c r="S160" s="152" t="s">
        <v>637</v>
      </c>
      <c r="T160" s="152" t="s">
        <v>701</v>
      </c>
      <c r="U160" s="152" t="s">
        <v>644</v>
      </c>
      <c r="V160" s="152" t="s">
        <v>96</v>
      </c>
      <c r="W160" s="152" t="s">
        <v>643</v>
      </c>
      <c r="Y160" s="152" t="s">
        <v>637</v>
      </c>
      <c r="Z160" s="152" t="s">
        <v>696</v>
      </c>
      <c r="AA160" s="152" t="s">
        <v>665</v>
      </c>
      <c r="AB160" s="152" t="s">
        <v>640</v>
      </c>
      <c r="AC160" s="152" t="s">
        <v>701</v>
      </c>
      <c r="AD160" s="152" t="s">
        <v>805</v>
      </c>
      <c r="AE160" s="152" t="s">
        <v>637</v>
      </c>
      <c r="AF160" s="152" t="s">
        <v>637</v>
      </c>
      <c r="AG160" s="152" t="s">
        <v>637</v>
      </c>
      <c r="AH160" s="152" t="s">
        <v>664</v>
      </c>
      <c r="AI160" s="152" t="s">
        <v>699</v>
      </c>
      <c r="AJ160" s="152" t="s">
        <v>696</v>
      </c>
      <c r="AL160" s="152" t="s">
        <v>637</v>
      </c>
      <c r="AM160" s="152" t="s">
        <v>1182</v>
      </c>
      <c r="AO160" s="152" t="s">
        <v>715</v>
      </c>
      <c r="AP160" s="152" t="s">
        <v>697</v>
      </c>
      <c r="AQ160" s="152" t="s">
        <v>703</v>
      </c>
      <c r="AS160" s="152" t="s">
        <v>696</v>
      </c>
      <c r="AT160" s="152" t="s">
        <v>702</v>
      </c>
      <c r="AU160" s="152">
        <v>2020</v>
      </c>
      <c r="AV160" s="339">
        <v>5995</v>
      </c>
      <c r="AW160" s="339">
        <v>2007507</v>
      </c>
      <c r="AX160" s="152">
        <v>7</v>
      </c>
      <c r="AY160" s="152">
        <v>-1</v>
      </c>
      <c r="AZ160" s="152">
        <v>75</v>
      </c>
      <c r="BA160" s="152">
        <v>7.8728113000000004</v>
      </c>
      <c r="BB160" s="152">
        <v>697</v>
      </c>
      <c r="BC160" s="152">
        <v>90</v>
      </c>
      <c r="BD160" s="152">
        <v>5.6079998</v>
      </c>
    </row>
    <row r="161" spans="1:56" x14ac:dyDescent="0.25">
      <c r="A161" s="152" t="s">
        <v>1056</v>
      </c>
      <c r="B161" s="152">
        <v>43.665590000000002</v>
      </c>
      <c r="C161" s="152">
        <v>-97.119630000000001</v>
      </c>
      <c r="D161" s="152">
        <v>32</v>
      </c>
      <c r="E161" s="152" t="s">
        <v>759</v>
      </c>
      <c r="F161" s="152">
        <v>2020</v>
      </c>
      <c r="G161" s="340">
        <v>43842.703472222223</v>
      </c>
      <c r="H161" s="152" t="s">
        <v>637</v>
      </c>
      <c r="I161" s="152" t="s">
        <v>651</v>
      </c>
      <c r="J161" s="152" t="s">
        <v>650</v>
      </c>
      <c r="L161" s="152" t="s">
        <v>1055</v>
      </c>
      <c r="M161" s="152" t="s">
        <v>712</v>
      </c>
      <c r="N161" s="152" t="s">
        <v>637</v>
      </c>
      <c r="O161" s="152" t="s">
        <v>647</v>
      </c>
      <c r="P161" s="152" t="s">
        <v>646</v>
      </c>
      <c r="Q161" s="152" t="s">
        <v>637</v>
      </c>
      <c r="R161" s="152" t="s">
        <v>709</v>
      </c>
      <c r="S161" s="152" t="s">
        <v>637</v>
      </c>
      <c r="T161" s="152" t="s">
        <v>708</v>
      </c>
      <c r="U161" s="152" t="s">
        <v>644</v>
      </c>
      <c r="V161" s="152" t="s">
        <v>96</v>
      </c>
      <c r="W161" s="152" t="s">
        <v>643</v>
      </c>
      <c r="Y161" s="152" t="s">
        <v>637</v>
      </c>
      <c r="Z161" s="152" t="s">
        <v>642</v>
      </c>
      <c r="AA161" s="152" t="s">
        <v>665</v>
      </c>
      <c r="AB161" s="152" t="s">
        <v>640</v>
      </c>
      <c r="AC161" s="152" t="s">
        <v>708</v>
      </c>
      <c r="AD161" s="152" t="s">
        <v>638</v>
      </c>
      <c r="AE161" s="152" t="s">
        <v>637</v>
      </c>
      <c r="AF161" s="152" t="s">
        <v>637</v>
      </c>
      <c r="AG161" s="152" t="s">
        <v>637</v>
      </c>
      <c r="AH161" s="152" t="s">
        <v>677</v>
      </c>
      <c r="AI161" s="152" t="s">
        <v>655</v>
      </c>
      <c r="AJ161" s="152" t="s">
        <v>635</v>
      </c>
      <c r="AK161" s="152" t="s">
        <v>634</v>
      </c>
      <c r="AL161" s="152" t="s">
        <v>633</v>
      </c>
      <c r="AM161" s="152" t="s">
        <v>1181</v>
      </c>
      <c r="AO161" s="152" t="s">
        <v>715</v>
      </c>
      <c r="AP161" s="152" t="s">
        <v>628</v>
      </c>
      <c r="AQ161" s="152" t="s">
        <v>671</v>
      </c>
      <c r="AR161" s="152" t="s">
        <v>629</v>
      </c>
      <c r="AS161" s="152" t="s">
        <v>628</v>
      </c>
      <c r="AT161" s="152" t="s">
        <v>677</v>
      </c>
      <c r="AU161" s="152">
        <v>2020</v>
      </c>
      <c r="AV161" s="339">
        <v>5995</v>
      </c>
      <c r="AW161" s="339">
        <v>2000702</v>
      </c>
      <c r="AX161" s="152">
        <v>12</v>
      </c>
      <c r="AY161" s="152">
        <v>0</v>
      </c>
      <c r="AZ161" s="152">
        <v>75</v>
      </c>
      <c r="BA161" s="152">
        <v>9.3958601710000007</v>
      </c>
      <c r="BB161" s="152">
        <v>649</v>
      </c>
      <c r="BC161" s="152">
        <v>90</v>
      </c>
      <c r="BD161" s="152">
        <v>5.6079998</v>
      </c>
    </row>
    <row r="162" spans="1:56" x14ac:dyDescent="0.25">
      <c r="A162" s="152" t="s">
        <v>1056</v>
      </c>
      <c r="B162" s="152">
        <v>43.666308999999998</v>
      </c>
      <c r="C162" s="152">
        <v>-97.122495000000001</v>
      </c>
      <c r="D162" s="152">
        <v>32</v>
      </c>
      <c r="E162" s="152" t="s">
        <v>652</v>
      </c>
      <c r="F162" s="152">
        <v>2020</v>
      </c>
      <c r="G162" s="340">
        <v>43956.958333333336</v>
      </c>
      <c r="H162" s="152" t="s">
        <v>637</v>
      </c>
      <c r="I162" s="152" t="s">
        <v>1180</v>
      </c>
      <c r="J162" s="152" t="s">
        <v>694</v>
      </c>
      <c r="L162" s="152" t="s">
        <v>1055</v>
      </c>
      <c r="M162" s="152" t="s">
        <v>736</v>
      </c>
      <c r="N162" s="152" t="s">
        <v>637</v>
      </c>
      <c r="O162" s="152" t="s">
        <v>647</v>
      </c>
      <c r="P162" s="152" t="s">
        <v>684</v>
      </c>
      <c r="Q162" s="152" t="s">
        <v>637</v>
      </c>
      <c r="R162" s="152" t="s">
        <v>1179</v>
      </c>
      <c r="S162" s="152" t="s">
        <v>637</v>
      </c>
      <c r="T162" s="152" t="s">
        <v>777</v>
      </c>
      <c r="U162" s="152" t="s">
        <v>644</v>
      </c>
      <c r="V162" s="152" t="s">
        <v>96</v>
      </c>
      <c r="W162" s="152" t="s">
        <v>643</v>
      </c>
      <c r="Y162" s="152" t="s">
        <v>637</v>
      </c>
      <c r="Z162" s="152" t="s">
        <v>642</v>
      </c>
      <c r="AA162" s="152" t="s">
        <v>665</v>
      </c>
      <c r="AB162" s="152" t="s">
        <v>640</v>
      </c>
      <c r="AC162" s="152" t="s">
        <v>777</v>
      </c>
      <c r="AD162" s="152" t="s">
        <v>752</v>
      </c>
      <c r="AE162" s="152" t="s">
        <v>637</v>
      </c>
      <c r="AF162" s="152" t="s">
        <v>637</v>
      </c>
      <c r="AG162" s="152" t="s">
        <v>637</v>
      </c>
      <c r="AH162" s="152" t="s">
        <v>664</v>
      </c>
      <c r="AI162" s="152" t="s">
        <v>628</v>
      </c>
      <c r="AJ162" s="152" t="s">
        <v>680</v>
      </c>
      <c r="AK162" s="152" t="s">
        <v>634</v>
      </c>
      <c r="AL162" s="152" t="s">
        <v>637</v>
      </c>
      <c r="AM162" s="152" t="s">
        <v>761</v>
      </c>
      <c r="AO162" s="152" t="s">
        <v>715</v>
      </c>
      <c r="AP162" s="152" t="s">
        <v>875</v>
      </c>
      <c r="AQ162" s="152" t="s">
        <v>630</v>
      </c>
      <c r="AR162" s="152" t="s">
        <v>629</v>
      </c>
      <c r="AS162" s="152" t="s">
        <v>628</v>
      </c>
      <c r="AT162" s="152" t="s">
        <v>702</v>
      </c>
      <c r="AU162" s="152">
        <v>2020</v>
      </c>
      <c r="AV162" s="339">
        <v>5995</v>
      </c>
      <c r="AW162" s="339">
        <v>2005009</v>
      </c>
      <c r="AX162" s="152">
        <v>5</v>
      </c>
      <c r="AY162" s="152">
        <v>0</v>
      </c>
      <c r="AZ162" s="152">
        <v>75</v>
      </c>
      <c r="BA162" s="152">
        <v>1.345317434</v>
      </c>
      <c r="BB162" s="152">
        <v>678</v>
      </c>
      <c r="BC162" s="152">
        <v>90</v>
      </c>
      <c r="BD162" s="152">
        <v>5.6079998</v>
      </c>
    </row>
    <row r="163" spans="1:56" x14ac:dyDescent="0.25">
      <c r="A163" s="152" t="s">
        <v>1056</v>
      </c>
      <c r="B163" s="152">
        <v>43.666381999999999</v>
      </c>
      <c r="C163" s="152">
        <v>-97.122990999999999</v>
      </c>
      <c r="D163" s="152">
        <v>32</v>
      </c>
      <c r="E163" s="152" t="s">
        <v>697</v>
      </c>
      <c r="F163" s="152">
        <v>2016</v>
      </c>
      <c r="G163" s="340">
        <v>42639.815972222219</v>
      </c>
      <c r="H163" s="152" t="s">
        <v>637</v>
      </c>
      <c r="I163" s="152" t="s">
        <v>696</v>
      </c>
      <c r="J163" s="152" t="s">
        <v>697</v>
      </c>
      <c r="L163" s="152" t="s">
        <v>1055</v>
      </c>
      <c r="M163" s="152" t="s">
        <v>685</v>
      </c>
      <c r="N163" s="152" t="s">
        <v>637</v>
      </c>
      <c r="O163" s="152" t="s">
        <v>647</v>
      </c>
      <c r="P163" s="152" t="s">
        <v>696</v>
      </c>
      <c r="Q163" s="152" t="s">
        <v>637</v>
      </c>
      <c r="R163" s="152" t="s">
        <v>701</v>
      </c>
      <c r="S163" s="152" t="s">
        <v>637</v>
      </c>
      <c r="T163" s="152" t="s">
        <v>701</v>
      </c>
      <c r="U163" s="152" t="s">
        <v>644</v>
      </c>
      <c r="V163" s="152" t="s">
        <v>96</v>
      </c>
      <c r="W163" s="152" t="s">
        <v>643</v>
      </c>
      <c r="Y163" s="152" t="s">
        <v>637</v>
      </c>
      <c r="Z163" s="152" t="s">
        <v>642</v>
      </c>
      <c r="AA163" s="152" t="s">
        <v>856</v>
      </c>
      <c r="AB163" s="152" t="s">
        <v>640</v>
      </c>
      <c r="AC163" s="152" t="s">
        <v>701</v>
      </c>
      <c r="AD163" s="152" t="s">
        <v>706</v>
      </c>
      <c r="AE163" s="152" t="s">
        <v>637</v>
      </c>
      <c r="AF163" s="152" t="s">
        <v>637</v>
      </c>
      <c r="AG163" s="152" t="s">
        <v>637</v>
      </c>
      <c r="AH163" s="152" t="s">
        <v>664</v>
      </c>
      <c r="AI163" s="152" t="s">
        <v>699</v>
      </c>
      <c r="AJ163" s="152" t="s">
        <v>696</v>
      </c>
      <c r="AL163" s="152" t="s">
        <v>637</v>
      </c>
      <c r="AM163" s="152" t="s">
        <v>904</v>
      </c>
      <c r="AO163" s="152" t="s">
        <v>715</v>
      </c>
      <c r="AP163" s="152" t="s">
        <v>697</v>
      </c>
      <c r="AQ163" s="152" t="s">
        <v>703</v>
      </c>
      <c r="AS163" s="152" t="s">
        <v>696</v>
      </c>
      <c r="AT163" s="152" t="s">
        <v>702</v>
      </c>
      <c r="AU163" s="152">
        <v>2016</v>
      </c>
      <c r="AV163" s="339">
        <v>5995</v>
      </c>
      <c r="AW163" s="339">
        <v>1611888</v>
      </c>
      <c r="AX163" s="152">
        <v>26</v>
      </c>
      <c r="AY163" s="152">
        <v>-1</v>
      </c>
      <c r="AZ163" s="152">
        <v>75</v>
      </c>
      <c r="BA163" s="152">
        <v>2.1794320489999999</v>
      </c>
      <c r="BB163" s="152">
        <v>107</v>
      </c>
      <c r="BC163" s="152">
        <v>90</v>
      </c>
      <c r="BD163" s="152">
        <v>5.6079998</v>
      </c>
    </row>
    <row r="164" spans="1:56" x14ac:dyDescent="0.25">
      <c r="A164" s="152" t="s">
        <v>1056</v>
      </c>
      <c r="B164" s="152">
        <v>43.666446000000001</v>
      </c>
      <c r="C164" s="152">
        <v>-97.123496000000003</v>
      </c>
      <c r="D164" s="152">
        <v>32</v>
      </c>
      <c r="E164" s="152" t="s">
        <v>652</v>
      </c>
      <c r="F164" s="152">
        <v>2019</v>
      </c>
      <c r="G164" s="340">
        <v>43674.145833333336</v>
      </c>
      <c r="H164" s="152" t="s">
        <v>637</v>
      </c>
      <c r="I164" s="152" t="s">
        <v>669</v>
      </c>
      <c r="J164" s="152" t="s">
        <v>694</v>
      </c>
      <c r="L164" s="152" t="s">
        <v>1055</v>
      </c>
      <c r="M164" s="152" t="s">
        <v>712</v>
      </c>
      <c r="N164" s="152" t="s">
        <v>637</v>
      </c>
      <c r="O164" s="152" t="s">
        <v>647</v>
      </c>
      <c r="P164" s="152" t="s">
        <v>1178</v>
      </c>
      <c r="Q164" s="152" t="s">
        <v>637</v>
      </c>
      <c r="R164" s="152" t="s">
        <v>825</v>
      </c>
      <c r="S164" s="152" t="s">
        <v>633</v>
      </c>
      <c r="T164" s="152" t="s">
        <v>708</v>
      </c>
      <c r="U164" s="152" t="s">
        <v>644</v>
      </c>
      <c r="V164" s="152" t="s">
        <v>96</v>
      </c>
      <c r="W164" s="152" t="s">
        <v>643</v>
      </c>
      <c r="Y164" s="152" t="s">
        <v>637</v>
      </c>
      <c r="Z164" s="152" t="s">
        <v>642</v>
      </c>
      <c r="AA164" s="152" t="s">
        <v>665</v>
      </c>
      <c r="AB164" s="152" t="s">
        <v>640</v>
      </c>
      <c r="AC164" s="152" t="s">
        <v>708</v>
      </c>
      <c r="AD164" s="152" t="s">
        <v>805</v>
      </c>
      <c r="AE164" s="152" t="s">
        <v>637</v>
      </c>
      <c r="AF164" s="152" t="s">
        <v>637</v>
      </c>
      <c r="AG164" s="152" t="s">
        <v>637</v>
      </c>
      <c r="AH164" s="152" t="s">
        <v>664</v>
      </c>
      <c r="AI164" s="152" t="s">
        <v>628</v>
      </c>
      <c r="AJ164" s="152" t="s">
        <v>635</v>
      </c>
      <c r="AK164" s="152" t="s">
        <v>634</v>
      </c>
      <c r="AL164" s="152" t="s">
        <v>637</v>
      </c>
      <c r="AM164" s="152" t="s">
        <v>780</v>
      </c>
      <c r="AO164" s="152" t="s">
        <v>715</v>
      </c>
      <c r="AP164" s="152" t="s">
        <v>628</v>
      </c>
      <c r="AQ164" s="152" t="s">
        <v>662</v>
      </c>
      <c r="AR164" s="152" t="s">
        <v>629</v>
      </c>
      <c r="AS164" s="152" t="s">
        <v>628</v>
      </c>
      <c r="AT164" s="152" t="s">
        <v>702</v>
      </c>
      <c r="AU164" s="152">
        <v>2019</v>
      </c>
      <c r="AV164" s="339">
        <v>5995</v>
      </c>
      <c r="AW164" s="339">
        <v>1911203</v>
      </c>
      <c r="AX164" s="152">
        <v>28</v>
      </c>
      <c r="AY164" s="152">
        <v>0</v>
      </c>
      <c r="AZ164" s="152">
        <v>75</v>
      </c>
      <c r="BA164" s="152">
        <v>1.277666134</v>
      </c>
      <c r="BB164" s="152">
        <v>580</v>
      </c>
      <c r="BC164" s="152">
        <v>90</v>
      </c>
      <c r="BD164" s="152">
        <v>5.6079998</v>
      </c>
    </row>
    <row r="165" spans="1:56" x14ac:dyDescent="0.25">
      <c r="A165" s="152" t="s">
        <v>1056</v>
      </c>
      <c r="B165" s="152">
        <v>43.666550000000001</v>
      </c>
      <c r="C165" s="152">
        <v>-97.127343999999994</v>
      </c>
      <c r="D165" s="152">
        <v>32</v>
      </c>
      <c r="E165" s="152" t="s">
        <v>697</v>
      </c>
      <c r="F165" s="152">
        <v>2019</v>
      </c>
      <c r="G165" s="340">
        <v>43652.958333333336</v>
      </c>
      <c r="H165" s="152" t="s">
        <v>637</v>
      </c>
      <c r="I165" s="152" t="s">
        <v>696</v>
      </c>
      <c r="J165" s="152" t="s">
        <v>697</v>
      </c>
      <c r="L165" s="152" t="s">
        <v>1055</v>
      </c>
      <c r="M165" s="152" t="s">
        <v>693</v>
      </c>
      <c r="N165" s="152" t="s">
        <v>637</v>
      </c>
      <c r="O165" s="152" t="s">
        <v>647</v>
      </c>
      <c r="P165" s="152" t="s">
        <v>696</v>
      </c>
      <c r="Q165" s="152" t="s">
        <v>637</v>
      </c>
      <c r="R165" s="152" t="s">
        <v>701</v>
      </c>
      <c r="S165" s="152" t="s">
        <v>637</v>
      </c>
      <c r="T165" s="152" t="s">
        <v>701</v>
      </c>
      <c r="U165" s="152" t="s">
        <v>644</v>
      </c>
      <c r="V165" s="152" t="s">
        <v>96</v>
      </c>
      <c r="W165" s="152" t="s">
        <v>643</v>
      </c>
      <c r="Y165" s="152" t="s">
        <v>637</v>
      </c>
      <c r="Z165" s="152" t="s">
        <v>696</v>
      </c>
      <c r="AA165" s="152" t="s">
        <v>665</v>
      </c>
      <c r="AB165" s="152" t="s">
        <v>640</v>
      </c>
      <c r="AC165" s="152" t="s">
        <v>701</v>
      </c>
      <c r="AD165" s="152" t="s">
        <v>805</v>
      </c>
      <c r="AE165" s="152" t="s">
        <v>637</v>
      </c>
      <c r="AF165" s="152" t="s">
        <v>637</v>
      </c>
      <c r="AG165" s="152" t="s">
        <v>637</v>
      </c>
      <c r="AH165" s="152" t="s">
        <v>664</v>
      </c>
      <c r="AI165" s="152" t="s">
        <v>699</v>
      </c>
      <c r="AJ165" s="152" t="s">
        <v>696</v>
      </c>
      <c r="AL165" s="152" t="s">
        <v>637</v>
      </c>
      <c r="AM165" s="152" t="s">
        <v>761</v>
      </c>
      <c r="AO165" s="152" t="s">
        <v>715</v>
      </c>
      <c r="AP165" s="152" t="s">
        <v>697</v>
      </c>
      <c r="AQ165" s="152" t="s">
        <v>703</v>
      </c>
      <c r="AS165" s="152" t="s">
        <v>696</v>
      </c>
      <c r="AT165" s="152" t="s">
        <v>702</v>
      </c>
      <c r="AU165" s="152">
        <v>2019</v>
      </c>
      <c r="AV165" s="339">
        <v>5995</v>
      </c>
      <c r="AW165" s="339">
        <v>1908341</v>
      </c>
      <c r="AX165" s="152">
        <v>6</v>
      </c>
      <c r="AY165" s="152">
        <v>-1</v>
      </c>
      <c r="AZ165" s="152">
        <v>75</v>
      </c>
      <c r="BA165" s="152">
        <v>6.972782993</v>
      </c>
      <c r="BB165" s="152">
        <v>566</v>
      </c>
      <c r="BC165" s="152">
        <v>90</v>
      </c>
      <c r="BD165" s="152">
        <v>5.6079998</v>
      </c>
    </row>
    <row r="166" spans="1:56" x14ac:dyDescent="0.25">
      <c r="A166" s="152" t="s">
        <v>1056</v>
      </c>
      <c r="B166" s="152">
        <v>43.666561000000002</v>
      </c>
      <c r="C166" s="152">
        <v>-97.125923</v>
      </c>
      <c r="D166" s="152">
        <v>32</v>
      </c>
      <c r="E166" s="152" t="s">
        <v>652</v>
      </c>
      <c r="F166" s="152">
        <v>2016</v>
      </c>
      <c r="G166" s="340">
        <v>42703.222222222219</v>
      </c>
      <c r="H166" s="152" t="s">
        <v>637</v>
      </c>
      <c r="I166" s="152" t="s">
        <v>651</v>
      </c>
      <c r="J166" s="152" t="s">
        <v>660</v>
      </c>
      <c r="L166" s="152" t="s">
        <v>1055</v>
      </c>
      <c r="M166" s="152" t="s">
        <v>736</v>
      </c>
      <c r="N166" s="152" t="s">
        <v>637</v>
      </c>
      <c r="O166" s="152" t="s">
        <v>647</v>
      </c>
      <c r="P166" s="152" t="s">
        <v>990</v>
      </c>
      <c r="Q166" s="152" t="s">
        <v>637</v>
      </c>
      <c r="R166" s="152" t="s">
        <v>817</v>
      </c>
      <c r="S166" s="152" t="s">
        <v>637</v>
      </c>
      <c r="T166" s="152" t="s">
        <v>656</v>
      </c>
      <c r="U166" s="152" t="s">
        <v>644</v>
      </c>
      <c r="V166" s="152" t="s">
        <v>96</v>
      </c>
      <c r="W166" s="152" t="s">
        <v>643</v>
      </c>
      <c r="Y166" s="152" t="s">
        <v>637</v>
      </c>
      <c r="Z166" s="152" t="s">
        <v>642</v>
      </c>
      <c r="AA166" s="152" t="s">
        <v>665</v>
      </c>
      <c r="AB166" s="152" t="s">
        <v>740</v>
      </c>
      <c r="AC166" s="152" t="s">
        <v>656</v>
      </c>
      <c r="AD166" s="152" t="s">
        <v>673</v>
      </c>
      <c r="AE166" s="152" t="s">
        <v>637</v>
      </c>
      <c r="AF166" s="152" t="s">
        <v>637</v>
      </c>
      <c r="AG166" s="152" t="s">
        <v>637</v>
      </c>
      <c r="AH166" s="152" t="s">
        <v>636</v>
      </c>
      <c r="AI166" s="152" t="s">
        <v>758</v>
      </c>
      <c r="AJ166" s="152" t="s">
        <v>635</v>
      </c>
      <c r="AK166" s="152" t="s">
        <v>634</v>
      </c>
      <c r="AL166" s="152" t="s">
        <v>637</v>
      </c>
      <c r="AM166" s="152" t="s">
        <v>1132</v>
      </c>
      <c r="AO166" s="152" t="s">
        <v>715</v>
      </c>
      <c r="AP166" s="152" t="s">
        <v>628</v>
      </c>
      <c r="AQ166" s="152" t="s">
        <v>630</v>
      </c>
      <c r="AR166" s="152" t="s">
        <v>629</v>
      </c>
      <c r="AS166" s="152" t="s">
        <v>628</v>
      </c>
      <c r="AT166" s="152" t="s">
        <v>695</v>
      </c>
      <c r="AU166" s="152">
        <v>2016</v>
      </c>
      <c r="AV166" s="339">
        <v>5995</v>
      </c>
      <c r="AW166" s="339">
        <v>1616064</v>
      </c>
      <c r="AX166" s="152">
        <v>29</v>
      </c>
      <c r="AY166" s="152">
        <v>0</v>
      </c>
      <c r="AZ166" s="152">
        <v>75</v>
      </c>
      <c r="BA166" s="152">
        <v>4.2246332070000001</v>
      </c>
      <c r="BB166" s="152">
        <v>158</v>
      </c>
      <c r="BC166" s="152">
        <v>90</v>
      </c>
      <c r="BD166" s="152">
        <v>5.6079998</v>
      </c>
    </row>
    <row r="167" spans="1:56" x14ac:dyDescent="0.25">
      <c r="A167" s="152" t="s">
        <v>1056</v>
      </c>
      <c r="B167" s="152">
        <v>43.608784</v>
      </c>
      <c r="C167" s="152">
        <v>-97.018940999999998</v>
      </c>
      <c r="D167" s="152">
        <v>34</v>
      </c>
      <c r="E167" s="152" t="s">
        <v>746</v>
      </c>
      <c r="F167" s="152">
        <v>2016</v>
      </c>
      <c r="G167" s="340">
        <v>42601.576388888891</v>
      </c>
      <c r="H167" s="152" t="s">
        <v>637</v>
      </c>
      <c r="I167" s="152" t="s">
        <v>669</v>
      </c>
      <c r="J167" s="152" t="s">
        <v>650</v>
      </c>
      <c r="K167" s="152" t="s">
        <v>1177</v>
      </c>
      <c r="L167" s="152" t="s">
        <v>1055</v>
      </c>
      <c r="M167" s="152" t="s">
        <v>648</v>
      </c>
      <c r="N167" s="152" t="s">
        <v>637</v>
      </c>
      <c r="O167" s="152" t="s">
        <v>647</v>
      </c>
      <c r="P167" s="152" t="s">
        <v>1176</v>
      </c>
      <c r="Q167" s="152" t="s">
        <v>633</v>
      </c>
      <c r="R167" s="152" t="s">
        <v>881</v>
      </c>
      <c r="S167" s="152" t="s">
        <v>637</v>
      </c>
      <c r="T167" s="152" t="s">
        <v>708</v>
      </c>
      <c r="U167" s="152" t="s">
        <v>644</v>
      </c>
      <c r="V167" s="152" t="s">
        <v>96</v>
      </c>
      <c r="W167" s="152" t="s">
        <v>643</v>
      </c>
      <c r="Y167" s="152" t="s">
        <v>633</v>
      </c>
      <c r="Z167" s="152" t="s">
        <v>642</v>
      </c>
      <c r="AA167" s="152" t="s">
        <v>641</v>
      </c>
      <c r="AB167" s="152" t="s">
        <v>640</v>
      </c>
      <c r="AC167" s="152" t="s">
        <v>708</v>
      </c>
      <c r="AD167" s="152" t="s">
        <v>738</v>
      </c>
      <c r="AE167" s="152" t="s">
        <v>637</v>
      </c>
      <c r="AF167" s="152" t="s">
        <v>637</v>
      </c>
      <c r="AG167" s="152" t="s">
        <v>637</v>
      </c>
      <c r="AH167" s="152" t="s">
        <v>664</v>
      </c>
      <c r="AI167" s="152" t="s">
        <v>628</v>
      </c>
      <c r="AJ167" s="152" t="s">
        <v>635</v>
      </c>
      <c r="AK167" s="152" t="s">
        <v>634</v>
      </c>
      <c r="AL167" s="152" t="s">
        <v>637</v>
      </c>
      <c r="AM167" s="152" t="s">
        <v>1175</v>
      </c>
      <c r="AO167" s="152" t="s">
        <v>715</v>
      </c>
      <c r="AP167" s="152" t="s">
        <v>628</v>
      </c>
      <c r="AQ167" s="152" t="s">
        <v>630</v>
      </c>
      <c r="AR167" s="152" t="s">
        <v>629</v>
      </c>
      <c r="AS167" s="152" t="s">
        <v>628</v>
      </c>
      <c r="AT167" s="152" t="s">
        <v>702</v>
      </c>
      <c r="AU167" s="152">
        <v>2016</v>
      </c>
      <c r="AV167" s="339">
        <v>6995</v>
      </c>
      <c r="AW167" s="339">
        <v>1610251</v>
      </c>
      <c r="AX167" s="152">
        <v>19</v>
      </c>
      <c r="AY167" s="152">
        <v>0</v>
      </c>
      <c r="AZ167" s="152">
        <v>75</v>
      </c>
      <c r="BA167" s="152">
        <v>0.11260374200000001</v>
      </c>
      <c r="BB167" s="152">
        <v>100</v>
      </c>
      <c r="BC167" s="152">
        <v>90</v>
      </c>
      <c r="BD167" s="152">
        <v>7.8179997999999999</v>
      </c>
    </row>
    <row r="168" spans="1:56" x14ac:dyDescent="0.25">
      <c r="A168" s="152" t="s">
        <v>1056</v>
      </c>
      <c r="B168" s="152">
        <v>43.608784999999997</v>
      </c>
      <c r="C168" s="152">
        <v>-97.018687999999997</v>
      </c>
      <c r="D168" s="152">
        <v>34</v>
      </c>
      <c r="E168" s="152" t="s">
        <v>821</v>
      </c>
      <c r="F168" s="152">
        <v>2016</v>
      </c>
      <c r="G168" s="340">
        <v>42601.588888888888</v>
      </c>
      <c r="H168" s="152" t="s">
        <v>637</v>
      </c>
      <c r="I168" s="152" t="s">
        <v>669</v>
      </c>
      <c r="J168" s="152" t="s">
        <v>744</v>
      </c>
      <c r="K168" s="152" t="s">
        <v>743</v>
      </c>
      <c r="L168" s="152" t="s">
        <v>1055</v>
      </c>
      <c r="M168" s="152" t="s">
        <v>648</v>
      </c>
      <c r="N168" s="152" t="s">
        <v>633</v>
      </c>
      <c r="O168" s="152" t="s">
        <v>647</v>
      </c>
      <c r="P168" s="152" t="s">
        <v>1174</v>
      </c>
      <c r="Q168" s="152" t="s">
        <v>637</v>
      </c>
      <c r="R168" s="152" t="s">
        <v>656</v>
      </c>
      <c r="S168" s="152" t="s">
        <v>637</v>
      </c>
      <c r="T168" s="152" t="s">
        <v>656</v>
      </c>
      <c r="U168" s="152" t="s">
        <v>644</v>
      </c>
      <c r="V168" s="152" t="s">
        <v>96</v>
      </c>
      <c r="W168" s="152" t="s">
        <v>643</v>
      </c>
      <c r="Y168" s="152" t="s">
        <v>637</v>
      </c>
      <c r="Z168" s="152" t="s">
        <v>642</v>
      </c>
      <c r="AA168" s="152" t="s">
        <v>641</v>
      </c>
      <c r="AB168" s="152" t="s">
        <v>740</v>
      </c>
      <c r="AC168" s="152" t="s">
        <v>656</v>
      </c>
      <c r="AD168" s="152" t="s">
        <v>738</v>
      </c>
      <c r="AE168" s="152" t="s">
        <v>637</v>
      </c>
      <c r="AF168" s="152" t="s">
        <v>637</v>
      </c>
      <c r="AG168" s="152" t="s">
        <v>637</v>
      </c>
      <c r="AH168" s="152" t="s">
        <v>762</v>
      </c>
      <c r="AI168" s="152" t="s">
        <v>628</v>
      </c>
      <c r="AJ168" s="152" t="s">
        <v>635</v>
      </c>
      <c r="AK168" s="152" t="s">
        <v>634</v>
      </c>
      <c r="AL168" s="152" t="s">
        <v>633</v>
      </c>
      <c r="AM168" s="152" t="s">
        <v>1173</v>
      </c>
      <c r="AO168" s="152" t="s">
        <v>715</v>
      </c>
      <c r="AP168" s="152" t="s">
        <v>628</v>
      </c>
      <c r="AQ168" s="152" t="s">
        <v>630</v>
      </c>
      <c r="AR168" s="152" t="s">
        <v>1172</v>
      </c>
      <c r="AS168" s="152" t="s">
        <v>628</v>
      </c>
      <c r="AT168" s="152" t="s">
        <v>760</v>
      </c>
      <c r="AU168" s="152">
        <v>2016</v>
      </c>
      <c r="AV168" s="339">
        <v>6995</v>
      </c>
      <c r="AW168" s="339">
        <v>1610073</v>
      </c>
      <c r="AX168" s="152">
        <v>19</v>
      </c>
      <c r="AY168" s="152">
        <v>0</v>
      </c>
      <c r="AZ168" s="152">
        <v>75</v>
      </c>
      <c r="BA168" s="152">
        <v>0.40998718499999998</v>
      </c>
      <c r="BB168" s="152">
        <v>99</v>
      </c>
      <c r="BC168" s="152">
        <v>90</v>
      </c>
      <c r="BD168" s="152">
        <v>7.8179997999999999</v>
      </c>
    </row>
    <row r="169" spans="1:56" x14ac:dyDescent="0.25">
      <c r="A169" s="152" t="s">
        <v>1056</v>
      </c>
      <c r="B169" s="152">
        <v>43.608787</v>
      </c>
      <c r="C169" s="152">
        <v>-97.018176999999994</v>
      </c>
      <c r="D169" s="152">
        <v>34</v>
      </c>
      <c r="E169" s="152" t="s">
        <v>697</v>
      </c>
      <c r="F169" s="152">
        <v>2017</v>
      </c>
      <c r="G169" s="340">
        <v>42786.856944444444</v>
      </c>
      <c r="H169" s="152" t="s">
        <v>637</v>
      </c>
      <c r="I169" s="152" t="s">
        <v>696</v>
      </c>
      <c r="J169" s="152" t="s">
        <v>697</v>
      </c>
      <c r="L169" s="152" t="s">
        <v>1055</v>
      </c>
      <c r="M169" s="152" t="s">
        <v>685</v>
      </c>
      <c r="N169" s="152" t="s">
        <v>637</v>
      </c>
      <c r="O169" s="152" t="s">
        <v>647</v>
      </c>
      <c r="P169" s="152" t="s">
        <v>696</v>
      </c>
      <c r="Q169" s="152" t="s">
        <v>637</v>
      </c>
      <c r="R169" s="152" t="s">
        <v>701</v>
      </c>
      <c r="S169" s="152" t="s">
        <v>637</v>
      </c>
      <c r="T169" s="152" t="s">
        <v>701</v>
      </c>
      <c r="U169" s="152" t="s">
        <v>644</v>
      </c>
      <c r="V169" s="152" t="s">
        <v>96</v>
      </c>
      <c r="W169" s="152" t="s">
        <v>643</v>
      </c>
      <c r="Y169" s="152" t="s">
        <v>637</v>
      </c>
      <c r="Z169" s="152" t="s">
        <v>696</v>
      </c>
      <c r="AA169" s="152" t="s">
        <v>665</v>
      </c>
      <c r="AB169" s="152" t="s">
        <v>640</v>
      </c>
      <c r="AC169" s="152" t="s">
        <v>701</v>
      </c>
      <c r="AD169" s="152" t="s">
        <v>718</v>
      </c>
      <c r="AE169" s="152" t="s">
        <v>637</v>
      </c>
      <c r="AF169" s="152" t="s">
        <v>637</v>
      </c>
      <c r="AG169" s="152" t="s">
        <v>637</v>
      </c>
      <c r="AH169" s="152" t="s">
        <v>664</v>
      </c>
      <c r="AI169" s="152" t="s">
        <v>699</v>
      </c>
      <c r="AJ169" s="152" t="s">
        <v>696</v>
      </c>
      <c r="AL169" s="152" t="s">
        <v>637</v>
      </c>
      <c r="AM169" s="152" t="s">
        <v>1171</v>
      </c>
      <c r="AO169" s="152" t="s">
        <v>715</v>
      </c>
      <c r="AP169" s="152" t="s">
        <v>697</v>
      </c>
      <c r="AQ169" s="152" t="s">
        <v>630</v>
      </c>
      <c r="AS169" s="152" t="s">
        <v>696</v>
      </c>
      <c r="AT169" s="152" t="s">
        <v>702</v>
      </c>
      <c r="AU169" s="152">
        <v>2017</v>
      </c>
      <c r="AV169" s="339">
        <v>6995</v>
      </c>
      <c r="AW169" s="339">
        <v>1702375</v>
      </c>
      <c r="AX169" s="152">
        <v>20</v>
      </c>
      <c r="AY169" s="152">
        <v>-1</v>
      </c>
      <c r="AZ169" s="152">
        <v>75</v>
      </c>
      <c r="BA169" s="152">
        <v>1.0168765399999999</v>
      </c>
      <c r="BB169" s="152">
        <v>187</v>
      </c>
      <c r="BC169" s="152">
        <v>90</v>
      </c>
      <c r="BD169" s="152">
        <v>7.8179997999999999</v>
      </c>
    </row>
    <row r="170" spans="1:56" x14ac:dyDescent="0.25">
      <c r="A170" s="152" t="s">
        <v>1056</v>
      </c>
      <c r="B170" s="152">
        <v>43.608792999999999</v>
      </c>
      <c r="C170" s="152">
        <v>-97.015355</v>
      </c>
      <c r="D170" s="152">
        <v>34</v>
      </c>
      <c r="E170" s="152" t="s">
        <v>652</v>
      </c>
      <c r="F170" s="152">
        <v>2017</v>
      </c>
      <c r="G170" s="340">
        <v>42737.17083333333</v>
      </c>
      <c r="H170" s="152" t="s">
        <v>637</v>
      </c>
      <c r="I170" s="152" t="s">
        <v>669</v>
      </c>
      <c r="J170" s="152" t="s">
        <v>650</v>
      </c>
      <c r="L170" s="152" t="s">
        <v>1055</v>
      </c>
      <c r="M170" s="152" t="s">
        <v>685</v>
      </c>
      <c r="N170" s="152" t="s">
        <v>637</v>
      </c>
      <c r="O170" s="152" t="s">
        <v>647</v>
      </c>
      <c r="P170" s="152" t="s">
        <v>684</v>
      </c>
      <c r="Q170" s="152" t="s">
        <v>637</v>
      </c>
      <c r="R170" s="152" t="s">
        <v>1170</v>
      </c>
      <c r="S170" s="152" t="s">
        <v>637</v>
      </c>
      <c r="T170" s="152" t="s">
        <v>777</v>
      </c>
      <c r="U170" s="152" t="s">
        <v>644</v>
      </c>
      <c r="V170" s="152" t="s">
        <v>96</v>
      </c>
      <c r="W170" s="152" t="s">
        <v>643</v>
      </c>
      <c r="Y170" s="152" t="s">
        <v>637</v>
      </c>
      <c r="Z170" s="152" t="s">
        <v>642</v>
      </c>
      <c r="AA170" s="152" t="s">
        <v>665</v>
      </c>
      <c r="AB170" s="152" t="s">
        <v>640</v>
      </c>
      <c r="AC170" s="152" t="s">
        <v>708</v>
      </c>
      <c r="AD170" s="152" t="s">
        <v>638</v>
      </c>
      <c r="AE170" s="152" t="s">
        <v>637</v>
      </c>
      <c r="AF170" s="152" t="s">
        <v>637</v>
      </c>
      <c r="AG170" s="152" t="s">
        <v>637</v>
      </c>
      <c r="AH170" s="152" t="s">
        <v>636</v>
      </c>
      <c r="AI170" s="152" t="s">
        <v>655</v>
      </c>
      <c r="AJ170" s="152" t="s">
        <v>635</v>
      </c>
      <c r="AK170" s="152" t="s">
        <v>634</v>
      </c>
      <c r="AL170" s="152" t="s">
        <v>637</v>
      </c>
      <c r="AM170" s="152" t="s">
        <v>1169</v>
      </c>
      <c r="AO170" s="152" t="s">
        <v>715</v>
      </c>
      <c r="AP170" s="152" t="s">
        <v>628</v>
      </c>
      <c r="AQ170" s="152" t="s">
        <v>671</v>
      </c>
      <c r="AR170" s="152" t="s">
        <v>629</v>
      </c>
      <c r="AS170" s="152" t="s">
        <v>628</v>
      </c>
      <c r="AT170" s="152" t="s">
        <v>1008</v>
      </c>
      <c r="AU170" s="152">
        <v>2017</v>
      </c>
      <c r="AV170" s="339">
        <v>6995</v>
      </c>
      <c r="AW170" s="339">
        <v>1700327</v>
      </c>
      <c r="AX170" s="152">
        <v>2</v>
      </c>
      <c r="AY170" s="152">
        <v>0</v>
      </c>
      <c r="AZ170" s="152">
        <v>75</v>
      </c>
      <c r="BA170" s="152">
        <v>0.18776527000000001</v>
      </c>
      <c r="BB170" s="152">
        <v>183</v>
      </c>
      <c r="BC170" s="152">
        <v>90</v>
      </c>
      <c r="BD170" s="152">
        <v>7.8179997999999999</v>
      </c>
    </row>
    <row r="171" spans="1:56" x14ac:dyDescent="0.25">
      <c r="A171" s="152" t="s">
        <v>1056</v>
      </c>
      <c r="B171" s="152">
        <v>43.608798999999998</v>
      </c>
      <c r="C171" s="152">
        <v>-97.009045999999998</v>
      </c>
      <c r="D171" s="152">
        <v>34</v>
      </c>
      <c r="E171" s="152" t="s">
        <v>697</v>
      </c>
      <c r="F171" s="152">
        <v>2019</v>
      </c>
      <c r="G171" s="340">
        <v>43479.760416666664</v>
      </c>
      <c r="H171" s="152" t="s">
        <v>637</v>
      </c>
      <c r="I171" s="152" t="s">
        <v>696</v>
      </c>
      <c r="J171" s="152" t="s">
        <v>697</v>
      </c>
      <c r="L171" s="152" t="s">
        <v>1055</v>
      </c>
      <c r="M171" s="152" t="s">
        <v>685</v>
      </c>
      <c r="N171" s="152" t="s">
        <v>637</v>
      </c>
      <c r="O171" s="152" t="s">
        <v>647</v>
      </c>
      <c r="P171" s="152" t="s">
        <v>696</v>
      </c>
      <c r="Q171" s="152" t="s">
        <v>637</v>
      </c>
      <c r="R171" s="152" t="s">
        <v>701</v>
      </c>
      <c r="S171" s="152" t="s">
        <v>637</v>
      </c>
      <c r="T171" s="152" t="s">
        <v>701</v>
      </c>
      <c r="U171" s="152" t="s">
        <v>644</v>
      </c>
      <c r="V171" s="152" t="s">
        <v>96</v>
      </c>
      <c r="W171" s="152" t="s">
        <v>643</v>
      </c>
      <c r="Y171" s="152" t="s">
        <v>637</v>
      </c>
      <c r="Z171" s="152" t="s">
        <v>642</v>
      </c>
      <c r="AA171" s="152" t="s">
        <v>665</v>
      </c>
      <c r="AB171" s="152" t="s">
        <v>640</v>
      </c>
      <c r="AC171" s="152" t="s">
        <v>701</v>
      </c>
      <c r="AD171" s="152" t="s">
        <v>638</v>
      </c>
      <c r="AE171" s="152" t="s">
        <v>637</v>
      </c>
      <c r="AF171" s="152" t="s">
        <v>637</v>
      </c>
      <c r="AG171" s="152" t="s">
        <v>637</v>
      </c>
      <c r="AH171" s="152" t="s">
        <v>664</v>
      </c>
      <c r="AI171" s="152" t="s">
        <v>699</v>
      </c>
      <c r="AJ171" s="152" t="s">
        <v>696</v>
      </c>
      <c r="AL171" s="152" t="s">
        <v>637</v>
      </c>
      <c r="AM171" s="152" t="s">
        <v>1130</v>
      </c>
      <c r="AO171" s="152" t="s">
        <v>715</v>
      </c>
      <c r="AP171" s="152" t="s">
        <v>697</v>
      </c>
      <c r="AQ171" s="152" t="s">
        <v>630</v>
      </c>
      <c r="AS171" s="152" t="s">
        <v>696</v>
      </c>
      <c r="AT171" s="152" t="s">
        <v>702</v>
      </c>
      <c r="AU171" s="152">
        <v>2019</v>
      </c>
      <c r="AV171" s="339">
        <v>6995</v>
      </c>
      <c r="AW171" s="339">
        <v>1900347</v>
      </c>
      <c r="AX171" s="152">
        <v>14</v>
      </c>
      <c r="AY171" s="152">
        <v>-1</v>
      </c>
      <c r="AZ171" s="152">
        <v>75</v>
      </c>
      <c r="BA171" s="152">
        <v>0.183744409</v>
      </c>
      <c r="BB171" s="152">
        <v>506</v>
      </c>
      <c r="BC171" s="152">
        <v>90</v>
      </c>
      <c r="BD171" s="152">
        <v>7.8179997999999999</v>
      </c>
    </row>
    <row r="172" spans="1:56" x14ac:dyDescent="0.25">
      <c r="A172" s="152" t="s">
        <v>1056</v>
      </c>
      <c r="B172" s="152">
        <v>43.608803999999999</v>
      </c>
      <c r="C172" s="152">
        <v>-97.007861000000005</v>
      </c>
      <c r="D172" s="152">
        <v>34</v>
      </c>
      <c r="E172" s="152" t="s">
        <v>697</v>
      </c>
      <c r="F172" s="152">
        <v>2017</v>
      </c>
      <c r="G172" s="340">
        <v>43058.847222222219</v>
      </c>
      <c r="H172" s="152" t="s">
        <v>637</v>
      </c>
      <c r="I172" s="152" t="s">
        <v>696</v>
      </c>
      <c r="J172" s="152" t="s">
        <v>697</v>
      </c>
      <c r="L172" s="152" t="s">
        <v>1055</v>
      </c>
      <c r="M172" s="152" t="s">
        <v>712</v>
      </c>
      <c r="N172" s="152" t="s">
        <v>637</v>
      </c>
      <c r="O172" s="152" t="s">
        <v>647</v>
      </c>
      <c r="P172" s="152" t="s">
        <v>696</v>
      </c>
      <c r="Q172" s="152" t="s">
        <v>637</v>
      </c>
      <c r="R172" s="152" t="s">
        <v>701</v>
      </c>
      <c r="S172" s="152" t="s">
        <v>637</v>
      </c>
      <c r="T172" s="152" t="s">
        <v>701</v>
      </c>
      <c r="U172" s="152" t="s">
        <v>644</v>
      </c>
      <c r="V172" s="152" t="s">
        <v>96</v>
      </c>
      <c r="W172" s="152" t="s">
        <v>643</v>
      </c>
      <c r="Y172" s="152" t="s">
        <v>637</v>
      </c>
      <c r="Z172" s="152" t="s">
        <v>642</v>
      </c>
      <c r="AA172" s="152" t="s">
        <v>665</v>
      </c>
      <c r="AB172" s="152" t="s">
        <v>640</v>
      </c>
      <c r="AC172" s="152" t="s">
        <v>701</v>
      </c>
      <c r="AD172" s="152" t="s">
        <v>673</v>
      </c>
      <c r="AE172" s="152" t="s">
        <v>637</v>
      </c>
      <c r="AF172" s="152" t="s">
        <v>637</v>
      </c>
      <c r="AG172" s="152" t="s">
        <v>637</v>
      </c>
      <c r="AH172" s="152" t="s">
        <v>664</v>
      </c>
      <c r="AI172" s="152" t="s">
        <v>699</v>
      </c>
      <c r="AJ172" s="152" t="s">
        <v>696</v>
      </c>
      <c r="AL172" s="152" t="s">
        <v>637</v>
      </c>
      <c r="AM172" s="152" t="s">
        <v>1168</v>
      </c>
      <c r="AO172" s="152" t="s">
        <v>715</v>
      </c>
      <c r="AP172" s="152" t="s">
        <v>697</v>
      </c>
      <c r="AQ172" s="152" t="s">
        <v>703</v>
      </c>
      <c r="AS172" s="152" t="s">
        <v>696</v>
      </c>
      <c r="AT172" s="152" t="s">
        <v>702</v>
      </c>
      <c r="AU172" s="152">
        <v>2017</v>
      </c>
      <c r="AV172" s="339">
        <v>6995</v>
      </c>
      <c r="AW172" s="339">
        <v>1715919</v>
      </c>
      <c r="AX172" s="152">
        <v>19</v>
      </c>
      <c r="AY172" s="152">
        <v>-1</v>
      </c>
      <c r="AZ172" s="152">
        <v>75</v>
      </c>
      <c r="BA172" s="152">
        <v>0.159009075</v>
      </c>
      <c r="BB172" s="152">
        <v>302</v>
      </c>
      <c r="BC172" s="152">
        <v>90</v>
      </c>
      <c r="BD172" s="152">
        <v>7.8179997999999999</v>
      </c>
    </row>
    <row r="173" spans="1:56" x14ac:dyDescent="0.25">
      <c r="A173" s="152" t="s">
        <v>1056</v>
      </c>
      <c r="B173" s="152">
        <v>43.608804999999997</v>
      </c>
      <c r="C173" s="152">
        <v>-97.007671999999999</v>
      </c>
      <c r="D173" s="152">
        <v>34</v>
      </c>
      <c r="E173" s="152" t="s">
        <v>652</v>
      </c>
      <c r="F173" s="152">
        <v>2019</v>
      </c>
      <c r="G173" s="340">
        <v>43647.711805555555</v>
      </c>
      <c r="H173" s="152" t="s">
        <v>637</v>
      </c>
      <c r="I173" s="152" t="s">
        <v>669</v>
      </c>
      <c r="J173" s="152" t="s">
        <v>660</v>
      </c>
      <c r="K173" s="152" t="s">
        <v>743</v>
      </c>
      <c r="L173" s="152" t="s">
        <v>1055</v>
      </c>
      <c r="M173" s="152" t="s">
        <v>685</v>
      </c>
      <c r="N173" s="152" t="s">
        <v>637</v>
      </c>
      <c r="O173" s="152" t="s">
        <v>647</v>
      </c>
      <c r="P173" s="152" t="s">
        <v>646</v>
      </c>
      <c r="Q173" s="152" t="s">
        <v>637</v>
      </c>
      <c r="R173" s="152" t="s">
        <v>1093</v>
      </c>
      <c r="S173" s="152" t="s">
        <v>637</v>
      </c>
      <c r="T173" s="152" t="s">
        <v>656</v>
      </c>
      <c r="U173" s="152" t="s">
        <v>644</v>
      </c>
      <c r="V173" s="152" t="s">
        <v>96</v>
      </c>
      <c r="W173" s="152" t="s">
        <v>643</v>
      </c>
      <c r="Y173" s="152" t="s">
        <v>637</v>
      </c>
      <c r="Z173" s="152" t="s">
        <v>642</v>
      </c>
      <c r="AA173" s="152" t="s">
        <v>641</v>
      </c>
      <c r="AB173" s="152" t="s">
        <v>728</v>
      </c>
      <c r="AC173" s="152" t="s">
        <v>656</v>
      </c>
      <c r="AD173" s="152" t="s">
        <v>805</v>
      </c>
      <c r="AE173" s="152" t="s">
        <v>637</v>
      </c>
      <c r="AF173" s="152" t="s">
        <v>637</v>
      </c>
      <c r="AG173" s="152" t="s">
        <v>637</v>
      </c>
      <c r="AH173" s="152" t="s">
        <v>762</v>
      </c>
      <c r="AI173" s="152" t="s">
        <v>628</v>
      </c>
      <c r="AJ173" s="152" t="s">
        <v>635</v>
      </c>
      <c r="AK173" s="152" t="s">
        <v>634</v>
      </c>
      <c r="AL173" s="152" t="s">
        <v>633</v>
      </c>
      <c r="AM173" s="152" t="s">
        <v>1167</v>
      </c>
      <c r="AO173" s="152" t="s">
        <v>715</v>
      </c>
      <c r="AP173" s="152" t="s">
        <v>628</v>
      </c>
      <c r="AQ173" s="152" t="s">
        <v>773</v>
      </c>
      <c r="AR173" s="152" t="s">
        <v>629</v>
      </c>
      <c r="AS173" s="152" t="s">
        <v>628</v>
      </c>
      <c r="AT173" s="152" t="s">
        <v>760</v>
      </c>
      <c r="AU173" s="152">
        <v>2019</v>
      </c>
      <c r="AV173" s="339">
        <v>6995</v>
      </c>
      <c r="AW173" s="339">
        <v>1908344</v>
      </c>
      <c r="AX173" s="152">
        <v>1</v>
      </c>
      <c r="AY173" s="152">
        <v>0</v>
      </c>
      <c r="AZ173" s="152">
        <v>75</v>
      </c>
      <c r="BA173" s="152">
        <v>0.22917620999999999</v>
      </c>
      <c r="BB173" s="152">
        <v>567</v>
      </c>
      <c r="BC173" s="152">
        <v>90</v>
      </c>
      <c r="BD173" s="152">
        <v>7.8179997999999999</v>
      </c>
    </row>
    <row r="174" spans="1:56" x14ac:dyDescent="0.25">
      <c r="A174" s="152" t="s">
        <v>1056</v>
      </c>
      <c r="B174" s="152">
        <v>43.608808000000003</v>
      </c>
      <c r="C174" s="152">
        <v>-97.006936999999994</v>
      </c>
      <c r="D174" s="152">
        <v>34</v>
      </c>
      <c r="E174" s="152" t="s">
        <v>697</v>
      </c>
      <c r="F174" s="152">
        <v>2020</v>
      </c>
      <c r="G174" s="340">
        <v>44151.827777777777</v>
      </c>
      <c r="H174" s="152" t="s">
        <v>637</v>
      </c>
      <c r="I174" s="152" t="s">
        <v>696</v>
      </c>
      <c r="J174" s="152" t="s">
        <v>697</v>
      </c>
      <c r="L174" s="152" t="s">
        <v>1055</v>
      </c>
      <c r="M174" s="152" t="s">
        <v>685</v>
      </c>
      <c r="N174" s="152" t="s">
        <v>637</v>
      </c>
      <c r="O174" s="152" t="s">
        <v>647</v>
      </c>
      <c r="P174" s="152" t="s">
        <v>696</v>
      </c>
      <c r="Q174" s="152" t="s">
        <v>637</v>
      </c>
      <c r="R174" s="152" t="s">
        <v>701</v>
      </c>
      <c r="S174" s="152" t="s">
        <v>637</v>
      </c>
      <c r="T174" s="152" t="s">
        <v>701</v>
      </c>
      <c r="U174" s="152" t="s">
        <v>644</v>
      </c>
      <c r="V174" s="152" t="s">
        <v>96</v>
      </c>
      <c r="W174" s="152" t="s">
        <v>643</v>
      </c>
      <c r="Y174" s="152" t="s">
        <v>637</v>
      </c>
      <c r="Z174" s="152" t="s">
        <v>696</v>
      </c>
      <c r="AA174" s="152" t="s">
        <v>665</v>
      </c>
      <c r="AB174" s="152" t="s">
        <v>640</v>
      </c>
      <c r="AC174" s="152" t="s">
        <v>701</v>
      </c>
      <c r="AD174" s="152" t="s">
        <v>673</v>
      </c>
      <c r="AE174" s="152" t="s">
        <v>637</v>
      </c>
      <c r="AF174" s="152" t="s">
        <v>637</v>
      </c>
      <c r="AG174" s="152" t="s">
        <v>637</v>
      </c>
      <c r="AH174" s="152" t="s">
        <v>664</v>
      </c>
      <c r="AI174" s="152" t="s">
        <v>699</v>
      </c>
      <c r="AJ174" s="152" t="s">
        <v>696</v>
      </c>
      <c r="AL174" s="152" t="s">
        <v>637</v>
      </c>
      <c r="AM174" s="152" t="s">
        <v>1166</v>
      </c>
      <c r="AO174" s="152" t="s">
        <v>715</v>
      </c>
      <c r="AP174" s="152" t="s">
        <v>697</v>
      </c>
      <c r="AQ174" s="152" t="s">
        <v>630</v>
      </c>
      <c r="AS174" s="152" t="s">
        <v>696</v>
      </c>
      <c r="AT174" s="152" t="s">
        <v>702</v>
      </c>
      <c r="AU174" s="152">
        <v>2020</v>
      </c>
      <c r="AV174" s="339">
        <v>6995</v>
      </c>
      <c r="AW174" s="339">
        <v>2014638</v>
      </c>
      <c r="AX174" s="152">
        <v>16</v>
      </c>
      <c r="AY174" s="152">
        <v>-1</v>
      </c>
      <c r="AZ174" s="152">
        <v>75</v>
      </c>
      <c r="BA174" s="152">
        <v>0.179638256</v>
      </c>
      <c r="BB174" s="152">
        <v>754</v>
      </c>
      <c r="BC174" s="152">
        <v>90</v>
      </c>
      <c r="BD174" s="152">
        <v>7.8179997999999999</v>
      </c>
    </row>
    <row r="175" spans="1:56" x14ac:dyDescent="0.25">
      <c r="A175" s="152" t="s">
        <v>1056</v>
      </c>
      <c r="B175" s="152">
        <v>43.608815999999997</v>
      </c>
      <c r="C175" s="152">
        <v>-96.992750000000001</v>
      </c>
      <c r="D175" s="152">
        <v>34</v>
      </c>
      <c r="E175" s="152" t="s">
        <v>697</v>
      </c>
      <c r="F175" s="152">
        <v>2017</v>
      </c>
      <c r="G175" s="340">
        <v>42842.857638888891</v>
      </c>
      <c r="H175" s="152" t="s">
        <v>637</v>
      </c>
      <c r="I175" s="152" t="s">
        <v>696</v>
      </c>
      <c r="J175" s="152" t="s">
        <v>697</v>
      </c>
      <c r="L175" s="152" t="s">
        <v>1055</v>
      </c>
      <c r="M175" s="152" t="s">
        <v>685</v>
      </c>
      <c r="N175" s="152" t="s">
        <v>637</v>
      </c>
      <c r="O175" s="152" t="s">
        <v>647</v>
      </c>
      <c r="P175" s="152" t="s">
        <v>696</v>
      </c>
      <c r="Q175" s="152" t="s">
        <v>637</v>
      </c>
      <c r="R175" s="152" t="s">
        <v>701</v>
      </c>
      <c r="S175" s="152" t="s">
        <v>637</v>
      </c>
      <c r="T175" s="152" t="s">
        <v>701</v>
      </c>
      <c r="U175" s="152" t="s">
        <v>644</v>
      </c>
      <c r="V175" s="152" t="s">
        <v>96</v>
      </c>
      <c r="W175" s="152" t="s">
        <v>643</v>
      </c>
      <c r="Y175" s="152" t="s">
        <v>637</v>
      </c>
      <c r="Z175" s="152" t="s">
        <v>642</v>
      </c>
      <c r="AA175" s="152" t="s">
        <v>665</v>
      </c>
      <c r="AB175" s="152" t="s">
        <v>640</v>
      </c>
      <c r="AC175" s="152" t="s">
        <v>701</v>
      </c>
      <c r="AD175" s="152" t="s">
        <v>787</v>
      </c>
      <c r="AE175" s="152" t="s">
        <v>637</v>
      </c>
      <c r="AF175" s="152" t="s">
        <v>637</v>
      </c>
      <c r="AG175" s="152" t="s">
        <v>637</v>
      </c>
      <c r="AH175" s="152" t="s">
        <v>664</v>
      </c>
      <c r="AI175" s="152" t="s">
        <v>699</v>
      </c>
      <c r="AJ175" s="152" t="s">
        <v>696</v>
      </c>
      <c r="AL175" s="152" t="s">
        <v>637</v>
      </c>
      <c r="AM175" s="152" t="s">
        <v>1165</v>
      </c>
      <c r="AO175" s="152" t="s">
        <v>715</v>
      </c>
      <c r="AP175" s="152" t="s">
        <v>697</v>
      </c>
      <c r="AQ175" s="152" t="s">
        <v>630</v>
      </c>
      <c r="AS175" s="152" t="s">
        <v>696</v>
      </c>
      <c r="AT175" s="152" t="s">
        <v>695</v>
      </c>
      <c r="AU175" s="152">
        <v>2017</v>
      </c>
      <c r="AV175" s="339">
        <v>6995</v>
      </c>
      <c r="AW175" s="339">
        <v>1704451</v>
      </c>
      <c r="AX175" s="152">
        <v>17</v>
      </c>
      <c r="AY175" s="152">
        <v>-1</v>
      </c>
      <c r="AZ175" s="152">
        <v>75</v>
      </c>
      <c r="BA175" s="152">
        <v>1.0324297849999999</v>
      </c>
      <c r="BB175" s="152">
        <v>207</v>
      </c>
      <c r="BC175" s="152">
        <v>90</v>
      </c>
      <c r="BD175" s="152">
        <v>7.8179997999999999</v>
      </c>
    </row>
    <row r="176" spans="1:56" x14ac:dyDescent="0.25">
      <c r="A176" s="152" t="s">
        <v>1056</v>
      </c>
      <c r="B176" s="152">
        <v>43.608817999999999</v>
      </c>
      <c r="C176" s="152">
        <v>-97.003580999999997</v>
      </c>
      <c r="D176" s="152">
        <v>34</v>
      </c>
      <c r="E176" s="152" t="s">
        <v>652</v>
      </c>
      <c r="F176" s="152">
        <v>2020</v>
      </c>
      <c r="G176" s="340">
        <v>44147.659722222219</v>
      </c>
      <c r="H176" s="152" t="s">
        <v>637</v>
      </c>
      <c r="I176" s="152" t="s">
        <v>669</v>
      </c>
      <c r="J176" s="152" t="s">
        <v>694</v>
      </c>
      <c r="L176" s="152" t="s">
        <v>1055</v>
      </c>
      <c r="M176" s="152" t="s">
        <v>668</v>
      </c>
      <c r="N176" s="152" t="s">
        <v>637</v>
      </c>
      <c r="O176" s="152" t="s">
        <v>647</v>
      </c>
      <c r="P176" s="152" t="s">
        <v>628</v>
      </c>
      <c r="Q176" s="152" t="s">
        <v>637</v>
      </c>
      <c r="R176" s="152" t="s">
        <v>1164</v>
      </c>
      <c r="S176" s="152" t="s">
        <v>637</v>
      </c>
      <c r="T176" s="152" t="s">
        <v>639</v>
      </c>
      <c r="U176" s="152" t="s">
        <v>644</v>
      </c>
      <c r="V176" s="152" t="s">
        <v>96</v>
      </c>
      <c r="W176" s="152" t="s">
        <v>643</v>
      </c>
      <c r="Y176" s="152" t="s">
        <v>637</v>
      </c>
      <c r="Z176" s="152" t="s">
        <v>642</v>
      </c>
      <c r="AA176" s="152" t="s">
        <v>641</v>
      </c>
      <c r="AB176" s="152" t="s">
        <v>640</v>
      </c>
      <c r="AC176" s="152" t="s">
        <v>639</v>
      </c>
      <c r="AD176" s="152" t="s">
        <v>673</v>
      </c>
      <c r="AE176" s="152" t="s">
        <v>637</v>
      </c>
      <c r="AF176" s="152" t="s">
        <v>637</v>
      </c>
      <c r="AG176" s="152" t="s">
        <v>637</v>
      </c>
      <c r="AH176" s="152" t="s">
        <v>664</v>
      </c>
      <c r="AI176" s="152" t="s">
        <v>628</v>
      </c>
      <c r="AJ176" s="152" t="s">
        <v>635</v>
      </c>
      <c r="AK176" s="152" t="s">
        <v>634</v>
      </c>
      <c r="AL176" s="152" t="s">
        <v>637</v>
      </c>
      <c r="AM176" s="152" t="s">
        <v>792</v>
      </c>
      <c r="AO176" s="152" t="s">
        <v>715</v>
      </c>
      <c r="AP176" s="152" t="s">
        <v>937</v>
      </c>
      <c r="AQ176" s="152" t="s">
        <v>662</v>
      </c>
      <c r="AR176" s="152" t="s">
        <v>629</v>
      </c>
      <c r="AS176" s="152" t="s">
        <v>628</v>
      </c>
      <c r="AT176" s="152" t="s">
        <v>702</v>
      </c>
      <c r="AU176" s="152">
        <v>2020</v>
      </c>
      <c r="AV176" s="339">
        <v>6995</v>
      </c>
      <c r="AW176" s="339">
        <v>2014747</v>
      </c>
      <c r="AX176" s="152">
        <v>12</v>
      </c>
      <c r="AY176" s="152">
        <v>0</v>
      </c>
      <c r="AZ176" s="152">
        <v>75</v>
      </c>
      <c r="BA176" s="152">
        <v>0.10966421</v>
      </c>
      <c r="BB176" s="152">
        <v>759</v>
      </c>
      <c r="BC176" s="152">
        <v>90</v>
      </c>
      <c r="BD176" s="152">
        <v>7.8179997999999999</v>
      </c>
    </row>
    <row r="177" spans="1:56" x14ac:dyDescent="0.25">
      <c r="A177" s="152" t="s">
        <v>1056</v>
      </c>
      <c r="B177" s="152">
        <v>43.608817999999999</v>
      </c>
      <c r="C177" s="152">
        <v>-96.996227000000005</v>
      </c>
      <c r="D177" s="152">
        <v>34</v>
      </c>
      <c r="E177" s="152" t="s">
        <v>697</v>
      </c>
      <c r="F177" s="152">
        <v>2016</v>
      </c>
      <c r="G177" s="340">
        <v>42496.222222222219</v>
      </c>
      <c r="H177" s="152" t="s">
        <v>637</v>
      </c>
      <c r="I177" s="152" t="s">
        <v>696</v>
      </c>
      <c r="J177" s="152" t="s">
        <v>697</v>
      </c>
      <c r="L177" s="152" t="s">
        <v>1055</v>
      </c>
      <c r="M177" s="152" t="s">
        <v>648</v>
      </c>
      <c r="N177" s="152" t="s">
        <v>637</v>
      </c>
      <c r="O177" s="152" t="s">
        <v>647</v>
      </c>
      <c r="P177" s="152" t="s">
        <v>696</v>
      </c>
      <c r="Q177" s="152" t="s">
        <v>637</v>
      </c>
      <c r="R177" s="152" t="s">
        <v>701</v>
      </c>
      <c r="S177" s="152" t="s">
        <v>637</v>
      </c>
      <c r="T177" s="152" t="s">
        <v>701</v>
      </c>
      <c r="U177" s="152" t="s">
        <v>644</v>
      </c>
      <c r="V177" s="152" t="s">
        <v>96</v>
      </c>
      <c r="W177" s="152" t="s">
        <v>643</v>
      </c>
      <c r="Y177" s="152" t="s">
        <v>637</v>
      </c>
      <c r="Z177" s="152" t="s">
        <v>642</v>
      </c>
      <c r="AA177" s="152" t="s">
        <v>665</v>
      </c>
      <c r="AB177" s="152" t="s">
        <v>640</v>
      </c>
      <c r="AC177" s="152" t="s">
        <v>701</v>
      </c>
      <c r="AD177" s="152" t="s">
        <v>752</v>
      </c>
      <c r="AE177" s="152" t="s">
        <v>637</v>
      </c>
      <c r="AF177" s="152" t="s">
        <v>637</v>
      </c>
      <c r="AG177" s="152" t="s">
        <v>637</v>
      </c>
      <c r="AH177" s="152" t="s">
        <v>664</v>
      </c>
      <c r="AI177" s="152" t="s">
        <v>699</v>
      </c>
      <c r="AJ177" s="152" t="s">
        <v>696</v>
      </c>
      <c r="AL177" s="152" t="s">
        <v>637</v>
      </c>
      <c r="AM177" s="152" t="s">
        <v>1132</v>
      </c>
      <c r="AO177" s="152" t="s">
        <v>715</v>
      </c>
      <c r="AP177" s="152" t="s">
        <v>697</v>
      </c>
      <c r="AQ177" s="152" t="s">
        <v>703</v>
      </c>
      <c r="AS177" s="152" t="s">
        <v>696</v>
      </c>
      <c r="AT177" s="152" t="s">
        <v>702</v>
      </c>
      <c r="AU177" s="152">
        <v>2016</v>
      </c>
      <c r="AV177" s="339">
        <v>6995</v>
      </c>
      <c r="AW177" s="339">
        <v>1605292</v>
      </c>
      <c r="AX177" s="152">
        <v>6</v>
      </c>
      <c r="AY177" s="152">
        <v>-1</v>
      </c>
      <c r="AZ177" s="152">
        <v>75</v>
      </c>
      <c r="BA177" s="152">
        <v>0.47296714899999998</v>
      </c>
      <c r="BB177" s="152">
        <v>53</v>
      </c>
      <c r="BC177" s="152">
        <v>90</v>
      </c>
      <c r="BD177" s="152">
        <v>7.8179997999999999</v>
      </c>
    </row>
    <row r="178" spans="1:56" x14ac:dyDescent="0.25">
      <c r="A178" s="152" t="s">
        <v>1056</v>
      </c>
      <c r="B178" s="152">
        <v>43.608818999999997</v>
      </c>
      <c r="C178" s="152">
        <v>-97.002408000000003</v>
      </c>
      <c r="D178" s="152">
        <v>34</v>
      </c>
      <c r="E178" s="152" t="s">
        <v>697</v>
      </c>
      <c r="F178" s="152">
        <v>2017</v>
      </c>
      <c r="G178" s="340">
        <v>42899.231944444444</v>
      </c>
      <c r="H178" s="152" t="s">
        <v>637</v>
      </c>
      <c r="I178" s="152" t="s">
        <v>696</v>
      </c>
      <c r="J178" s="152" t="s">
        <v>697</v>
      </c>
      <c r="L178" s="152" t="s">
        <v>1055</v>
      </c>
      <c r="M178" s="152" t="s">
        <v>736</v>
      </c>
      <c r="N178" s="152" t="s">
        <v>637</v>
      </c>
      <c r="O178" s="152" t="s">
        <v>647</v>
      </c>
      <c r="P178" s="152" t="s">
        <v>696</v>
      </c>
      <c r="Q178" s="152" t="s">
        <v>637</v>
      </c>
      <c r="R178" s="152" t="s">
        <v>701</v>
      </c>
      <c r="S178" s="152" t="s">
        <v>637</v>
      </c>
      <c r="T178" s="152" t="s">
        <v>701</v>
      </c>
      <c r="U178" s="152" t="s">
        <v>644</v>
      </c>
      <c r="V178" s="152" t="s">
        <v>96</v>
      </c>
      <c r="W178" s="152" t="s">
        <v>643</v>
      </c>
      <c r="Y178" s="152" t="s">
        <v>637</v>
      </c>
      <c r="Z178" s="152" t="s">
        <v>642</v>
      </c>
      <c r="AA178" s="152" t="s">
        <v>782</v>
      </c>
      <c r="AB178" s="152" t="s">
        <v>640</v>
      </c>
      <c r="AC178" s="152" t="s">
        <v>701</v>
      </c>
      <c r="AD178" s="152" t="s">
        <v>771</v>
      </c>
      <c r="AE178" s="152" t="s">
        <v>637</v>
      </c>
      <c r="AF178" s="152" t="s">
        <v>637</v>
      </c>
      <c r="AG178" s="152" t="s">
        <v>637</v>
      </c>
      <c r="AH178" s="152" t="s">
        <v>664</v>
      </c>
      <c r="AI178" s="152" t="s">
        <v>699</v>
      </c>
      <c r="AJ178" s="152" t="s">
        <v>696</v>
      </c>
      <c r="AL178" s="152" t="s">
        <v>637</v>
      </c>
      <c r="AM178" s="152" t="s">
        <v>1163</v>
      </c>
      <c r="AO178" s="152" t="s">
        <v>715</v>
      </c>
      <c r="AP178" s="152" t="s">
        <v>697</v>
      </c>
      <c r="AQ178" s="152" t="s">
        <v>671</v>
      </c>
      <c r="AS178" s="152" t="s">
        <v>696</v>
      </c>
      <c r="AT178" s="152" t="s">
        <v>702</v>
      </c>
      <c r="AU178" s="152">
        <v>2017</v>
      </c>
      <c r="AV178" s="339">
        <v>6995</v>
      </c>
      <c r="AW178" s="339">
        <v>1707169</v>
      </c>
      <c r="AX178" s="152">
        <v>13</v>
      </c>
      <c r="AY178" s="152">
        <v>-1</v>
      </c>
      <c r="AZ178" s="152">
        <v>75</v>
      </c>
      <c r="BA178" s="152">
        <v>6.7613356999999999E-2</v>
      </c>
      <c r="BB178" s="152">
        <v>246</v>
      </c>
      <c r="BC178" s="152">
        <v>90</v>
      </c>
      <c r="BD178" s="152">
        <v>7.8179997999999999</v>
      </c>
    </row>
    <row r="179" spans="1:56" x14ac:dyDescent="0.25">
      <c r="A179" s="152" t="s">
        <v>1056</v>
      </c>
      <c r="B179" s="152">
        <v>43.608818999999997</v>
      </c>
      <c r="C179" s="152">
        <v>-96.996167999999997</v>
      </c>
      <c r="D179" s="152">
        <v>34</v>
      </c>
      <c r="E179" s="152" t="s">
        <v>697</v>
      </c>
      <c r="F179" s="152">
        <v>2020</v>
      </c>
      <c r="G179" s="340">
        <v>44097.204861111109</v>
      </c>
      <c r="H179" s="152" t="s">
        <v>637</v>
      </c>
      <c r="I179" s="152" t="s">
        <v>696</v>
      </c>
      <c r="J179" s="152" t="s">
        <v>697</v>
      </c>
      <c r="L179" s="152" t="s">
        <v>1055</v>
      </c>
      <c r="M179" s="152" t="s">
        <v>676</v>
      </c>
      <c r="N179" s="152" t="s">
        <v>637</v>
      </c>
      <c r="O179" s="152" t="s">
        <v>647</v>
      </c>
      <c r="P179" s="152" t="s">
        <v>696</v>
      </c>
      <c r="Q179" s="152" t="s">
        <v>637</v>
      </c>
      <c r="R179" s="152" t="s">
        <v>701</v>
      </c>
      <c r="S179" s="152" t="s">
        <v>637</v>
      </c>
      <c r="T179" s="152" t="s">
        <v>701</v>
      </c>
      <c r="U179" s="152" t="s">
        <v>644</v>
      </c>
      <c r="V179" s="152" t="s">
        <v>96</v>
      </c>
      <c r="W179" s="152" t="s">
        <v>643</v>
      </c>
      <c r="Y179" s="152" t="s">
        <v>637</v>
      </c>
      <c r="Z179" s="152" t="s">
        <v>696</v>
      </c>
      <c r="AA179" s="152" t="s">
        <v>665</v>
      </c>
      <c r="AB179" s="152" t="s">
        <v>640</v>
      </c>
      <c r="AC179" s="152" t="s">
        <v>701</v>
      </c>
      <c r="AD179" s="152" t="s">
        <v>706</v>
      </c>
      <c r="AE179" s="152" t="s">
        <v>637</v>
      </c>
      <c r="AF179" s="152" t="s">
        <v>637</v>
      </c>
      <c r="AG179" s="152" t="s">
        <v>637</v>
      </c>
      <c r="AH179" s="152" t="s">
        <v>664</v>
      </c>
      <c r="AI179" s="152" t="s">
        <v>699</v>
      </c>
      <c r="AJ179" s="152" t="s">
        <v>696</v>
      </c>
      <c r="AL179" s="152" t="s">
        <v>637</v>
      </c>
      <c r="AM179" s="152" t="s">
        <v>1162</v>
      </c>
      <c r="AO179" s="152" t="s">
        <v>715</v>
      </c>
      <c r="AP179" s="152" t="s">
        <v>697</v>
      </c>
      <c r="AQ179" s="152" t="s">
        <v>630</v>
      </c>
      <c r="AS179" s="152" t="s">
        <v>696</v>
      </c>
      <c r="AT179" s="152" t="s">
        <v>702</v>
      </c>
      <c r="AU179" s="152">
        <v>2020</v>
      </c>
      <c r="AV179" s="339">
        <v>6995</v>
      </c>
      <c r="AW179" s="339">
        <v>2011461</v>
      </c>
      <c r="AX179" s="152">
        <v>23</v>
      </c>
      <c r="AY179" s="152">
        <v>-1</v>
      </c>
      <c r="AZ179" s="152">
        <v>75</v>
      </c>
      <c r="BA179" s="152">
        <v>7.0948907000000005E-2</v>
      </c>
      <c r="BB179" s="152">
        <v>721</v>
      </c>
      <c r="BC179" s="152">
        <v>90</v>
      </c>
      <c r="BD179" s="152">
        <v>7.8179997999999999</v>
      </c>
    </row>
    <row r="180" spans="1:56" x14ac:dyDescent="0.25">
      <c r="A180" s="152" t="s">
        <v>1056</v>
      </c>
      <c r="B180" s="152">
        <v>43.608818999999997</v>
      </c>
      <c r="C180" s="152">
        <v>-96.996099000000001</v>
      </c>
      <c r="D180" s="152">
        <v>34</v>
      </c>
      <c r="E180" s="152" t="s">
        <v>697</v>
      </c>
      <c r="F180" s="152">
        <v>2019</v>
      </c>
      <c r="G180" s="340">
        <v>43783.280555555553</v>
      </c>
      <c r="H180" s="152" t="s">
        <v>637</v>
      </c>
      <c r="I180" s="152" t="s">
        <v>696</v>
      </c>
      <c r="J180" s="152" t="s">
        <v>697</v>
      </c>
      <c r="L180" s="152" t="s">
        <v>1055</v>
      </c>
      <c r="M180" s="152" t="s">
        <v>668</v>
      </c>
      <c r="N180" s="152" t="s">
        <v>637</v>
      </c>
      <c r="O180" s="152" t="s">
        <v>647</v>
      </c>
      <c r="P180" s="152" t="s">
        <v>696</v>
      </c>
      <c r="Q180" s="152" t="s">
        <v>637</v>
      </c>
      <c r="R180" s="152" t="s">
        <v>701</v>
      </c>
      <c r="S180" s="152" t="s">
        <v>637</v>
      </c>
      <c r="T180" s="152" t="s">
        <v>701</v>
      </c>
      <c r="U180" s="152" t="s">
        <v>644</v>
      </c>
      <c r="V180" s="152" t="s">
        <v>96</v>
      </c>
      <c r="W180" s="152" t="s">
        <v>643</v>
      </c>
      <c r="Y180" s="152" t="s">
        <v>637</v>
      </c>
      <c r="Z180" s="152" t="s">
        <v>696</v>
      </c>
      <c r="AA180" s="152" t="s">
        <v>665</v>
      </c>
      <c r="AB180" s="152" t="s">
        <v>640</v>
      </c>
      <c r="AC180" s="152" t="s">
        <v>701</v>
      </c>
      <c r="AD180" s="152" t="s">
        <v>673</v>
      </c>
      <c r="AE180" s="152" t="s">
        <v>637</v>
      </c>
      <c r="AF180" s="152" t="s">
        <v>637</v>
      </c>
      <c r="AG180" s="152" t="s">
        <v>637</v>
      </c>
      <c r="AH180" s="152" t="s">
        <v>664</v>
      </c>
      <c r="AI180" s="152" t="s">
        <v>699</v>
      </c>
      <c r="AJ180" s="152" t="s">
        <v>696</v>
      </c>
      <c r="AL180" s="152" t="s">
        <v>637</v>
      </c>
      <c r="AM180" s="152" t="s">
        <v>1161</v>
      </c>
      <c r="AO180" s="152" t="s">
        <v>715</v>
      </c>
      <c r="AP180" s="152" t="s">
        <v>697</v>
      </c>
      <c r="AQ180" s="152" t="s">
        <v>630</v>
      </c>
      <c r="AS180" s="152" t="s">
        <v>696</v>
      </c>
      <c r="AT180" s="152" t="s">
        <v>702</v>
      </c>
      <c r="AU180" s="152">
        <v>2019</v>
      </c>
      <c r="AV180" s="339">
        <v>6995</v>
      </c>
      <c r="AW180" s="339">
        <v>1916661</v>
      </c>
      <c r="AX180" s="152">
        <v>14</v>
      </c>
      <c r="AY180" s="152">
        <v>-1</v>
      </c>
      <c r="AZ180" s="152">
        <v>75</v>
      </c>
      <c r="BA180" s="152">
        <v>2.7115510999999998E-2</v>
      </c>
      <c r="BB180" s="152">
        <v>602</v>
      </c>
      <c r="BC180" s="152">
        <v>90</v>
      </c>
      <c r="BD180" s="152">
        <v>7.8179997999999999</v>
      </c>
    </row>
    <row r="181" spans="1:56" x14ac:dyDescent="0.25">
      <c r="A181" s="152" t="s">
        <v>1056</v>
      </c>
      <c r="B181" s="152">
        <v>43.608820999999999</v>
      </c>
      <c r="C181" s="152">
        <v>-97.001074000000003</v>
      </c>
      <c r="D181" s="152">
        <v>34</v>
      </c>
      <c r="E181" s="152" t="s">
        <v>652</v>
      </c>
      <c r="F181" s="152">
        <v>2020</v>
      </c>
      <c r="G181" s="340">
        <v>44063.693055555559</v>
      </c>
      <c r="H181" s="152" t="s">
        <v>637</v>
      </c>
      <c r="I181" s="152" t="s">
        <v>669</v>
      </c>
      <c r="J181" s="152" t="s">
        <v>694</v>
      </c>
      <c r="L181" s="152" t="s">
        <v>1055</v>
      </c>
      <c r="M181" s="152" t="s">
        <v>668</v>
      </c>
      <c r="N181" s="152" t="s">
        <v>637</v>
      </c>
      <c r="O181" s="152" t="s">
        <v>647</v>
      </c>
      <c r="P181" s="152" t="s">
        <v>684</v>
      </c>
      <c r="Q181" s="152" t="s">
        <v>637</v>
      </c>
      <c r="R181" s="152" t="s">
        <v>1160</v>
      </c>
      <c r="S181" s="152" t="s">
        <v>637</v>
      </c>
      <c r="T181" s="152" t="s">
        <v>777</v>
      </c>
      <c r="U181" s="152" t="s">
        <v>644</v>
      </c>
      <c r="V181" s="152" t="s">
        <v>96</v>
      </c>
      <c r="W181" s="152" t="s">
        <v>643</v>
      </c>
      <c r="Y181" s="152" t="s">
        <v>637</v>
      </c>
      <c r="Z181" s="152" t="s">
        <v>642</v>
      </c>
      <c r="AA181" s="152" t="s">
        <v>641</v>
      </c>
      <c r="AB181" s="152" t="s">
        <v>640</v>
      </c>
      <c r="AC181" s="152" t="s">
        <v>687</v>
      </c>
      <c r="AD181" s="152" t="s">
        <v>738</v>
      </c>
      <c r="AE181" s="152" t="s">
        <v>637</v>
      </c>
      <c r="AF181" s="152" t="s">
        <v>637</v>
      </c>
      <c r="AG181" s="152" t="s">
        <v>637</v>
      </c>
      <c r="AH181" s="152" t="s">
        <v>664</v>
      </c>
      <c r="AI181" s="152" t="s">
        <v>628</v>
      </c>
      <c r="AJ181" s="152" t="s">
        <v>635</v>
      </c>
      <c r="AK181" s="152" t="s">
        <v>634</v>
      </c>
      <c r="AL181" s="152" t="s">
        <v>637</v>
      </c>
      <c r="AM181" s="152" t="s">
        <v>1159</v>
      </c>
      <c r="AO181" s="152" t="s">
        <v>715</v>
      </c>
      <c r="AP181" s="152" t="s">
        <v>628</v>
      </c>
      <c r="AQ181" s="152" t="s">
        <v>662</v>
      </c>
      <c r="AR181" s="152" t="s">
        <v>629</v>
      </c>
      <c r="AS181" s="152" t="s">
        <v>628</v>
      </c>
      <c r="AT181" s="152" t="s">
        <v>702</v>
      </c>
      <c r="AU181" s="152">
        <v>2020</v>
      </c>
      <c r="AV181" s="339">
        <v>6995</v>
      </c>
      <c r="AW181" s="339">
        <v>2009725</v>
      </c>
      <c r="AX181" s="152">
        <v>20</v>
      </c>
      <c r="AY181" s="152">
        <v>0</v>
      </c>
      <c r="AZ181" s="152">
        <v>75</v>
      </c>
      <c r="BA181" s="152">
        <v>5.0118213000000002E-2</v>
      </c>
      <c r="BB181" s="152">
        <v>712</v>
      </c>
      <c r="BC181" s="152">
        <v>90</v>
      </c>
      <c r="BD181" s="152">
        <v>7.8179997999999999</v>
      </c>
    </row>
    <row r="182" spans="1:56" x14ac:dyDescent="0.25">
      <c r="A182" s="152" t="s">
        <v>1056</v>
      </c>
      <c r="B182" s="152">
        <v>43.608822000000004</v>
      </c>
      <c r="C182" s="152">
        <v>-96.997849000000002</v>
      </c>
      <c r="D182" s="152">
        <v>34</v>
      </c>
      <c r="E182" s="152" t="s">
        <v>652</v>
      </c>
      <c r="F182" s="152">
        <v>2020</v>
      </c>
      <c r="G182" s="340">
        <v>44063.677083333336</v>
      </c>
      <c r="H182" s="152" t="s">
        <v>637</v>
      </c>
      <c r="I182" s="152" t="s">
        <v>669</v>
      </c>
      <c r="J182" s="152" t="s">
        <v>660</v>
      </c>
      <c r="L182" s="152" t="s">
        <v>1055</v>
      </c>
      <c r="M182" s="152" t="s">
        <v>668</v>
      </c>
      <c r="N182" s="152" t="s">
        <v>637</v>
      </c>
      <c r="O182" s="152" t="s">
        <v>647</v>
      </c>
      <c r="P182" s="152" t="s">
        <v>990</v>
      </c>
      <c r="Q182" s="152" t="s">
        <v>637</v>
      </c>
      <c r="R182" s="152" t="s">
        <v>656</v>
      </c>
      <c r="S182" s="152" t="s">
        <v>637</v>
      </c>
      <c r="T182" s="152" t="s">
        <v>656</v>
      </c>
      <c r="U182" s="152" t="s">
        <v>644</v>
      </c>
      <c r="V182" s="152" t="s">
        <v>96</v>
      </c>
      <c r="W182" s="152" t="s">
        <v>643</v>
      </c>
      <c r="Y182" s="152" t="s">
        <v>637</v>
      </c>
      <c r="Z182" s="152" t="s">
        <v>642</v>
      </c>
      <c r="AA182" s="152" t="s">
        <v>641</v>
      </c>
      <c r="AB182" s="152" t="s">
        <v>740</v>
      </c>
      <c r="AC182" s="152" t="s">
        <v>656</v>
      </c>
      <c r="AD182" s="152" t="s">
        <v>738</v>
      </c>
      <c r="AE182" s="152" t="s">
        <v>637</v>
      </c>
      <c r="AF182" s="152" t="s">
        <v>637</v>
      </c>
      <c r="AG182" s="152" t="s">
        <v>637</v>
      </c>
      <c r="AH182" s="152" t="s">
        <v>664</v>
      </c>
      <c r="AI182" s="152" t="s">
        <v>628</v>
      </c>
      <c r="AJ182" s="152" t="s">
        <v>680</v>
      </c>
      <c r="AK182" s="152" t="s">
        <v>634</v>
      </c>
      <c r="AL182" s="152" t="s">
        <v>637</v>
      </c>
      <c r="AM182" s="152" t="s">
        <v>753</v>
      </c>
      <c r="AO182" s="152" t="s">
        <v>715</v>
      </c>
      <c r="AP182" s="152" t="s">
        <v>628</v>
      </c>
      <c r="AQ182" s="152" t="s">
        <v>779</v>
      </c>
      <c r="AR182" s="152" t="s">
        <v>772</v>
      </c>
      <c r="AS182" s="152" t="s">
        <v>628</v>
      </c>
      <c r="AT182" s="152" t="s">
        <v>702</v>
      </c>
      <c r="AU182" s="152">
        <v>2020</v>
      </c>
      <c r="AV182" s="339">
        <v>6995</v>
      </c>
      <c r="AW182" s="339">
        <v>2010700</v>
      </c>
      <c r="AX182" s="152">
        <v>20</v>
      </c>
      <c r="AY182" s="152">
        <v>0</v>
      </c>
      <c r="AZ182" s="152">
        <v>75</v>
      </c>
      <c r="BA182" s="152">
        <v>8.1461820000000004E-2</v>
      </c>
      <c r="BB182" s="152">
        <v>717</v>
      </c>
      <c r="BC182" s="152">
        <v>90</v>
      </c>
      <c r="BD182" s="152">
        <v>7.8179997999999999</v>
      </c>
    </row>
    <row r="183" spans="1:56" x14ac:dyDescent="0.25">
      <c r="A183" s="152" t="s">
        <v>1056</v>
      </c>
      <c r="B183" s="152">
        <v>43.608822000000004</v>
      </c>
      <c r="C183" s="152">
        <v>-96.988991999999996</v>
      </c>
      <c r="D183" s="152">
        <v>34</v>
      </c>
      <c r="E183" s="152" t="s">
        <v>759</v>
      </c>
      <c r="F183" s="152">
        <v>2020</v>
      </c>
      <c r="G183" s="340">
        <v>43988.166666666664</v>
      </c>
      <c r="H183" s="152" t="s">
        <v>637</v>
      </c>
      <c r="I183" s="152" t="s">
        <v>745</v>
      </c>
      <c r="J183" s="152" t="s">
        <v>650</v>
      </c>
      <c r="L183" s="152" t="s">
        <v>1055</v>
      </c>
      <c r="M183" s="152" t="s">
        <v>693</v>
      </c>
      <c r="N183" s="152" t="s">
        <v>637</v>
      </c>
      <c r="O183" s="152" t="s">
        <v>647</v>
      </c>
      <c r="P183" s="152" t="s">
        <v>628</v>
      </c>
      <c r="Q183" s="152" t="s">
        <v>637</v>
      </c>
      <c r="R183" s="152" t="s">
        <v>701</v>
      </c>
      <c r="S183" s="152" t="s">
        <v>637</v>
      </c>
      <c r="T183" s="152" t="s">
        <v>701</v>
      </c>
      <c r="U183" s="152" t="s">
        <v>644</v>
      </c>
      <c r="V183" s="152" t="s">
        <v>96</v>
      </c>
      <c r="W183" s="152" t="s">
        <v>643</v>
      </c>
      <c r="Y183" s="152" t="s">
        <v>637</v>
      </c>
      <c r="Z183" s="152" t="s">
        <v>642</v>
      </c>
      <c r="AA183" s="152" t="s">
        <v>665</v>
      </c>
      <c r="AB183" s="152" t="s">
        <v>640</v>
      </c>
      <c r="AC183" s="152" t="s">
        <v>701</v>
      </c>
      <c r="AD183" s="152" t="s">
        <v>771</v>
      </c>
      <c r="AE183" s="152" t="s">
        <v>637</v>
      </c>
      <c r="AF183" s="152" t="s">
        <v>637</v>
      </c>
      <c r="AG183" s="152" t="s">
        <v>637</v>
      </c>
      <c r="AH183" s="152" t="s">
        <v>664</v>
      </c>
      <c r="AI183" s="152" t="s">
        <v>699</v>
      </c>
      <c r="AJ183" s="152" t="s">
        <v>635</v>
      </c>
      <c r="AK183" s="152" t="s">
        <v>634</v>
      </c>
      <c r="AL183" s="152" t="s">
        <v>637</v>
      </c>
      <c r="AM183" s="152" t="s">
        <v>827</v>
      </c>
      <c r="AO183" s="152" t="s">
        <v>715</v>
      </c>
      <c r="AP183" s="152" t="s">
        <v>628</v>
      </c>
      <c r="AQ183" s="152" t="s">
        <v>671</v>
      </c>
      <c r="AR183" s="152" t="s">
        <v>629</v>
      </c>
      <c r="AS183" s="152" t="s">
        <v>628</v>
      </c>
      <c r="AT183" s="152" t="s">
        <v>702</v>
      </c>
      <c r="AU183" s="152">
        <v>2020</v>
      </c>
      <c r="AV183" s="339">
        <v>6995</v>
      </c>
      <c r="AW183" s="339">
        <v>2006484</v>
      </c>
      <c r="AX183" s="152">
        <v>6</v>
      </c>
      <c r="AY183" s="152">
        <v>0</v>
      </c>
      <c r="AZ183" s="152">
        <v>75</v>
      </c>
      <c r="BA183" s="152">
        <v>9.2495712999999993E-2</v>
      </c>
      <c r="BB183" s="152">
        <v>694</v>
      </c>
      <c r="BC183" s="152">
        <v>90</v>
      </c>
      <c r="BD183" s="152">
        <v>7.8179997999999999</v>
      </c>
    </row>
    <row r="184" spans="1:56" x14ac:dyDescent="0.25">
      <c r="A184" s="152" t="s">
        <v>1056</v>
      </c>
      <c r="B184" s="152">
        <v>43.608829999999998</v>
      </c>
      <c r="C184" s="152">
        <v>-96.987164000000007</v>
      </c>
      <c r="D184" s="152">
        <v>34</v>
      </c>
      <c r="E184" s="152" t="s">
        <v>697</v>
      </c>
      <c r="F184" s="152">
        <v>2018</v>
      </c>
      <c r="G184" s="340">
        <v>43272.9375</v>
      </c>
      <c r="H184" s="152" t="s">
        <v>637</v>
      </c>
      <c r="I184" s="152" t="s">
        <v>696</v>
      </c>
      <c r="J184" s="152" t="s">
        <v>697</v>
      </c>
      <c r="L184" s="152" t="s">
        <v>1055</v>
      </c>
      <c r="M184" s="152" t="s">
        <v>668</v>
      </c>
      <c r="N184" s="152" t="s">
        <v>637</v>
      </c>
      <c r="O184" s="152" t="s">
        <v>647</v>
      </c>
      <c r="P184" s="152" t="s">
        <v>696</v>
      </c>
      <c r="Q184" s="152" t="s">
        <v>637</v>
      </c>
      <c r="R184" s="152" t="s">
        <v>701</v>
      </c>
      <c r="S184" s="152" t="s">
        <v>637</v>
      </c>
      <c r="T184" s="152" t="s">
        <v>701</v>
      </c>
      <c r="U184" s="152" t="s">
        <v>644</v>
      </c>
      <c r="V184" s="152" t="s">
        <v>96</v>
      </c>
      <c r="W184" s="152" t="s">
        <v>643</v>
      </c>
      <c r="Y184" s="152" t="s">
        <v>637</v>
      </c>
      <c r="Z184" s="152" t="s">
        <v>642</v>
      </c>
      <c r="AA184" s="152" t="s">
        <v>665</v>
      </c>
      <c r="AB184" s="152" t="s">
        <v>640</v>
      </c>
      <c r="AC184" s="152" t="s">
        <v>701</v>
      </c>
      <c r="AD184" s="152" t="s">
        <v>771</v>
      </c>
      <c r="AE184" s="152" t="s">
        <v>637</v>
      </c>
      <c r="AF184" s="152" t="s">
        <v>637</v>
      </c>
      <c r="AG184" s="152" t="s">
        <v>637</v>
      </c>
      <c r="AH184" s="152" t="s">
        <v>664</v>
      </c>
      <c r="AI184" s="152" t="s">
        <v>699</v>
      </c>
      <c r="AJ184" s="152" t="s">
        <v>696</v>
      </c>
      <c r="AL184" s="152" t="s">
        <v>637</v>
      </c>
      <c r="AM184" s="152" t="s">
        <v>770</v>
      </c>
      <c r="AO184" s="152" t="s">
        <v>715</v>
      </c>
      <c r="AP184" s="152" t="s">
        <v>697</v>
      </c>
      <c r="AQ184" s="152" t="s">
        <v>769</v>
      </c>
      <c r="AS184" s="152" t="s">
        <v>696</v>
      </c>
      <c r="AT184" s="152" t="s">
        <v>702</v>
      </c>
      <c r="AU184" s="152">
        <v>2018</v>
      </c>
      <c r="AV184" s="339">
        <v>6995</v>
      </c>
      <c r="AW184" s="339">
        <v>1807414</v>
      </c>
      <c r="AX184" s="152">
        <v>21</v>
      </c>
      <c r="AY184" s="152">
        <v>-1</v>
      </c>
      <c r="AZ184" s="152">
        <v>75</v>
      </c>
      <c r="BA184" s="152">
        <v>3.1828530000000001E-2</v>
      </c>
      <c r="BB184" s="152">
        <v>410</v>
      </c>
      <c r="BC184" s="152">
        <v>90</v>
      </c>
      <c r="BD184" s="152">
        <v>7.8179997999999999</v>
      </c>
    </row>
    <row r="185" spans="1:56" x14ac:dyDescent="0.25">
      <c r="A185" s="152" t="s">
        <v>1056</v>
      </c>
      <c r="B185" s="152">
        <v>43.608831000000002</v>
      </c>
      <c r="C185" s="152">
        <v>-96.979477000000003</v>
      </c>
      <c r="D185" s="152">
        <v>34</v>
      </c>
      <c r="E185" s="152" t="s">
        <v>652</v>
      </c>
      <c r="F185" s="152">
        <v>2016</v>
      </c>
      <c r="G185" s="340">
        <v>42676.09375</v>
      </c>
      <c r="H185" s="152" t="s">
        <v>637</v>
      </c>
      <c r="I185" s="152" t="s">
        <v>669</v>
      </c>
      <c r="J185" s="152" t="s">
        <v>650</v>
      </c>
      <c r="L185" s="152" t="s">
        <v>1055</v>
      </c>
      <c r="M185" s="152" t="s">
        <v>676</v>
      </c>
      <c r="N185" s="152" t="s">
        <v>637</v>
      </c>
      <c r="O185" s="152" t="s">
        <v>647</v>
      </c>
      <c r="P185" s="152" t="s">
        <v>628</v>
      </c>
      <c r="Q185" s="152" t="s">
        <v>637</v>
      </c>
      <c r="R185" s="152" t="s">
        <v>701</v>
      </c>
      <c r="S185" s="152" t="s">
        <v>637</v>
      </c>
      <c r="T185" s="152" t="s">
        <v>701</v>
      </c>
      <c r="U185" s="152" t="s">
        <v>644</v>
      </c>
      <c r="V185" s="152" t="s">
        <v>96</v>
      </c>
      <c r="W185" s="152" t="s">
        <v>643</v>
      </c>
      <c r="Y185" s="152" t="s">
        <v>637</v>
      </c>
      <c r="Z185" s="152" t="s">
        <v>642</v>
      </c>
      <c r="AA185" s="152" t="s">
        <v>665</v>
      </c>
      <c r="AB185" s="152" t="s">
        <v>640</v>
      </c>
      <c r="AC185" s="152" t="s">
        <v>701</v>
      </c>
      <c r="AD185" s="152" t="s">
        <v>673</v>
      </c>
      <c r="AE185" s="152" t="s">
        <v>637</v>
      </c>
      <c r="AF185" s="152" t="s">
        <v>637</v>
      </c>
      <c r="AG185" s="152" t="s">
        <v>637</v>
      </c>
      <c r="AH185" s="152" t="s">
        <v>664</v>
      </c>
      <c r="AI185" s="152" t="s">
        <v>628</v>
      </c>
      <c r="AJ185" s="152" t="s">
        <v>696</v>
      </c>
      <c r="AK185" s="152" t="s">
        <v>634</v>
      </c>
      <c r="AL185" s="152" t="s">
        <v>637</v>
      </c>
      <c r="AM185" s="152" t="s">
        <v>1158</v>
      </c>
      <c r="AO185" s="152" t="s">
        <v>715</v>
      </c>
      <c r="AP185" s="152" t="s">
        <v>628</v>
      </c>
      <c r="AQ185" s="152" t="s">
        <v>662</v>
      </c>
      <c r="AR185" s="152" t="s">
        <v>629</v>
      </c>
      <c r="AS185" s="152" t="s">
        <v>628</v>
      </c>
      <c r="AT185" s="152" t="s">
        <v>695</v>
      </c>
      <c r="AU185" s="152">
        <v>2016</v>
      </c>
      <c r="AV185" s="339">
        <v>6995</v>
      </c>
      <c r="AW185" s="339">
        <v>1615912</v>
      </c>
      <c r="AX185" s="152">
        <v>2</v>
      </c>
      <c r="AY185" s="152">
        <v>-1</v>
      </c>
      <c r="AZ185" s="152">
        <v>75</v>
      </c>
      <c r="BA185" s="152">
        <v>1.075900018</v>
      </c>
      <c r="BB185" s="152">
        <v>155</v>
      </c>
      <c r="BC185" s="152">
        <v>90</v>
      </c>
      <c r="BD185" s="152">
        <v>7.8179997999999999</v>
      </c>
    </row>
    <row r="186" spans="1:56" x14ac:dyDescent="0.25">
      <c r="A186" s="152" t="s">
        <v>1056</v>
      </c>
      <c r="B186" s="152">
        <v>43.608832</v>
      </c>
      <c r="C186" s="152">
        <v>-96.996611000000001</v>
      </c>
      <c r="D186" s="152">
        <v>34</v>
      </c>
      <c r="E186" s="152" t="s">
        <v>652</v>
      </c>
      <c r="F186" s="152">
        <v>2016</v>
      </c>
      <c r="G186" s="340">
        <v>42693.458333333336</v>
      </c>
      <c r="H186" s="152" t="s">
        <v>637</v>
      </c>
      <c r="I186" s="152" t="s">
        <v>669</v>
      </c>
      <c r="J186" s="152" t="s">
        <v>660</v>
      </c>
      <c r="L186" s="152" t="s">
        <v>1055</v>
      </c>
      <c r="M186" s="152" t="s">
        <v>693</v>
      </c>
      <c r="N186" s="152" t="s">
        <v>637</v>
      </c>
      <c r="O186" s="152" t="s">
        <v>647</v>
      </c>
      <c r="P186" s="152" t="s">
        <v>628</v>
      </c>
      <c r="Q186" s="152" t="s">
        <v>637</v>
      </c>
      <c r="R186" s="152" t="s">
        <v>1089</v>
      </c>
      <c r="S186" s="152" t="s">
        <v>637</v>
      </c>
      <c r="T186" s="152" t="s">
        <v>1090</v>
      </c>
      <c r="U186" s="152" t="s">
        <v>644</v>
      </c>
      <c r="V186" s="152" t="s">
        <v>96</v>
      </c>
      <c r="W186" s="152" t="s">
        <v>643</v>
      </c>
      <c r="Y186" s="152" t="s">
        <v>637</v>
      </c>
      <c r="Z186" s="152" t="s">
        <v>642</v>
      </c>
      <c r="AA186" s="152" t="s">
        <v>641</v>
      </c>
      <c r="AB186" s="152" t="s">
        <v>640</v>
      </c>
      <c r="AC186" s="152" t="s">
        <v>1089</v>
      </c>
      <c r="AD186" s="152" t="s">
        <v>673</v>
      </c>
      <c r="AE186" s="152" t="s">
        <v>637</v>
      </c>
      <c r="AF186" s="152" t="s">
        <v>637</v>
      </c>
      <c r="AG186" s="152" t="s">
        <v>637</v>
      </c>
      <c r="AH186" s="152" t="s">
        <v>808</v>
      </c>
      <c r="AI186" s="152" t="s">
        <v>834</v>
      </c>
      <c r="AJ186" s="152" t="s">
        <v>635</v>
      </c>
      <c r="AK186" s="152" t="s">
        <v>634</v>
      </c>
      <c r="AL186" s="152" t="s">
        <v>637</v>
      </c>
      <c r="AM186" s="152" t="s">
        <v>1021</v>
      </c>
      <c r="AO186" s="152" t="s">
        <v>715</v>
      </c>
      <c r="AP186" s="152" t="s">
        <v>628</v>
      </c>
      <c r="AQ186" s="152" t="s">
        <v>1157</v>
      </c>
      <c r="AR186" s="152" t="s">
        <v>629</v>
      </c>
      <c r="AS186" s="152" t="s">
        <v>628</v>
      </c>
      <c r="AT186" s="152" t="s">
        <v>702</v>
      </c>
      <c r="AU186" s="152">
        <v>2016</v>
      </c>
      <c r="AV186" s="339">
        <v>6995</v>
      </c>
      <c r="AW186" s="339">
        <v>1615342</v>
      </c>
      <c r="AX186" s="152">
        <v>19</v>
      </c>
      <c r="AY186" s="152">
        <v>0</v>
      </c>
      <c r="AZ186" s="152">
        <v>75</v>
      </c>
      <c r="BA186" s="152">
        <v>4.3800801419999997</v>
      </c>
      <c r="BB186" s="152">
        <v>140</v>
      </c>
      <c r="BC186" s="152">
        <v>90</v>
      </c>
      <c r="BD186" s="152">
        <v>7.8179997999999999</v>
      </c>
    </row>
    <row r="187" spans="1:56" x14ac:dyDescent="0.25">
      <c r="A187" s="152" t="s">
        <v>1056</v>
      </c>
      <c r="B187" s="152">
        <v>43.608832999999997</v>
      </c>
      <c r="C187" s="152">
        <v>-96.981808000000001</v>
      </c>
      <c r="D187" s="152">
        <v>34</v>
      </c>
      <c r="E187" s="152" t="s">
        <v>652</v>
      </c>
      <c r="F187" s="152">
        <v>2019</v>
      </c>
      <c r="G187" s="340">
        <v>43737.723611111112</v>
      </c>
      <c r="H187" s="152" t="s">
        <v>637</v>
      </c>
      <c r="I187" s="152" t="s">
        <v>669</v>
      </c>
      <c r="J187" s="152" t="s">
        <v>660</v>
      </c>
      <c r="L187" s="152" t="s">
        <v>1055</v>
      </c>
      <c r="M187" s="152" t="s">
        <v>712</v>
      </c>
      <c r="N187" s="152" t="s">
        <v>637</v>
      </c>
      <c r="O187" s="152" t="s">
        <v>647</v>
      </c>
      <c r="P187" s="152" t="s">
        <v>628</v>
      </c>
      <c r="Q187" s="152" t="s">
        <v>637</v>
      </c>
      <c r="R187" s="152" t="s">
        <v>1156</v>
      </c>
      <c r="S187" s="152" t="s">
        <v>637</v>
      </c>
      <c r="T187" s="152" t="s">
        <v>656</v>
      </c>
      <c r="U187" s="152" t="s">
        <v>644</v>
      </c>
      <c r="V187" s="152" t="s">
        <v>96</v>
      </c>
      <c r="W187" s="152" t="s">
        <v>643</v>
      </c>
      <c r="Y187" s="152" t="s">
        <v>637</v>
      </c>
      <c r="Z187" s="152" t="s">
        <v>642</v>
      </c>
      <c r="AA187" s="152" t="s">
        <v>641</v>
      </c>
      <c r="AB187" s="152" t="s">
        <v>657</v>
      </c>
      <c r="AC187" s="152" t="s">
        <v>656</v>
      </c>
      <c r="AD187" s="152" t="s">
        <v>706</v>
      </c>
      <c r="AE187" s="152" t="s">
        <v>637</v>
      </c>
      <c r="AF187" s="152" t="s">
        <v>637</v>
      </c>
      <c r="AG187" s="152" t="s">
        <v>637</v>
      </c>
      <c r="AH187" s="152" t="s">
        <v>664</v>
      </c>
      <c r="AI187" s="152" t="s">
        <v>628</v>
      </c>
      <c r="AJ187" s="152" t="s">
        <v>680</v>
      </c>
      <c r="AK187" s="152" t="s">
        <v>634</v>
      </c>
      <c r="AL187" s="152" t="s">
        <v>637</v>
      </c>
      <c r="AM187" s="152" t="s">
        <v>1155</v>
      </c>
      <c r="AO187" s="152" t="s">
        <v>833</v>
      </c>
      <c r="AP187" s="152" t="s">
        <v>1154</v>
      </c>
      <c r="AQ187" s="152" t="s">
        <v>832</v>
      </c>
      <c r="AR187" s="152" t="s">
        <v>629</v>
      </c>
      <c r="AS187" s="152" t="s">
        <v>628</v>
      </c>
      <c r="AT187" s="152" t="s">
        <v>695</v>
      </c>
      <c r="AU187" s="152">
        <v>2019</v>
      </c>
      <c r="AV187" s="339">
        <v>6995</v>
      </c>
      <c r="AW187" s="339">
        <v>1913120</v>
      </c>
      <c r="AX187" s="152">
        <v>29</v>
      </c>
      <c r="AY187" s="152">
        <v>0</v>
      </c>
      <c r="AZ187" s="152">
        <v>75</v>
      </c>
      <c r="BA187" s="152">
        <v>6.0370119E-2</v>
      </c>
      <c r="BB187" s="152">
        <v>588</v>
      </c>
      <c r="BC187" s="152">
        <v>90</v>
      </c>
      <c r="BD187" s="152">
        <v>7.8179997999999999</v>
      </c>
    </row>
    <row r="188" spans="1:56" x14ac:dyDescent="0.25">
      <c r="A188" s="152" t="s">
        <v>1056</v>
      </c>
      <c r="B188" s="152">
        <v>43.608834000000002</v>
      </c>
      <c r="C188" s="152">
        <v>-96.980678999999995</v>
      </c>
      <c r="D188" s="152">
        <v>34</v>
      </c>
      <c r="E188" s="152" t="s">
        <v>652</v>
      </c>
      <c r="F188" s="152">
        <v>2016</v>
      </c>
      <c r="G188" s="340">
        <v>42392.475694444445</v>
      </c>
      <c r="H188" s="152" t="s">
        <v>637</v>
      </c>
      <c r="I188" s="152" t="s">
        <v>669</v>
      </c>
      <c r="J188" s="152" t="s">
        <v>650</v>
      </c>
      <c r="L188" s="152" t="s">
        <v>1055</v>
      </c>
      <c r="M188" s="152" t="s">
        <v>693</v>
      </c>
      <c r="N188" s="152" t="s">
        <v>637</v>
      </c>
      <c r="O188" s="152" t="s">
        <v>647</v>
      </c>
      <c r="P188" s="152" t="s">
        <v>646</v>
      </c>
      <c r="Q188" s="152" t="s">
        <v>637</v>
      </c>
      <c r="R188" s="152" t="s">
        <v>709</v>
      </c>
      <c r="S188" s="152" t="s">
        <v>637</v>
      </c>
      <c r="T188" s="152" t="s">
        <v>708</v>
      </c>
      <c r="U188" s="152" t="s">
        <v>644</v>
      </c>
      <c r="V188" s="152" t="s">
        <v>96</v>
      </c>
      <c r="W188" s="152" t="s">
        <v>643</v>
      </c>
      <c r="Y188" s="152" t="s">
        <v>637</v>
      </c>
      <c r="Z188" s="152" t="s">
        <v>642</v>
      </c>
      <c r="AA188" s="152" t="s">
        <v>641</v>
      </c>
      <c r="AB188" s="152" t="s">
        <v>640</v>
      </c>
      <c r="AC188" s="152" t="s">
        <v>708</v>
      </c>
      <c r="AD188" s="152" t="s">
        <v>638</v>
      </c>
      <c r="AE188" s="152" t="s">
        <v>637</v>
      </c>
      <c r="AF188" s="152" t="s">
        <v>637</v>
      </c>
      <c r="AG188" s="152" t="s">
        <v>637</v>
      </c>
      <c r="AH188" s="152" t="s">
        <v>677</v>
      </c>
      <c r="AI188" s="152" t="s">
        <v>655</v>
      </c>
      <c r="AJ188" s="152" t="s">
        <v>635</v>
      </c>
      <c r="AK188" s="152" t="s">
        <v>634</v>
      </c>
      <c r="AL188" s="152" t="s">
        <v>633</v>
      </c>
      <c r="AM188" s="152" t="s">
        <v>786</v>
      </c>
      <c r="AO188" s="152" t="s">
        <v>631</v>
      </c>
      <c r="AP188" s="152" t="s">
        <v>628</v>
      </c>
      <c r="AQ188" s="152" t="s">
        <v>703</v>
      </c>
      <c r="AR188" s="152" t="s">
        <v>629</v>
      </c>
      <c r="AS188" s="152" t="s">
        <v>628</v>
      </c>
      <c r="AT188" s="152" t="s">
        <v>627</v>
      </c>
      <c r="AU188" s="152">
        <v>2016</v>
      </c>
      <c r="AV188" s="339">
        <v>6995</v>
      </c>
      <c r="AW188" s="339">
        <v>1600789</v>
      </c>
      <c r="AX188" s="152">
        <v>23</v>
      </c>
      <c r="AY188" s="152">
        <v>0</v>
      </c>
      <c r="AZ188" s="152">
        <v>75</v>
      </c>
      <c r="BA188" s="152">
        <v>0.225436724</v>
      </c>
      <c r="BB188" s="152">
        <v>17</v>
      </c>
      <c r="BC188" s="152">
        <v>90</v>
      </c>
      <c r="BD188" s="152">
        <v>7.8179997999999999</v>
      </c>
    </row>
    <row r="189" spans="1:56" x14ac:dyDescent="0.25">
      <c r="A189" s="152" t="s">
        <v>1056</v>
      </c>
      <c r="B189" s="152">
        <v>43.608834000000002</v>
      </c>
      <c r="C189" s="152">
        <v>-96.980455000000006</v>
      </c>
      <c r="D189" s="152">
        <v>34</v>
      </c>
      <c r="E189" s="152" t="s">
        <v>697</v>
      </c>
      <c r="F189" s="152">
        <v>2018</v>
      </c>
      <c r="G189" s="340">
        <v>43222.875</v>
      </c>
      <c r="H189" s="152" t="s">
        <v>637</v>
      </c>
      <c r="I189" s="152" t="s">
        <v>696</v>
      </c>
      <c r="J189" s="152" t="s">
        <v>697</v>
      </c>
      <c r="L189" s="152" t="s">
        <v>1055</v>
      </c>
      <c r="M189" s="152" t="s">
        <v>676</v>
      </c>
      <c r="N189" s="152" t="s">
        <v>637</v>
      </c>
      <c r="O189" s="152" t="s">
        <v>647</v>
      </c>
      <c r="P189" s="152" t="s">
        <v>696</v>
      </c>
      <c r="Q189" s="152" t="s">
        <v>637</v>
      </c>
      <c r="R189" s="152" t="s">
        <v>701</v>
      </c>
      <c r="S189" s="152" t="s">
        <v>637</v>
      </c>
      <c r="T189" s="152" t="s">
        <v>701</v>
      </c>
      <c r="U189" s="152" t="s">
        <v>644</v>
      </c>
      <c r="V189" s="152" t="s">
        <v>96</v>
      </c>
      <c r="W189" s="152" t="s">
        <v>643</v>
      </c>
      <c r="Y189" s="152" t="s">
        <v>637</v>
      </c>
      <c r="Z189" s="152" t="s">
        <v>642</v>
      </c>
      <c r="AA189" s="152" t="s">
        <v>665</v>
      </c>
      <c r="AB189" s="152" t="s">
        <v>640</v>
      </c>
      <c r="AC189" s="152" t="s">
        <v>701</v>
      </c>
      <c r="AD189" s="152" t="s">
        <v>752</v>
      </c>
      <c r="AE189" s="152" t="s">
        <v>637</v>
      </c>
      <c r="AF189" s="152" t="s">
        <v>637</v>
      </c>
      <c r="AG189" s="152" t="s">
        <v>637</v>
      </c>
      <c r="AH189" s="152" t="s">
        <v>664</v>
      </c>
      <c r="AI189" s="152" t="s">
        <v>699</v>
      </c>
      <c r="AJ189" s="152" t="s">
        <v>696</v>
      </c>
      <c r="AL189" s="152" t="s">
        <v>637</v>
      </c>
      <c r="AM189" s="152" t="s">
        <v>939</v>
      </c>
      <c r="AO189" s="152" t="s">
        <v>715</v>
      </c>
      <c r="AP189" s="152" t="s">
        <v>697</v>
      </c>
      <c r="AQ189" s="152" t="s">
        <v>882</v>
      </c>
      <c r="AS189" s="152" t="s">
        <v>696</v>
      </c>
      <c r="AT189" s="152" t="s">
        <v>702</v>
      </c>
      <c r="AU189" s="152">
        <v>2018</v>
      </c>
      <c r="AV189" s="339">
        <v>6995</v>
      </c>
      <c r="AW189" s="339">
        <v>1805088</v>
      </c>
      <c r="AX189" s="152">
        <v>2</v>
      </c>
      <c r="AY189" s="152">
        <v>-1</v>
      </c>
      <c r="AZ189" s="152">
        <v>75</v>
      </c>
      <c r="BA189" s="152">
        <v>0.186210135</v>
      </c>
      <c r="BB189" s="152">
        <v>376</v>
      </c>
      <c r="BC189" s="152">
        <v>90</v>
      </c>
      <c r="BD189" s="152">
        <v>7.8179997999999999</v>
      </c>
    </row>
    <row r="190" spans="1:56" x14ac:dyDescent="0.25">
      <c r="A190" s="152" t="s">
        <v>1056</v>
      </c>
      <c r="B190" s="152">
        <v>43.608834000000002</v>
      </c>
      <c r="C190" s="152">
        <v>-96.979827</v>
      </c>
      <c r="D190" s="152">
        <v>34</v>
      </c>
      <c r="E190" s="152" t="s">
        <v>697</v>
      </c>
      <c r="F190" s="152">
        <v>2018</v>
      </c>
      <c r="G190" s="340">
        <v>43235.958333333336</v>
      </c>
      <c r="H190" s="152" t="s">
        <v>637</v>
      </c>
      <c r="I190" s="152" t="s">
        <v>696</v>
      </c>
      <c r="J190" s="152" t="s">
        <v>697</v>
      </c>
      <c r="L190" s="152" t="s">
        <v>1055</v>
      </c>
      <c r="M190" s="152" t="s">
        <v>736</v>
      </c>
      <c r="N190" s="152" t="s">
        <v>637</v>
      </c>
      <c r="O190" s="152" t="s">
        <v>647</v>
      </c>
      <c r="P190" s="152" t="s">
        <v>696</v>
      </c>
      <c r="Q190" s="152" t="s">
        <v>637</v>
      </c>
      <c r="R190" s="152" t="s">
        <v>701</v>
      </c>
      <c r="S190" s="152" t="s">
        <v>637</v>
      </c>
      <c r="T190" s="152" t="s">
        <v>701</v>
      </c>
      <c r="U190" s="152" t="s">
        <v>644</v>
      </c>
      <c r="V190" s="152" t="s">
        <v>96</v>
      </c>
      <c r="W190" s="152" t="s">
        <v>643</v>
      </c>
      <c r="Y190" s="152" t="s">
        <v>637</v>
      </c>
      <c r="Z190" s="152" t="s">
        <v>642</v>
      </c>
      <c r="AA190" s="152" t="s">
        <v>665</v>
      </c>
      <c r="AB190" s="152" t="s">
        <v>640</v>
      </c>
      <c r="AC190" s="152" t="s">
        <v>701</v>
      </c>
      <c r="AD190" s="152" t="s">
        <v>752</v>
      </c>
      <c r="AE190" s="152" t="s">
        <v>637</v>
      </c>
      <c r="AF190" s="152" t="s">
        <v>637</v>
      </c>
      <c r="AG190" s="152" t="s">
        <v>637</v>
      </c>
      <c r="AH190" s="152" t="s">
        <v>664</v>
      </c>
      <c r="AI190" s="152" t="s">
        <v>699</v>
      </c>
      <c r="AJ190" s="152" t="s">
        <v>696</v>
      </c>
      <c r="AL190" s="152" t="s">
        <v>637</v>
      </c>
      <c r="AM190" s="152" t="s">
        <v>761</v>
      </c>
      <c r="AO190" s="152" t="s">
        <v>715</v>
      </c>
      <c r="AP190" s="152" t="s">
        <v>697</v>
      </c>
      <c r="AQ190" s="152" t="s">
        <v>630</v>
      </c>
      <c r="AS190" s="152" t="s">
        <v>696</v>
      </c>
      <c r="AT190" s="152" t="s">
        <v>702</v>
      </c>
      <c r="AU190" s="152">
        <v>2018</v>
      </c>
      <c r="AV190" s="339">
        <v>6995</v>
      </c>
      <c r="AW190" s="339">
        <v>1809000</v>
      </c>
      <c r="AX190" s="152">
        <v>15</v>
      </c>
      <c r="AY190" s="152">
        <v>-1</v>
      </c>
      <c r="AZ190" s="152">
        <v>75</v>
      </c>
      <c r="BA190" s="152">
        <v>7.7664320999999994E-2</v>
      </c>
      <c r="BB190" s="152">
        <v>427</v>
      </c>
      <c r="BC190" s="152">
        <v>90</v>
      </c>
      <c r="BD190" s="152">
        <v>7.8179997999999999</v>
      </c>
    </row>
    <row r="191" spans="1:56" x14ac:dyDescent="0.25">
      <c r="A191" s="152" t="s">
        <v>1056</v>
      </c>
      <c r="B191" s="152">
        <v>43.608834000000002</v>
      </c>
      <c r="C191" s="152">
        <v>-96.979011</v>
      </c>
      <c r="D191" s="152">
        <v>34</v>
      </c>
      <c r="E191" s="152" t="s">
        <v>697</v>
      </c>
      <c r="F191" s="152">
        <v>2017</v>
      </c>
      <c r="G191" s="340">
        <v>43001.270833333336</v>
      </c>
      <c r="H191" s="152" t="s">
        <v>637</v>
      </c>
      <c r="I191" s="152" t="s">
        <v>669</v>
      </c>
      <c r="J191" s="152" t="s">
        <v>697</v>
      </c>
      <c r="L191" s="152" t="s">
        <v>1055</v>
      </c>
      <c r="M191" s="152" t="s">
        <v>693</v>
      </c>
      <c r="N191" s="152" t="s">
        <v>637</v>
      </c>
      <c r="O191" s="152" t="s">
        <v>647</v>
      </c>
      <c r="P191" s="152" t="s">
        <v>696</v>
      </c>
      <c r="Q191" s="152" t="s">
        <v>637</v>
      </c>
      <c r="R191" s="152" t="s">
        <v>701</v>
      </c>
      <c r="S191" s="152" t="s">
        <v>637</v>
      </c>
      <c r="T191" s="152" t="s">
        <v>701</v>
      </c>
      <c r="U191" s="152" t="s">
        <v>644</v>
      </c>
      <c r="V191" s="152" t="s">
        <v>96</v>
      </c>
      <c r="W191" s="152" t="s">
        <v>643</v>
      </c>
      <c r="Y191" s="152" t="s">
        <v>637</v>
      </c>
      <c r="Z191" s="152" t="s">
        <v>642</v>
      </c>
      <c r="AA191" s="152" t="s">
        <v>665</v>
      </c>
      <c r="AB191" s="152" t="s">
        <v>640</v>
      </c>
      <c r="AC191" s="152" t="s">
        <v>701</v>
      </c>
      <c r="AD191" s="152" t="s">
        <v>706</v>
      </c>
      <c r="AE191" s="152" t="s">
        <v>637</v>
      </c>
      <c r="AF191" s="152" t="s">
        <v>637</v>
      </c>
      <c r="AG191" s="152" t="s">
        <v>637</v>
      </c>
      <c r="AH191" s="152" t="s">
        <v>664</v>
      </c>
      <c r="AI191" s="152" t="s">
        <v>699</v>
      </c>
      <c r="AJ191" s="152" t="s">
        <v>635</v>
      </c>
      <c r="AL191" s="152" t="s">
        <v>637</v>
      </c>
      <c r="AM191" s="152" t="s">
        <v>847</v>
      </c>
      <c r="AO191" s="152" t="s">
        <v>715</v>
      </c>
      <c r="AP191" s="152" t="s">
        <v>697</v>
      </c>
      <c r="AQ191" s="152" t="s">
        <v>630</v>
      </c>
      <c r="AR191" s="152" t="s">
        <v>629</v>
      </c>
      <c r="AS191" s="152" t="s">
        <v>696</v>
      </c>
      <c r="AU191" s="152">
        <v>2017</v>
      </c>
      <c r="AV191" s="339">
        <v>6995</v>
      </c>
      <c r="AW191" s="339">
        <v>1712207</v>
      </c>
      <c r="AX191" s="152">
        <v>23</v>
      </c>
      <c r="AY191" s="152">
        <v>-1</v>
      </c>
      <c r="AZ191" s="152">
        <v>75</v>
      </c>
      <c r="BA191" s="152">
        <v>6.189381E-2</v>
      </c>
      <c r="BB191" s="152">
        <v>285</v>
      </c>
      <c r="BC191" s="152">
        <v>90</v>
      </c>
      <c r="BD191" s="152">
        <v>7.8179997999999999</v>
      </c>
    </row>
    <row r="192" spans="1:56" x14ac:dyDescent="0.25">
      <c r="A192" s="152" t="s">
        <v>1056</v>
      </c>
      <c r="B192" s="152">
        <v>43.608834999999999</v>
      </c>
      <c r="C192" s="152">
        <v>-96.975532999999999</v>
      </c>
      <c r="D192" s="152">
        <v>34</v>
      </c>
      <c r="E192" s="152" t="s">
        <v>697</v>
      </c>
      <c r="F192" s="152">
        <v>2016</v>
      </c>
      <c r="G192" s="340">
        <v>42634.302083333336</v>
      </c>
      <c r="H192" s="152" t="s">
        <v>637</v>
      </c>
      <c r="I192" s="152" t="s">
        <v>696</v>
      </c>
      <c r="J192" s="152" t="s">
        <v>697</v>
      </c>
      <c r="L192" s="152" t="s">
        <v>1055</v>
      </c>
      <c r="M192" s="152" t="s">
        <v>676</v>
      </c>
      <c r="N192" s="152" t="s">
        <v>637</v>
      </c>
      <c r="O192" s="152" t="s">
        <v>647</v>
      </c>
      <c r="P192" s="152" t="s">
        <v>696</v>
      </c>
      <c r="Q192" s="152" t="s">
        <v>637</v>
      </c>
      <c r="R192" s="152" t="s">
        <v>701</v>
      </c>
      <c r="S192" s="152" t="s">
        <v>637</v>
      </c>
      <c r="T192" s="152" t="s">
        <v>701</v>
      </c>
      <c r="U192" s="152" t="s">
        <v>644</v>
      </c>
      <c r="V192" s="152" t="s">
        <v>96</v>
      </c>
      <c r="W192" s="152" t="s">
        <v>643</v>
      </c>
      <c r="Y192" s="152" t="s">
        <v>637</v>
      </c>
      <c r="Z192" s="152" t="s">
        <v>642</v>
      </c>
      <c r="AA192" s="152" t="s">
        <v>641</v>
      </c>
      <c r="AB192" s="152" t="s">
        <v>640</v>
      </c>
      <c r="AC192" s="152" t="s">
        <v>701</v>
      </c>
      <c r="AD192" s="152" t="s">
        <v>706</v>
      </c>
      <c r="AE192" s="152" t="s">
        <v>637</v>
      </c>
      <c r="AF192" s="152" t="s">
        <v>637</v>
      </c>
      <c r="AG192" s="152" t="s">
        <v>637</v>
      </c>
      <c r="AH192" s="152" t="s">
        <v>664</v>
      </c>
      <c r="AI192" s="152" t="s">
        <v>699</v>
      </c>
      <c r="AJ192" s="152" t="s">
        <v>696</v>
      </c>
      <c r="AL192" s="152" t="s">
        <v>637</v>
      </c>
      <c r="AM192" s="152" t="s">
        <v>1068</v>
      </c>
      <c r="AO192" s="152" t="s">
        <v>715</v>
      </c>
      <c r="AP192" s="152" t="s">
        <v>697</v>
      </c>
      <c r="AQ192" s="152" t="s">
        <v>703</v>
      </c>
      <c r="AS192" s="152" t="s">
        <v>696</v>
      </c>
      <c r="AT192" s="152" t="s">
        <v>702</v>
      </c>
      <c r="AU192" s="152">
        <v>2016</v>
      </c>
      <c r="AV192" s="339">
        <v>6995</v>
      </c>
      <c r="AW192" s="339">
        <v>1611472</v>
      </c>
      <c r="AX192" s="152">
        <v>21</v>
      </c>
      <c r="AY192" s="152">
        <v>-1</v>
      </c>
      <c r="AZ192" s="152">
        <v>75</v>
      </c>
      <c r="BA192" s="152">
        <v>1.2401866239999999</v>
      </c>
      <c r="BB192" s="152">
        <v>104</v>
      </c>
      <c r="BC192" s="152">
        <v>90</v>
      </c>
      <c r="BD192" s="152">
        <v>7.8179997999999999</v>
      </c>
    </row>
    <row r="193" spans="1:56" x14ac:dyDescent="0.25">
      <c r="A193" s="152" t="s">
        <v>1056</v>
      </c>
      <c r="B193" s="152">
        <v>43.608837999999999</v>
      </c>
      <c r="C193" s="152">
        <v>-96.975048999999999</v>
      </c>
      <c r="D193" s="152">
        <v>34</v>
      </c>
      <c r="E193" s="152" t="s">
        <v>746</v>
      </c>
      <c r="F193" s="152">
        <v>2016</v>
      </c>
      <c r="G193" s="340">
        <v>42510.170138888891</v>
      </c>
      <c r="H193" s="152" t="s">
        <v>637</v>
      </c>
      <c r="I193" s="152" t="s">
        <v>669</v>
      </c>
      <c r="J193" s="152" t="s">
        <v>650</v>
      </c>
      <c r="L193" s="152" t="s">
        <v>1055</v>
      </c>
      <c r="M193" s="152" t="s">
        <v>648</v>
      </c>
      <c r="N193" s="152" t="s">
        <v>637</v>
      </c>
      <c r="O193" s="152" t="s">
        <v>647</v>
      </c>
      <c r="P193" s="152" t="s">
        <v>628</v>
      </c>
      <c r="Q193" s="152" t="s">
        <v>637</v>
      </c>
      <c r="R193" s="152" t="s">
        <v>701</v>
      </c>
      <c r="S193" s="152" t="s">
        <v>637</v>
      </c>
      <c r="T193" s="152" t="s">
        <v>701</v>
      </c>
      <c r="U193" s="152" t="s">
        <v>644</v>
      </c>
      <c r="V193" s="152" t="s">
        <v>96</v>
      </c>
      <c r="W193" s="152" t="s">
        <v>643</v>
      </c>
      <c r="Y193" s="152" t="s">
        <v>637</v>
      </c>
      <c r="Z193" s="152" t="s">
        <v>642</v>
      </c>
      <c r="AA193" s="152" t="s">
        <v>665</v>
      </c>
      <c r="AB193" s="152" t="s">
        <v>640</v>
      </c>
      <c r="AC193" s="152" t="s">
        <v>701</v>
      </c>
      <c r="AD193" s="152" t="s">
        <v>752</v>
      </c>
      <c r="AE193" s="152" t="s">
        <v>633</v>
      </c>
      <c r="AF193" s="152" t="s">
        <v>637</v>
      </c>
      <c r="AG193" s="152" t="s">
        <v>637</v>
      </c>
      <c r="AH193" s="152" t="s">
        <v>664</v>
      </c>
      <c r="AI193" s="152" t="s">
        <v>699</v>
      </c>
      <c r="AJ193" s="152" t="s">
        <v>635</v>
      </c>
      <c r="AK193" s="152" t="s">
        <v>1153</v>
      </c>
      <c r="AL193" s="152" t="s">
        <v>637</v>
      </c>
      <c r="AM193" s="152" t="s">
        <v>1152</v>
      </c>
      <c r="AO193" s="152" t="s">
        <v>715</v>
      </c>
      <c r="AP193" s="152" t="s">
        <v>628</v>
      </c>
      <c r="AQ193" s="152" t="s">
        <v>972</v>
      </c>
      <c r="AR193" s="152" t="s">
        <v>629</v>
      </c>
      <c r="AS193" s="152" t="s">
        <v>628</v>
      </c>
      <c r="AT193" s="152" t="s">
        <v>702</v>
      </c>
      <c r="AU193" s="152">
        <v>2016</v>
      </c>
      <c r="AV193" s="339">
        <v>6995</v>
      </c>
      <c r="AW193" s="339">
        <v>1606106</v>
      </c>
      <c r="AX193" s="152">
        <v>20</v>
      </c>
      <c r="AY193" s="152">
        <v>0</v>
      </c>
      <c r="AZ193" s="152">
        <v>75</v>
      </c>
      <c r="BA193" s="152">
        <v>0.20563506200000001</v>
      </c>
      <c r="BB193" s="152">
        <v>62</v>
      </c>
      <c r="BC193" s="152">
        <v>90</v>
      </c>
      <c r="BD193" s="152">
        <v>7.8179997999999999</v>
      </c>
    </row>
    <row r="194" spans="1:56" x14ac:dyDescent="0.25">
      <c r="A194" s="152" t="s">
        <v>1056</v>
      </c>
      <c r="B194" s="152">
        <v>43.608837999999999</v>
      </c>
      <c r="C194" s="152">
        <v>-96.96611</v>
      </c>
      <c r="D194" s="152">
        <v>34</v>
      </c>
      <c r="E194" s="152" t="s">
        <v>697</v>
      </c>
      <c r="F194" s="152">
        <v>2018</v>
      </c>
      <c r="G194" s="340">
        <v>43316.427083333336</v>
      </c>
      <c r="H194" s="152" t="s">
        <v>637</v>
      </c>
      <c r="I194" s="152" t="s">
        <v>696</v>
      </c>
      <c r="J194" s="152" t="s">
        <v>697</v>
      </c>
      <c r="L194" s="152" t="s">
        <v>1055</v>
      </c>
      <c r="M194" s="152" t="s">
        <v>693</v>
      </c>
      <c r="N194" s="152" t="s">
        <v>637</v>
      </c>
      <c r="O194" s="152" t="s">
        <v>647</v>
      </c>
      <c r="P194" s="152" t="s">
        <v>696</v>
      </c>
      <c r="Q194" s="152" t="s">
        <v>637</v>
      </c>
      <c r="R194" s="152" t="s">
        <v>701</v>
      </c>
      <c r="S194" s="152" t="s">
        <v>637</v>
      </c>
      <c r="T194" s="152" t="s">
        <v>701</v>
      </c>
      <c r="U194" s="152" t="s">
        <v>644</v>
      </c>
      <c r="V194" s="152" t="s">
        <v>96</v>
      </c>
      <c r="W194" s="152" t="s">
        <v>643</v>
      </c>
      <c r="Y194" s="152" t="s">
        <v>637</v>
      </c>
      <c r="Z194" s="152" t="s">
        <v>642</v>
      </c>
      <c r="AA194" s="152" t="s">
        <v>641</v>
      </c>
      <c r="AB194" s="152" t="s">
        <v>640</v>
      </c>
      <c r="AC194" s="152" t="s">
        <v>701</v>
      </c>
      <c r="AD194" s="152" t="s">
        <v>738</v>
      </c>
      <c r="AE194" s="152" t="s">
        <v>637</v>
      </c>
      <c r="AF194" s="152" t="s">
        <v>637</v>
      </c>
      <c r="AG194" s="152" t="s">
        <v>637</v>
      </c>
      <c r="AH194" s="152" t="s">
        <v>664</v>
      </c>
      <c r="AI194" s="152" t="s">
        <v>699</v>
      </c>
      <c r="AJ194" s="152" t="s">
        <v>696</v>
      </c>
      <c r="AL194" s="152" t="s">
        <v>637</v>
      </c>
      <c r="AM194" s="152" t="s">
        <v>1151</v>
      </c>
      <c r="AO194" s="152" t="s">
        <v>715</v>
      </c>
      <c r="AP194" s="152" t="s">
        <v>697</v>
      </c>
      <c r="AQ194" s="152" t="s">
        <v>671</v>
      </c>
      <c r="AS194" s="152" t="s">
        <v>696</v>
      </c>
      <c r="AT194" s="152" t="s">
        <v>702</v>
      </c>
      <c r="AU194" s="152">
        <v>2018</v>
      </c>
      <c r="AV194" s="339">
        <v>6995</v>
      </c>
      <c r="AW194" s="339">
        <v>1809422</v>
      </c>
      <c r="AX194" s="152">
        <v>4</v>
      </c>
      <c r="AY194" s="152">
        <v>-1</v>
      </c>
      <c r="AZ194" s="152">
        <v>75</v>
      </c>
      <c r="BA194" s="152">
        <v>1.650720781</v>
      </c>
      <c r="BB194" s="152">
        <v>430</v>
      </c>
      <c r="BC194" s="152">
        <v>90</v>
      </c>
      <c r="BD194" s="152">
        <v>7.8179997999999999</v>
      </c>
    </row>
    <row r="195" spans="1:56" x14ac:dyDescent="0.25">
      <c r="A195" s="152" t="s">
        <v>1056</v>
      </c>
      <c r="B195" s="152">
        <v>43.608839000000003</v>
      </c>
      <c r="C195" s="152">
        <v>-96.976783999999995</v>
      </c>
      <c r="D195" s="152">
        <v>34</v>
      </c>
      <c r="E195" s="152" t="s">
        <v>652</v>
      </c>
      <c r="F195" s="152">
        <v>2018</v>
      </c>
      <c r="G195" s="340">
        <v>43461.552777777775</v>
      </c>
      <c r="H195" s="152" t="s">
        <v>637</v>
      </c>
      <c r="I195" s="152" t="s">
        <v>669</v>
      </c>
      <c r="J195" s="152" t="s">
        <v>650</v>
      </c>
      <c r="L195" s="152" t="s">
        <v>1055</v>
      </c>
      <c r="M195" s="152" t="s">
        <v>668</v>
      </c>
      <c r="N195" s="152" t="s">
        <v>637</v>
      </c>
      <c r="O195" s="152" t="s">
        <v>647</v>
      </c>
      <c r="P195" s="152" t="s">
        <v>820</v>
      </c>
      <c r="Q195" s="152" t="s">
        <v>637</v>
      </c>
      <c r="R195" s="152" t="s">
        <v>874</v>
      </c>
      <c r="S195" s="152" t="s">
        <v>637</v>
      </c>
      <c r="T195" s="152" t="s">
        <v>687</v>
      </c>
      <c r="U195" s="152" t="s">
        <v>644</v>
      </c>
      <c r="V195" s="152" t="s">
        <v>96</v>
      </c>
      <c r="W195" s="152" t="s">
        <v>643</v>
      </c>
      <c r="Y195" s="152" t="s">
        <v>637</v>
      </c>
      <c r="Z195" s="152" t="s">
        <v>642</v>
      </c>
      <c r="AA195" s="152" t="s">
        <v>641</v>
      </c>
      <c r="AB195" s="152" t="s">
        <v>640</v>
      </c>
      <c r="AC195" s="152" t="s">
        <v>687</v>
      </c>
      <c r="AD195" s="152" t="s">
        <v>681</v>
      </c>
      <c r="AE195" s="152" t="s">
        <v>637</v>
      </c>
      <c r="AF195" s="152" t="s">
        <v>637</v>
      </c>
      <c r="AG195" s="152" t="s">
        <v>637</v>
      </c>
      <c r="AH195" s="152" t="s">
        <v>636</v>
      </c>
      <c r="AI195" s="152" t="s">
        <v>655</v>
      </c>
      <c r="AJ195" s="152" t="s">
        <v>635</v>
      </c>
      <c r="AK195" s="152" t="s">
        <v>634</v>
      </c>
      <c r="AL195" s="152" t="s">
        <v>633</v>
      </c>
      <c r="AM195" s="152" t="s">
        <v>1150</v>
      </c>
      <c r="AO195" s="152" t="s">
        <v>715</v>
      </c>
      <c r="AP195" s="152" t="s">
        <v>628</v>
      </c>
      <c r="AQ195" s="152" t="s">
        <v>662</v>
      </c>
      <c r="AR195" s="152" t="s">
        <v>629</v>
      </c>
      <c r="AS195" s="152" t="s">
        <v>678</v>
      </c>
      <c r="AT195" s="152" t="s">
        <v>677</v>
      </c>
      <c r="AU195" s="152">
        <v>2018</v>
      </c>
      <c r="AV195" s="339">
        <v>6995</v>
      </c>
      <c r="AW195" s="339">
        <v>1817080</v>
      </c>
      <c r="AX195" s="152">
        <v>27</v>
      </c>
      <c r="AY195" s="152">
        <v>0</v>
      </c>
      <c r="AZ195" s="152">
        <v>75</v>
      </c>
      <c r="BA195" s="152">
        <v>4.6017304000000002E-2</v>
      </c>
      <c r="BB195" s="152">
        <v>497</v>
      </c>
      <c r="BC195" s="152">
        <v>90</v>
      </c>
      <c r="BD195" s="152">
        <v>7.8179997999999999</v>
      </c>
    </row>
    <row r="196" spans="1:56" x14ac:dyDescent="0.25">
      <c r="A196" s="152" t="s">
        <v>1056</v>
      </c>
      <c r="B196" s="152">
        <v>43.608839000000003</v>
      </c>
      <c r="C196" s="152">
        <v>-96.965107000000003</v>
      </c>
      <c r="D196" s="152">
        <v>34</v>
      </c>
      <c r="E196" s="152" t="s">
        <v>697</v>
      </c>
      <c r="F196" s="152">
        <v>2020</v>
      </c>
      <c r="G196" s="340">
        <v>43981.388888888891</v>
      </c>
      <c r="H196" s="152" t="s">
        <v>637</v>
      </c>
      <c r="I196" s="152" t="s">
        <v>696</v>
      </c>
      <c r="J196" s="152" t="s">
        <v>697</v>
      </c>
      <c r="L196" s="152" t="s">
        <v>1055</v>
      </c>
      <c r="M196" s="152" t="s">
        <v>693</v>
      </c>
      <c r="N196" s="152" t="s">
        <v>637</v>
      </c>
      <c r="O196" s="152" t="s">
        <v>647</v>
      </c>
      <c r="P196" s="152" t="s">
        <v>696</v>
      </c>
      <c r="Q196" s="152" t="s">
        <v>637</v>
      </c>
      <c r="R196" s="152" t="s">
        <v>701</v>
      </c>
      <c r="S196" s="152" t="s">
        <v>637</v>
      </c>
      <c r="T196" s="152" t="s">
        <v>701</v>
      </c>
      <c r="U196" s="152" t="s">
        <v>644</v>
      </c>
      <c r="V196" s="152" t="s">
        <v>96</v>
      </c>
      <c r="W196" s="152" t="s">
        <v>643</v>
      </c>
      <c r="Y196" s="152" t="s">
        <v>637</v>
      </c>
      <c r="Z196" s="152" t="s">
        <v>696</v>
      </c>
      <c r="AA196" s="152" t="s">
        <v>641</v>
      </c>
      <c r="AB196" s="152" t="s">
        <v>640</v>
      </c>
      <c r="AC196" s="152" t="s">
        <v>701</v>
      </c>
      <c r="AD196" s="152" t="s">
        <v>752</v>
      </c>
      <c r="AE196" s="152" t="s">
        <v>637</v>
      </c>
      <c r="AF196" s="152" t="s">
        <v>637</v>
      </c>
      <c r="AG196" s="152" t="s">
        <v>637</v>
      </c>
      <c r="AH196" s="152" t="s">
        <v>664</v>
      </c>
      <c r="AI196" s="152" t="s">
        <v>699</v>
      </c>
      <c r="AJ196" s="152" t="s">
        <v>696</v>
      </c>
      <c r="AL196" s="152" t="s">
        <v>637</v>
      </c>
      <c r="AM196" s="152" t="s">
        <v>1149</v>
      </c>
      <c r="AO196" s="152" t="s">
        <v>715</v>
      </c>
      <c r="AP196" s="152" t="s">
        <v>697</v>
      </c>
      <c r="AQ196" s="152" t="s">
        <v>630</v>
      </c>
      <c r="AS196" s="152" t="s">
        <v>696</v>
      </c>
      <c r="AT196" s="152" t="s">
        <v>702</v>
      </c>
      <c r="AU196" s="152">
        <v>2020</v>
      </c>
      <c r="AV196" s="339">
        <v>6995</v>
      </c>
      <c r="AW196" s="339">
        <v>2005802</v>
      </c>
      <c r="AX196" s="152">
        <v>30</v>
      </c>
      <c r="AY196" s="152">
        <v>-1</v>
      </c>
      <c r="AZ196" s="152">
        <v>75</v>
      </c>
      <c r="BA196" s="152">
        <v>1.0454847780000001</v>
      </c>
      <c r="BB196" s="152">
        <v>684</v>
      </c>
      <c r="BC196" s="152">
        <v>90</v>
      </c>
      <c r="BD196" s="152">
        <v>7.8179997999999999</v>
      </c>
    </row>
    <row r="197" spans="1:56" x14ac:dyDescent="0.25">
      <c r="A197" s="152" t="s">
        <v>1056</v>
      </c>
      <c r="B197" s="152">
        <v>43.608840999999998</v>
      </c>
      <c r="C197" s="152">
        <v>-96.961817999999994</v>
      </c>
      <c r="D197" s="152">
        <v>34</v>
      </c>
      <c r="E197" s="152" t="s">
        <v>697</v>
      </c>
      <c r="F197" s="152">
        <v>2019</v>
      </c>
      <c r="G197" s="340">
        <v>43628.625</v>
      </c>
      <c r="H197" s="152" t="s">
        <v>637</v>
      </c>
      <c r="I197" s="152" t="s">
        <v>696</v>
      </c>
      <c r="J197" s="152" t="s">
        <v>697</v>
      </c>
      <c r="L197" s="152" t="s">
        <v>1055</v>
      </c>
      <c r="M197" s="152" t="s">
        <v>676</v>
      </c>
      <c r="N197" s="152" t="s">
        <v>637</v>
      </c>
      <c r="O197" s="152" t="s">
        <v>647</v>
      </c>
      <c r="P197" s="152" t="s">
        <v>696</v>
      </c>
      <c r="Q197" s="152" t="s">
        <v>637</v>
      </c>
      <c r="R197" s="152" t="s">
        <v>701</v>
      </c>
      <c r="S197" s="152" t="s">
        <v>637</v>
      </c>
      <c r="T197" s="152" t="s">
        <v>701</v>
      </c>
      <c r="U197" s="152" t="s">
        <v>644</v>
      </c>
      <c r="V197" s="152" t="s">
        <v>96</v>
      </c>
      <c r="W197" s="152" t="s">
        <v>643</v>
      </c>
      <c r="Y197" s="152" t="s">
        <v>637</v>
      </c>
      <c r="Z197" s="152" t="s">
        <v>696</v>
      </c>
      <c r="AA197" s="152" t="s">
        <v>641</v>
      </c>
      <c r="AB197" s="152" t="s">
        <v>640</v>
      </c>
      <c r="AC197" s="152" t="s">
        <v>701</v>
      </c>
      <c r="AD197" s="152" t="s">
        <v>771</v>
      </c>
      <c r="AE197" s="152" t="s">
        <v>637</v>
      </c>
      <c r="AF197" s="152" t="s">
        <v>637</v>
      </c>
      <c r="AG197" s="152" t="s">
        <v>637</v>
      </c>
      <c r="AH197" s="152" t="s">
        <v>664</v>
      </c>
      <c r="AI197" s="152" t="s">
        <v>699</v>
      </c>
      <c r="AJ197" s="152" t="s">
        <v>696</v>
      </c>
      <c r="AL197" s="152" t="s">
        <v>637</v>
      </c>
      <c r="AM197" s="152" t="s">
        <v>938</v>
      </c>
      <c r="AO197" s="152" t="s">
        <v>715</v>
      </c>
      <c r="AP197" s="152" t="s">
        <v>697</v>
      </c>
      <c r="AQ197" s="152" t="s">
        <v>630</v>
      </c>
      <c r="AS197" s="152" t="s">
        <v>696</v>
      </c>
      <c r="AT197" s="152" t="s">
        <v>702</v>
      </c>
      <c r="AU197" s="152">
        <v>2019</v>
      </c>
      <c r="AV197" s="339">
        <v>6995</v>
      </c>
      <c r="AW197" s="339">
        <v>1906962</v>
      </c>
      <c r="AX197" s="152">
        <v>12</v>
      </c>
      <c r="AY197" s="152">
        <v>-1</v>
      </c>
      <c r="AZ197" s="152">
        <v>75</v>
      </c>
      <c r="BA197" s="152">
        <v>0.10230968999999999</v>
      </c>
      <c r="BB197" s="152">
        <v>558</v>
      </c>
      <c r="BC197" s="152">
        <v>90</v>
      </c>
      <c r="BD197" s="152">
        <v>7.8179997999999999</v>
      </c>
    </row>
    <row r="198" spans="1:56" x14ac:dyDescent="0.25">
      <c r="A198" s="152" t="s">
        <v>1056</v>
      </c>
      <c r="B198" s="152">
        <v>43.608840999999998</v>
      </c>
      <c r="C198" s="152">
        <v>-96.961153999999993</v>
      </c>
      <c r="D198" s="152">
        <v>34</v>
      </c>
      <c r="E198" s="152" t="s">
        <v>652</v>
      </c>
      <c r="F198" s="152">
        <v>2018</v>
      </c>
      <c r="G198" s="340">
        <v>43407.729166666664</v>
      </c>
      <c r="H198" s="152" t="s">
        <v>637</v>
      </c>
      <c r="I198" s="152" t="s">
        <v>669</v>
      </c>
      <c r="J198" s="152" t="s">
        <v>1098</v>
      </c>
      <c r="L198" s="152" t="s">
        <v>1055</v>
      </c>
      <c r="M198" s="152" t="s">
        <v>693</v>
      </c>
      <c r="N198" s="152" t="s">
        <v>637</v>
      </c>
      <c r="O198" s="152" t="s">
        <v>647</v>
      </c>
      <c r="P198" s="152" t="s">
        <v>628</v>
      </c>
      <c r="Q198" s="152" t="s">
        <v>637</v>
      </c>
      <c r="R198" s="152" t="s">
        <v>849</v>
      </c>
      <c r="S198" s="152" t="s">
        <v>637</v>
      </c>
      <c r="T198" s="152" t="s">
        <v>656</v>
      </c>
      <c r="U198" s="152" t="s">
        <v>644</v>
      </c>
      <c r="V198" s="152" t="s">
        <v>96</v>
      </c>
      <c r="W198" s="152" t="s">
        <v>643</v>
      </c>
      <c r="Y198" s="152" t="s">
        <v>637</v>
      </c>
      <c r="Z198" s="152" t="s">
        <v>642</v>
      </c>
      <c r="AA198" s="152" t="s">
        <v>641</v>
      </c>
      <c r="AB198" s="152" t="s">
        <v>657</v>
      </c>
      <c r="AC198" s="152" t="s">
        <v>656</v>
      </c>
      <c r="AD198" s="152" t="s">
        <v>673</v>
      </c>
      <c r="AE198" s="152" t="s">
        <v>637</v>
      </c>
      <c r="AF198" s="152" t="s">
        <v>637</v>
      </c>
      <c r="AG198" s="152" t="s">
        <v>637</v>
      </c>
      <c r="AH198" s="152" t="s">
        <v>762</v>
      </c>
      <c r="AI198" s="152" t="s">
        <v>628</v>
      </c>
      <c r="AJ198" s="152" t="s">
        <v>635</v>
      </c>
      <c r="AK198" s="152" t="s">
        <v>634</v>
      </c>
      <c r="AL198" s="152" t="s">
        <v>637</v>
      </c>
      <c r="AM198" s="152" t="s">
        <v>930</v>
      </c>
      <c r="AO198" s="152" t="s">
        <v>715</v>
      </c>
      <c r="AP198" s="152" t="s">
        <v>846</v>
      </c>
      <c r="AQ198" s="152" t="s">
        <v>779</v>
      </c>
      <c r="AR198" s="152" t="s">
        <v>629</v>
      </c>
      <c r="AS198" s="152" t="s">
        <v>678</v>
      </c>
      <c r="AT198" s="152" t="s">
        <v>793</v>
      </c>
      <c r="AU198" s="152">
        <v>2018</v>
      </c>
      <c r="AV198" s="339">
        <v>6995</v>
      </c>
      <c r="AW198" s="339">
        <v>1813972</v>
      </c>
      <c r="AX198" s="152">
        <v>3</v>
      </c>
      <c r="AY198" s="152">
        <v>0</v>
      </c>
      <c r="AZ198" s="152">
        <v>75</v>
      </c>
      <c r="BA198" s="152">
        <v>6.4455799999999994E-2</v>
      </c>
      <c r="BB198" s="152">
        <v>461</v>
      </c>
      <c r="BC198" s="152">
        <v>90</v>
      </c>
      <c r="BD198" s="152">
        <v>7.8179997999999999</v>
      </c>
    </row>
    <row r="199" spans="1:56" x14ac:dyDescent="0.25">
      <c r="A199" s="152" t="s">
        <v>1056</v>
      </c>
      <c r="B199" s="152">
        <v>43.608842000000003</v>
      </c>
      <c r="C199" s="152">
        <v>-96.969127999999998</v>
      </c>
      <c r="D199" s="152">
        <v>34</v>
      </c>
      <c r="E199" s="152" t="s">
        <v>697</v>
      </c>
      <c r="F199" s="152">
        <v>2018</v>
      </c>
      <c r="G199" s="340">
        <v>43401.041666666664</v>
      </c>
      <c r="H199" s="152" t="s">
        <v>637</v>
      </c>
      <c r="I199" s="152" t="s">
        <v>696</v>
      </c>
      <c r="J199" s="152" t="s">
        <v>697</v>
      </c>
      <c r="L199" s="152" t="s">
        <v>1055</v>
      </c>
      <c r="M199" s="152" t="s">
        <v>712</v>
      </c>
      <c r="N199" s="152" t="s">
        <v>637</v>
      </c>
      <c r="O199" s="152" t="s">
        <v>647</v>
      </c>
      <c r="P199" s="152" t="s">
        <v>696</v>
      </c>
      <c r="Q199" s="152" t="s">
        <v>637</v>
      </c>
      <c r="R199" s="152" t="s">
        <v>701</v>
      </c>
      <c r="S199" s="152" t="s">
        <v>637</v>
      </c>
      <c r="T199" s="152" t="s">
        <v>701</v>
      </c>
      <c r="U199" s="152" t="s">
        <v>644</v>
      </c>
      <c r="V199" s="152" t="s">
        <v>96</v>
      </c>
      <c r="W199" s="152" t="s">
        <v>643</v>
      </c>
      <c r="Y199" s="152" t="s">
        <v>637</v>
      </c>
      <c r="Z199" s="152" t="s">
        <v>642</v>
      </c>
      <c r="AA199" s="152" t="s">
        <v>1120</v>
      </c>
      <c r="AB199" s="152" t="s">
        <v>640</v>
      </c>
      <c r="AC199" s="152" t="s">
        <v>701</v>
      </c>
      <c r="AD199" s="152" t="s">
        <v>700</v>
      </c>
      <c r="AE199" s="152" t="s">
        <v>637</v>
      </c>
      <c r="AF199" s="152" t="s">
        <v>637</v>
      </c>
      <c r="AG199" s="152" t="s">
        <v>637</v>
      </c>
      <c r="AH199" s="152" t="s">
        <v>664</v>
      </c>
      <c r="AI199" s="152" t="s">
        <v>699</v>
      </c>
      <c r="AJ199" s="152" t="s">
        <v>696</v>
      </c>
      <c r="AL199" s="152" t="s">
        <v>637</v>
      </c>
      <c r="AM199" s="152" t="s">
        <v>968</v>
      </c>
      <c r="AO199" s="152" t="s">
        <v>715</v>
      </c>
      <c r="AP199" s="152" t="s">
        <v>697</v>
      </c>
      <c r="AQ199" s="152" t="s">
        <v>908</v>
      </c>
      <c r="AS199" s="152" t="s">
        <v>696</v>
      </c>
      <c r="AT199" s="152" t="s">
        <v>695</v>
      </c>
      <c r="AU199" s="152">
        <v>2018</v>
      </c>
      <c r="AV199" s="339">
        <v>6995</v>
      </c>
      <c r="AW199" s="339">
        <v>1815990</v>
      </c>
      <c r="AX199" s="152">
        <v>28</v>
      </c>
      <c r="AY199" s="152">
        <v>-1</v>
      </c>
      <c r="AZ199" s="152">
        <v>75</v>
      </c>
      <c r="BA199" s="152">
        <v>0.85996884699999998</v>
      </c>
      <c r="BB199" s="152">
        <v>488</v>
      </c>
      <c r="BC199" s="152">
        <v>90</v>
      </c>
      <c r="BD199" s="152">
        <v>7.8179997999999999</v>
      </c>
    </row>
    <row r="200" spans="1:56" x14ac:dyDescent="0.25">
      <c r="A200" s="152" t="s">
        <v>1056</v>
      </c>
      <c r="B200" s="152">
        <v>43.608843999999998</v>
      </c>
      <c r="C200" s="152">
        <v>-96.960584999999995</v>
      </c>
      <c r="D200" s="152">
        <v>34</v>
      </c>
      <c r="E200" s="152" t="s">
        <v>652</v>
      </c>
      <c r="F200" s="152">
        <v>2016</v>
      </c>
      <c r="G200" s="340">
        <v>42715.565972222219</v>
      </c>
      <c r="H200" s="152" t="s">
        <v>637</v>
      </c>
      <c r="I200" s="152" t="s">
        <v>669</v>
      </c>
      <c r="J200" s="152" t="s">
        <v>650</v>
      </c>
      <c r="L200" s="152" t="s">
        <v>1055</v>
      </c>
      <c r="M200" s="152" t="s">
        <v>712</v>
      </c>
      <c r="N200" s="152" t="s">
        <v>637</v>
      </c>
      <c r="O200" s="152" t="s">
        <v>647</v>
      </c>
      <c r="P200" s="152" t="s">
        <v>646</v>
      </c>
      <c r="Q200" s="152" t="s">
        <v>637</v>
      </c>
      <c r="R200" s="152" t="s">
        <v>1148</v>
      </c>
      <c r="S200" s="152" t="s">
        <v>637</v>
      </c>
      <c r="T200" s="152" t="s">
        <v>723</v>
      </c>
      <c r="U200" s="152" t="s">
        <v>644</v>
      </c>
      <c r="V200" s="152" t="s">
        <v>96</v>
      </c>
      <c r="W200" s="152" t="s">
        <v>643</v>
      </c>
      <c r="Y200" s="152" t="s">
        <v>637</v>
      </c>
      <c r="Z200" s="152" t="s">
        <v>642</v>
      </c>
      <c r="AA200" s="152" t="s">
        <v>641</v>
      </c>
      <c r="AB200" s="152" t="s">
        <v>640</v>
      </c>
      <c r="AC200" s="152" t="s">
        <v>723</v>
      </c>
      <c r="AD200" s="152" t="s">
        <v>681</v>
      </c>
      <c r="AE200" s="152" t="s">
        <v>637</v>
      </c>
      <c r="AF200" s="152" t="s">
        <v>637</v>
      </c>
      <c r="AG200" s="152" t="s">
        <v>637</v>
      </c>
      <c r="AH200" s="152" t="s">
        <v>677</v>
      </c>
      <c r="AI200" s="152" t="s">
        <v>655</v>
      </c>
      <c r="AJ200" s="152" t="s">
        <v>635</v>
      </c>
      <c r="AK200" s="152" t="s">
        <v>634</v>
      </c>
      <c r="AL200" s="152" t="s">
        <v>633</v>
      </c>
      <c r="AM200" s="152" t="s">
        <v>1147</v>
      </c>
      <c r="AO200" s="152" t="s">
        <v>631</v>
      </c>
      <c r="AP200" s="152" t="s">
        <v>628</v>
      </c>
      <c r="AQ200" s="152" t="s">
        <v>630</v>
      </c>
      <c r="AR200" s="152" t="s">
        <v>629</v>
      </c>
      <c r="AS200" s="152" t="s">
        <v>628</v>
      </c>
      <c r="AT200" s="152" t="s">
        <v>627</v>
      </c>
      <c r="AU200" s="152">
        <v>2016</v>
      </c>
      <c r="AV200" s="339">
        <v>6995</v>
      </c>
      <c r="AW200" s="339">
        <v>1616464</v>
      </c>
      <c r="AX200" s="152">
        <v>11</v>
      </c>
      <c r="AY200" s="152">
        <v>0</v>
      </c>
      <c r="AZ200" s="152">
        <v>75</v>
      </c>
      <c r="BA200" s="152">
        <v>1.5224873999999999E-2</v>
      </c>
      <c r="BB200" s="152">
        <v>163</v>
      </c>
      <c r="BC200" s="152">
        <v>90</v>
      </c>
      <c r="BD200" s="152">
        <v>7.8179997999999999</v>
      </c>
    </row>
    <row r="201" spans="1:56" x14ac:dyDescent="0.25">
      <c r="A201" s="152" t="s">
        <v>1056</v>
      </c>
      <c r="B201" s="152">
        <v>43.608846</v>
      </c>
      <c r="C201" s="152">
        <v>-96.960267999999999</v>
      </c>
      <c r="D201" s="152">
        <v>34</v>
      </c>
      <c r="E201" s="152" t="s">
        <v>652</v>
      </c>
      <c r="F201" s="152">
        <v>2019</v>
      </c>
      <c r="G201" s="340">
        <v>43686.180555555555</v>
      </c>
      <c r="H201" s="152" t="s">
        <v>637</v>
      </c>
      <c r="I201" s="152" t="s">
        <v>745</v>
      </c>
      <c r="J201" s="152" t="s">
        <v>660</v>
      </c>
      <c r="K201" s="152" t="s">
        <v>1146</v>
      </c>
      <c r="L201" s="152" t="s">
        <v>1055</v>
      </c>
      <c r="M201" s="152" t="s">
        <v>648</v>
      </c>
      <c r="N201" s="152" t="s">
        <v>637</v>
      </c>
      <c r="O201" s="152" t="s">
        <v>647</v>
      </c>
      <c r="P201" s="152" t="s">
        <v>774</v>
      </c>
      <c r="Q201" s="152" t="s">
        <v>637</v>
      </c>
      <c r="R201" s="152" t="s">
        <v>656</v>
      </c>
      <c r="S201" s="152" t="s">
        <v>637</v>
      </c>
      <c r="T201" s="152" t="s">
        <v>656</v>
      </c>
      <c r="U201" s="152" t="s">
        <v>644</v>
      </c>
      <c r="V201" s="152" t="s">
        <v>96</v>
      </c>
      <c r="W201" s="152" t="s">
        <v>643</v>
      </c>
      <c r="Y201" s="152" t="s">
        <v>637</v>
      </c>
      <c r="Z201" s="152" t="s">
        <v>642</v>
      </c>
      <c r="AA201" s="152" t="s">
        <v>665</v>
      </c>
      <c r="AB201" s="152" t="s">
        <v>728</v>
      </c>
      <c r="AC201" s="152" t="s">
        <v>656</v>
      </c>
      <c r="AD201" s="152" t="s">
        <v>738</v>
      </c>
      <c r="AE201" s="152" t="s">
        <v>637</v>
      </c>
      <c r="AF201" s="152" t="s">
        <v>637</v>
      </c>
      <c r="AG201" s="152" t="s">
        <v>637</v>
      </c>
      <c r="AH201" s="152" t="s">
        <v>664</v>
      </c>
      <c r="AI201" s="152" t="s">
        <v>628</v>
      </c>
      <c r="AJ201" s="152" t="s">
        <v>635</v>
      </c>
      <c r="AK201" s="152" t="s">
        <v>634</v>
      </c>
      <c r="AL201" s="152" t="s">
        <v>637</v>
      </c>
      <c r="AM201" s="152" t="s">
        <v>1145</v>
      </c>
      <c r="AO201" s="152" t="s">
        <v>715</v>
      </c>
      <c r="AP201" s="152" t="s">
        <v>628</v>
      </c>
      <c r="AQ201" s="152" t="s">
        <v>1144</v>
      </c>
      <c r="AR201" s="152" t="s">
        <v>1040</v>
      </c>
      <c r="AS201" s="152" t="s">
        <v>628</v>
      </c>
      <c r="AT201" s="152" t="s">
        <v>702</v>
      </c>
      <c r="AU201" s="152">
        <v>2019</v>
      </c>
      <c r="AV201" s="339">
        <v>6995</v>
      </c>
      <c r="AW201" s="339">
        <v>1910936</v>
      </c>
      <c r="AX201" s="152">
        <v>9</v>
      </c>
      <c r="AY201" s="152">
        <v>0</v>
      </c>
      <c r="AZ201" s="152">
        <v>75</v>
      </c>
      <c r="BA201" s="152">
        <v>6.0542200999999997E-2</v>
      </c>
      <c r="BB201" s="152">
        <v>578</v>
      </c>
      <c r="BC201" s="152">
        <v>90</v>
      </c>
      <c r="BD201" s="152">
        <v>7.8179997999999999</v>
      </c>
    </row>
    <row r="202" spans="1:56" x14ac:dyDescent="0.25">
      <c r="A202" s="152" t="s">
        <v>1056</v>
      </c>
      <c r="B202" s="152">
        <v>43.608849999999997</v>
      </c>
      <c r="C202" s="152">
        <v>-96.959480999999997</v>
      </c>
      <c r="D202" s="152">
        <v>34</v>
      </c>
      <c r="E202" s="152" t="s">
        <v>697</v>
      </c>
      <c r="F202" s="152">
        <v>2020</v>
      </c>
      <c r="G202" s="340">
        <v>43995.925694444442</v>
      </c>
      <c r="H202" s="152" t="s">
        <v>637</v>
      </c>
      <c r="I202" s="152" t="s">
        <v>696</v>
      </c>
      <c r="J202" s="152" t="s">
        <v>697</v>
      </c>
      <c r="L202" s="152" t="s">
        <v>1055</v>
      </c>
      <c r="M202" s="152" t="s">
        <v>693</v>
      </c>
      <c r="N202" s="152" t="s">
        <v>637</v>
      </c>
      <c r="O202" s="152" t="s">
        <v>647</v>
      </c>
      <c r="P202" s="152" t="s">
        <v>696</v>
      </c>
      <c r="Q202" s="152" t="s">
        <v>637</v>
      </c>
      <c r="R202" s="152" t="s">
        <v>701</v>
      </c>
      <c r="S202" s="152" t="s">
        <v>637</v>
      </c>
      <c r="T202" s="152" t="s">
        <v>701</v>
      </c>
      <c r="U202" s="152" t="s">
        <v>644</v>
      </c>
      <c r="V202" s="152" t="s">
        <v>96</v>
      </c>
      <c r="W202" s="152" t="s">
        <v>643</v>
      </c>
      <c r="Y202" s="152" t="s">
        <v>637</v>
      </c>
      <c r="Z202" s="152" t="s">
        <v>696</v>
      </c>
      <c r="AA202" s="152" t="s">
        <v>665</v>
      </c>
      <c r="AB202" s="152" t="s">
        <v>640</v>
      </c>
      <c r="AC202" s="152" t="s">
        <v>701</v>
      </c>
      <c r="AD202" s="152" t="s">
        <v>771</v>
      </c>
      <c r="AE202" s="152" t="s">
        <v>637</v>
      </c>
      <c r="AF202" s="152" t="s">
        <v>637</v>
      </c>
      <c r="AG202" s="152" t="s">
        <v>637</v>
      </c>
      <c r="AH202" s="152" t="s">
        <v>664</v>
      </c>
      <c r="AI202" s="152" t="s">
        <v>699</v>
      </c>
      <c r="AJ202" s="152" t="s">
        <v>696</v>
      </c>
      <c r="AL202" s="152" t="s">
        <v>637</v>
      </c>
      <c r="AM202" s="152" t="s">
        <v>1143</v>
      </c>
      <c r="AO202" s="152" t="s">
        <v>715</v>
      </c>
      <c r="AP202" s="152" t="s">
        <v>697</v>
      </c>
      <c r="AQ202" s="152" t="s">
        <v>671</v>
      </c>
      <c r="AS202" s="152" t="s">
        <v>696</v>
      </c>
      <c r="AT202" s="152" t="s">
        <v>702</v>
      </c>
      <c r="AU202" s="152">
        <v>2020</v>
      </c>
      <c r="AV202" s="339">
        <v>6995</v>
      </c>
      <c r="AW202" s="339">
        <v>2006739</v>
      </c>
      <c r="AX202" s="152">
        <v>13</v>
      </c>
      <c r="AY202" s="152">
        <v>-1</v>
      </c>
      <c r="AZ202" s="152">
        <v>75</v>
      </c>
      <c r="BA202" s="152">
        <v>0.102292092</v>
      </c>
      <c r="BB202" s="152">
        <v>693</v>
      </c>
      <c r="BC202" s="152">
        <v>90</v>
      </c>
      <c r="BD202" s="152">
        <v>7.8179997999999999</v>
      </c>
    </row>
    <row r="203" spans="1:56" x14ac:dyDescent="0.25">
      <c r="A203" s="152" t="s">
        <v>1056</v>
      </c>
      <c r="B203" s="152">
        <v>43.608851999999999</v>
      </c>
      <c r="C203" s="152">
        <v>-96.958985999999996</v>
      </c>
      <c r="D203" s="152">
        <v>34</v>
      </c>
      <c r="E203" s="152" t="s">
        <v>697</v>
      </c>
      <c r="F203" s="152">
        <v>2019</v>
      </c>
      <c r="G203" s="340">
        <v>43768.232638888891</v>
      </c>
      <c r="H203" s="152" t="s">
        <v>637</v>
      </c>
      <c r="I203" s="152" t="s">
        <v>696</v>
      </c>
      <c r="J203" s="152" t="s">
        <v>697</v>
      </c>
      <c r="L203" s="152" t="s">
        <v>1055</v>
      </c>
      <c r="M203" s="152" t="s">
        <v>676</v>
      </c>
      <c r="N203" s="152" t="s">
        <v>637</v>
      </c>
      <c r="O203" s="152" t="s">
        <v>647</v>
      </c>
      <c r="P203" s="152" t="s">
        <v>696</v>
      </c>
      <c r="Q203" s="152" t="s">
        <v>637</v>
      </c>
      <c r="R203" s="152" t="s">
        <v>701</v>
      </c>
      <c r="S203" s="152" t="s">
        <v>637</v>
      </c>
      <c r="T203" s="152" t="s">
        <v>701</v>
      </c>
      <c r="U203" s="152" t="s">
        <v>644</v>
      </c>
      <c r="V203" s="152" t="s">
        <v>96</v>
      </c>
      <c r="W203" s="152" t="s">
        <v>643</v>
      </c>
      <c r="Y203" s="152" t="s">
        <v>637</v>
      </c>
      <c r="Z203" s="152" t="s">
        <v>696</v>
      </c>
      <c r="AA203" s="152" t="s">
        <v>665</v>
      </c>
      <c r="AB203" s="152" t="s">
        <v>640</v>
      </c>
      <c r="AC203" s="152" t="s">
        <v>701</v>
      </c>
      <c r="AD203" s="152" t="s">
        <v>700</v>
      </c>
      <c r="AE203" s="152" t="s">
        <v>637</v>
      </c>
      <c r="AF203" s="152" t="s">
        <v>637</v>
      </c>
      <c r="AG203" s="152" t="s">
        <v>637</v>
      </c>
      <c r="AH203" s="152" t="s">
        <v>664</v>
      </c>
      <c r="AI203" s="152" t="s">
        <v>699</v>
      </c>
      <c r="AJ203" s="152" t="s">
        <v>696</v>
      </c>
      <c r="AL203" s="152" t="s">
        <v>637</v>
      </c>
      <c r="AM203" s="152" t="s">
        <v>1142</v>
      </c>
      <c r="AO203" s="152" t="s">
        <v>715</v>
      </c>
      <c r="AP203" s="152" t="s">
        <v>697</v>
      </c>
      <c r="AQ203" s="152" t="s">
        <v>671</v>
      </c>
      <c r="AS203" s="152" t="s">
        <v>696</v>
      </c>
      <c r="AT203" s="152" t="s">
        <v>695</v>
      </c>
      <c r="AU203" s="152">
        <v>2019</v>
      </c>
      <c r="AV203" s="339">
        <v>6995</v>
      </c>
      <c r="AW203" s="339">
        <v>1915419</v>
      </c>
      <c r="AX203" s="152">
        <v>30</v>
      </c>
      <c r="AY203" s="152">
        <v>-1</v>
      </c>
      <c r="AZ203" s="152">
        <v>75</v>
      </c>
      <c r="BA203" s="152">
        <v>0.39181448400000002</v>
      </c>
      <c r="BB203" s="152">
        <v>593</v>
      </c>
      <c r="BC203" s="152">
        <v>90</v>
      </c>
      <c r="BD203" s="152">
        <v>7.8179997999999999</v>
      </c>
    </row>
    <row r="204" spans="1:56" x14ac:dyDescent="0.25">
      <c r="A204" s="152" t="s">
        <v>1056</v>
      </c>
      <c r="B204" s="152">
        <v>43.608854000000001</v>
      </c>
      <c r="C204" s="152">
        <v>-96.958804000000001</v>
      </c>
      <c r="D204" s="152">
        <v>34</v>
      </c>
      <c r="E204" s="152" t="s">
        <v>697</v>
      </c>
      <c r="F204" s="152">
        <v>2018</v>
      </c>
      <c r="G204" s="340">
        <v>43252.992361111108</v>
      </c>
      <c r="H204" s="152" t="s">
        <v>637</v>
      </c>
      <c r="I204" s="152" t="s">
        <v>696</v>
      </c>
      <c r="J204" s="152" t="s">
        <v>697</v>
      </c>
      <c r="L204" s="152" t="s">
        <v>1055</v>
      </c>
      <c r="M204" s="152" t="s">
        <v>648</v>
      </c>
      <c r="N204" s="152" t="s">
        <v>637</v>
      </c>
      <c r="O204" s="152" t="s">
        <v>647</v>
      </c>
      <c r="P204" s="152" t="s">
        <v>696</v>
      </c>
      <c r="Q204" s="152" t="s">
        <v>637</v>
      </c>
      <c r="R204" s="152" t="s">
        <v>701</v>
      </c>
      <c r="S204" s="152" t="s">
        <v>637</v>
      </c>
      <c r="T204" s="152" t="s">
        <v>701</v>
      </c>
      <c r="U204" s="152" t="s">
        <v>644</v>
      </c>
      <c r="V204" s="152" t="s">
        <v>96</v>
      </c>
      <c r="W204" s="152" t="s">
        <v>643</v>
      </c>
      <c r="Y204" s="152" t="s">
        <v>637</v>
      </c>
      <c r="Z204" s="152" t="s">
        <v>642</v>
      </c>
      <c r="AA204" s="152" t="s">
        <v>665</v>
      </c>
      <c r="AB204" s="152" t="s">
        <v>640</v>
      </c>
      <c r="AC204" s="152" t="s">
        <v>701</v>
      </c>
      <c r="AD204" s="152" t="s">
        <v>771</v>
      </c>
      <c r="AE204" s="152" t="s">
        <v>637</v>
      </c>
      <c r="AF204" s="152" t="s">
        <v>637</v>
      </c>
      <c r="AG204" s="152" t="s">
        <v>637</v>
      </c>
      <c r="AH204" s="152" t="s">
        <v>664</v>
      </c>
      <c r="AI204" s="152" t="s">
        <v>699</v>
      </c>
      <c r="AJ204" s="152" t="s">
        <v>696</v>
      </c>
      <c r="AL204" s="152" t="s">
        <v>637</v>
      </c>
      <c r="AM204" s="152" t="s">
        <v>1141</v>
      </c>
      <c r="AO204" s="152" t="s">
        <v>715</v>
      </c>
      <c r="AP204" s="152" t="s">
        <v>697</v>
      </c>
      <c r="AQ204" s="152" t="s">
        <v>671</v>
      </c>
      <c r="AS204" s="152" t="s">
        <v>696</v>
      </c>
      <c r="AT204" s="152" t="s">
        <v>702</v>
      </c>
      <c r="AU204" s="152">
        <v>2018</v>
      </c>
      <c r="AV204" s="339">
        <v>6995</v>
      </c>
      <c r="AW204" s="339">
        <v>1808057</v>
      </c>
      <c r="AX204" s="152">
        <v>1</v>
      </c>
      <c r="AY204" s="152">
        <v>-1</v>
      </c>
      <c r="AZ204" s="152">
        <v>75</v>
      </c>
      <c r="BA204" s="152">
        <v>3.6907839999999997E-2</v>
      </c>
      <c r="BB204" s="152">
        <v>419</v>
      </c>
      <c r="BC204" s="152">
        <v>90</v>
      </c>
      <c r="BD204" s="152">
        <v>7.8179997999999999</v>
      </c>
    </row>
    <row r="205" spans="1:56" x14ac:dyDescent="0.25">
      <c r="A205" s="152" t="s">
        <v>1056</v>
      </c>
      <c r="B205" s="152">
        <v>43.608857999999998</v>
      </c>
      <c r="C205" s="152">
        <v>-96.973009000000005</v>
      </c>
      <c r="D205" s="152">
        <v>34</v>
      </c>
      <c r="E205" s="152" t="s">
        <v>746</v>
      </c>
      <c r="F205" s="152">
        <v>2017</v>
      </c>
      <c r="G205" s="340">
        <v>42975.552083333336</v>
      </c>
      <c r="H205" s="152" t="s">
        <v>637</v>
      </c>
      <c r="I205" s="152" t="s">
        <v>669</v>
      </c>
      <c r="J205" s="152" t="s">
        <v>650</v>
      </c>
      <c r="K205" s="152" t="s">
        <v>743</v>
      </c>
      <c r="L205" s="152" t="s">
        <v>1055</v>
      </c>
      <c r="M205" s="152" t="s">
        <v>685</v>
      </c>
      <c r="N205" s="152" t="s">
        <v>633</v>
      </c>
      <c r="O205" s="152" t="s">
        <v>647</v>
      </c>
      <c r="P205" s="152" t="s">
        <v>866</v>
      </c>
      <c r="Q205" s="152" t="s">
        <v>637</v>
      </c>
      <c r="R205" s="152" t="s">
        <v>1031</v>
      </c>
      <c r="S205" s="152" t="s">
        <v>637</v>
      </c>
      <c r="T205" s="152" t="s">
        <v>708</v>
      </c>
      <c r="U205" s="152" t="s">
        <v>644</v>
      </c>
      <c r="V205" s="152" t="s">
        <v>96</v>
      </c>
      <c r="W205" s="152" t="s">
        <v>643</v>
      </c>
      <c r="Y205" s="152" t="s">
        <v>637</v>
      </c>
      <c r="Z205" s="152" t="s">
        <v>642</v>
      </c>
      <c r="AA205" s="152" t="s">
        <v>641</v>
      </c>
      <c r="AB205" s="152" t="s">
        <v>640</v>
      </c>
      <c r="AC205" s="152" t="s">
        <v>708</v>
      </c>
      <c r="AD205" s="152" t="s">
        <v>738</v>
      </c>
      <c r="AE205" s="152" t="s">
        <v>637</v>
      </c>
      <c r="AF205" s="152" t="s">
        <v>637</v>
      </c>
      <c r="AG205" s="152" t="s">
        <v>637</v>
      </c>
      <c r="AH205" s="152" t="s">
        <v>664</v>
      </c>
      <c r="AI205" s="152" t="s">
        <v>628</v>
      </c>
      <c r="AJ205" s="152" t="s">
        <v>680</v>
      </c>
      <c r="AK205" s="152" t="s">
        <v>634</v>
      </c>
      <c r="AL205" s="152" t="s">
        <v>637</v>
      </c>
      <c r="AM205" s="152" t="s">
        <v>929</v>
      </c>
      <c r="AO205" s="152" t="s">
        <v>715</v>
      </c>
      <c r="AP205" s="152" t="s">
        <v>628</v>
      </c>
      <c r="AQ205" s="152" t="s">
        <v>630</v>
      </c>
      <c r="AR205" s="152" t="s">
        <v>1063</v>
      </c>
      <c r="AS205" s="152" t="s">
        <v>628</v>
      </c>
      <c r="AT205" s="152" t="s">
        <v>702</v>
      </c>
      <c r="AU205" s="152">
        <v>2017</v>
      </c>
      <c r="AV205" s="339">
        <v>6995</v>
      </c>
      <c r="AW205" s="339">
        <v>1711205</v>
      </c>
      <c r="AX205" s="152">
        <v>28</v>
      </c>
      <c r="AY205" s="152">
        <v>0</v>
      </c>
      <c r="AZ205" s="152">
        <v>75</v>
      </c>
      <c r="BA205" s="152">
        <v>4.9255633889999997</v>
      </c>
      <c r="BB205" s="152">
        <v>277</v>
      </c>
      <c r="BC205" s="152">
        <v>90</v>
      </c>
      <c r="BD205" s="152">
        <v>7.8179997999999999</v>
      </c>
    </row>
    <row r="206" spans="1:56" x14ac:dyDescent="0.25">
      <c r="A206" s="152" t="s">
        <v>1056</v>
      </c>
      <c r="B206" s="152">
        <v>43.608857999999998</v>
      </c>
      <c r="C206" s="152">
        <v>-96.958188000000007</v>
      </c>
      <c r="D206" s="152">
        <v>34</v>
      </c>
      <c r="E206" s="152" t="s">
        <v>697</v>
      </c>
      <c r="F206" s="152">
        <v>2016</v>
      </c>
      <c r="G206" s="340">
        <v>42671.307638888888</v>
      </c>
      <c r="H206" s="152" t="s">
        <v>637</v>
      </c>
      <c r="I206" s="152" t="s">
        <v>696</v>
      </c>
      <c r="J206" s="152" t="s">
        <v>697</v>
      </c>
      <c r="L206" s="152" t="s">
        <v>1055</v>
      </c>
      <c r="M206" s="152" t="s">
        <v>648</v>
      </c>
      <c r="N206" s="152" t="s">
        <v>637</v>
      </c>
      <c r="O206" s="152" t="s">
        <v>647</v>
      </c>
      <c r="P206" s="152" t="s">
        <v>696</v>
      </c>
      <c r="Q206" s="152" t="s">
        <v>637</v>
      </c>
      <c r="R206" s="152" t="s">
        <v>701</v>
      </c>
      <c r="S206" s="152" t="s">
        <v>637</v>
      </c>
      <c r="T206" s="152" t="s">
        <v>701</v>
      </c>
      <c r="U206" s="152" t="s">
        <v>644</v>
      </c>
      <c r="V206" s="152" t="s">
        <v>96</v>
      </c>
      <c r="W206" s="152" t="s">
        <v>643</v>
      </c>
      <c r="Y206" s="152" t="s">
        <v>637</v>
      </c>
      <c r="Z206" s="152" t="s">
        <v>642</v>
      </c>
      <c r="AA206" s="152" t="s">
        <v>665</v>
      </c>
      <c r="AB206" s="152" t="s">
        <v>640</v>
      </c>
      <c r="AC206" s="152" t="s">
        <v>701</v>
      </c>
      <c r="AD206" s="152" t="s">
        <v>700</v>
      </c>
      <c r="AE206" s="152" t="s">
        <v>637</v>
      </c>
      <c r="AF206" s="152" t="s">
        <v>637</v>
      </c>
      <c r="AG206" s="152" t="s">
        <v>637</v>
      </c>
      <c r="AH206" s="152" t="s">
        <v>664</v>
      </c>
      <c r="AI206" s="152" t="s">
        <v>699</v>
      </c>
      <c r="AJ206" s="152" t="s">
        <v>696</v>
      </c>
      <c r="AL206" s="152" t="s">
        <v>637</v>
      </c>
      <c r="AM206" s="152" t="s">
        <v>1140</v>
      </c>
      <c r="AO206" s="152" t="s">
        <v>715</v>
      </c>
      <c r="AP206" s="152" t="s">
        <v>697</v>
      </c>
      <c r="AQ206" s="152" t="s">
        <v>630</v>
      </c>
      <c r="AS206" s="152" t="s">
        <v>696</v>
      </c>
      <c r="AT206" s="152" t="s">
        <v>702</v>
      </c>
      <c r="AU206" s="152">
        <v>2016</v>
      </c>
      <c r="AV206" s="339">
        <v>6995</v>
      </c>
      <c r="AW206" s="339">
        <v>1613819</v>
      </c>
      <c r="AX206" s="152">
        <v>28</v>
      </c>
      <c r="AY206" s="152">
        <v>-1</v>
      </c>
      <c r="AZ206" s="152">
        <v>75</v>
      </c>
      <c r="BA206" s="152">
        <v>0.15525741700000001</v>
      </c>
      <c r="BB206" s="152">
        <v>121</v>
      </c>
      <c r="BC206" s="152">
        <v>90</v>
      </c>
      <c r="BD206" s="152">
        <v>7.8179997999999999</v>
      </c>
    </row>
    <row r="207" spans="1:56" x14ac:dyDescent="0.25">
      <c r="A207" s="152" t="s">
        <v>1056</v>
      </c>
      <c r="B207" s="152">
        <v>43.608866999999996</v>
      </c>
      <c r="C207" s="152">
        <v>-96.950864999999993</v>
      </c>
      <c r="D207" s="152">
        <v>34</v>
      </c>
      <c r="E207" s="152" t="s">
        <v>652</v>
      </c>
      <c r="F207" s="152">
        <v>2019</v>
      </c>
      <c r="G207" s="340">
        <v>43468.458333333336</v>
      </c>
      <c r="H207" s="152" t="s">
        <v>637</v>
      </c>
      <c r="I207" s="152" t="s">
        <v>669</v>
      </c>
      <c r="J207" s="152" t="s">
        <v>650</v>
      </c>
      <c r="L207" s="152" t="s">
        <v>1055</v>
      </c>
      <c r="M207" s="152" t="s">
        <v>668</v>
      </c>
      <c r="N207" s="152" t="s">
        <v>637</v>
      </c>
      <c r="O207" s="152" t="s">
        <v>647</v>
      </c>
      <c r="P207" s="152" t="s">
        <v>684</v>
      </c>
      <c r="Q207" s="152" t="s">
        <v>637</v>
      </c>
      <c r="R207" s="152" t="s">
        <v>723</v>
      </c>
      <c r="S207" s="152" t="s">
        <v>637</v>
      </c>
      <c r="T207" s="152" t="s">
        <v>723</v>
      </c>
      <c r="U207" s="152" t="s">
        <v>644</v>
      </c>
      <c r="V207" s="152" t="s">
        <v>96</v>
      </c>
      <c r="W207" s="152" t="s">
        <v>643</v>
      </c>
      <c r="Y207" s="152" t="s">
        <v>637</v>
      </c>
      <c r="Z207" s="152" t="s">
        <v>783</v>
      </c>
      <c r="AA207" s="152" t="s">
        <v>641</v>
      </c>
      <c r="AB207" s="152" t="s">
        <v>640</v>
      </c>
      <c r="AC207" s="152" t="s">
        <v>723</v>
      </c>
      <c r="AD207" s="152" t="s">
        <v>638</v>
      </c>
      <c r="AE207" s="152" t="s">
        <v>637</v>
      </c>
      <c r="AF207" s="152" t="s">
        <v>637</v>
      </c>
      <c r="AG207" s="152" t="s">
        <v>637</v>
      </c>
      <c r="AH207" s="152" t="s">
        <v>664</v>
      </c>
      <c r="AI207" s="152" t="s">
        <v>628</v>
      </c>
      <c r="AJ207" s="152" t="s">
        <v>635</v>
      </c>
      <c r="AK207" s="152" t="s">
        <v>634</v>
      </c>
      <c r="AL207" s="152" t="s">
        <v>637</v>
      </c>
      <c r="AM207" s="152" t="s">
        <v>1021</v>
      </c>
      <c r="AO207" s="152" t="s">
        <v>715</v>
      </c>
      <c r="AP207" s="152" t="s">
        <v>628</v>
      </c>
      <c r="AQ207" s="152" t="s">
        <v>671</v>
      </c>
      <c r="AR207" s="152" t="s">
        <v>629</v>
      </c>
      <c r="AS207" s="152" t="s">
        <v>628</v>
      </c>
      <c r="AT207" s="152" t="s">
        <v>702</v>
      </c>
      <c r="AU207" s="152">
        <v>2019</v>
      </c>
      <c r="AV207" s="339">
        <v>6995</v>
      </c>
      <c r="AW207" s="339">
        <v>1900108</v>
      </c>
      <c r="AX207" s="152">
        <v>3</v>
      </c>
      <c r="AY207" s="152">
        <v>0</v>
      </c>
      <c r="AZ207" s="152">
        <v>75</v>
      </c>
      <c r="BA207" s="152">
        <v>9.9623316000000003E-2</v>
      </c>
      <c r="BB207" s="152">
        <v>503</v>
      </c>
      <c r="BC207" s="152">
        <v>90</v>
      </c>
      <c r="BD207" s="152">
        <v>7.8179997999999999</v>
      </c>
    </row>
    <row r="208" spans="1:56" x14ac:dyDescent="0.25">
      <c r="A208" s="152" t="s">
        <v>1056</v>
      </c>
      <c r="B208" s="152">
        <v>43.610188999999998</v>
      </c>
      <c r="C208" s="152">
        <v>-97.031210999999999</v>
      </c>
      <c r="D208" s="152">
        <v>34</v>
      </c>
      <c r="E208" s="152" t="s">
        <v>652</v>
      </c>
      <c r="F208" s="152">
        <v>2016</v>
      </c>
      <c r="G208" s="340">
        <v>42696.753472222219</v>
      </c>
      <c r="H208" s="152" t="s">
        <v>637</v>
      </c>
      <c r="I208" s="152" t="s">
        <v>651</v>
      </c>
      <c r="J208" s="152" t="s">
        <v>660</v>
      </c>
      <c r="K208" s="152" t="s">
        <v>743</v>
      </c>
      <c r="L208" s="152" t="s">
        <v>1055</v>
      </c>
      <c r="M208" s="152" t="s">
        <v>736</v>
      </c>
      <c r="N208" s="152" t="s">
        <v>633</v>
      </c>
      <c r="O208" s="152" t="s">
        <v>647</v>
      </c>
      <c r="P208" s="152" t="s">
        <v>1139</v>
      </c>
      <c r="Q208" s="152" t="s">
        <v>637</v>
      </c>
      <c r="R208" s="152" t="s">
        <v>817</v>
      </c>
      <c r="S208" s="152" t="s">
        <v>637</v>
      </c>
      <c r="T208" s="152" t="s">
        <v>656</v>
      </c>
      <c r="U208" s="152" t="s">
        <v>644</v>
      </c>
      <c r="V208" s="152" t="s">
        <v>96</v>
      </c>
      <c r="W208" s="152" t="s">
        <v>643</v>
      </c>
      <c r="Y208" s="152" t="s">
        <v>637</v>
      </c>
      <c r="Z208" s="152" t="s">
        <v>642</v>
      </c>
      <c r="AA208" s="152" t="s">
        <v>665</v>
      </c>
      <c r="AB208" s="152" t="s">
        <v>740</v>
      </c>
      <c r="AC208" s="152" t="s">
        <v>656</v>
      </c>
      <c r="AD208" s="152" t="s">
        <v>673</v>
      </c>
      <c r="AE208" s="152" t="s">
        <v>637</v>
      </c>
      <c r="AF208" s="152" t="s">
        <v>637</v>
      </c>
      <c r="AG208" s="152" t="s">
        <v>637</v>
      </c>
      <c r="AH208" s="152" t="s">
        <v>762</v>
      </c>
      <c r="AI208" s="152" t="s">
        <v>628</v>
      </c>
      <c r="AJ208" s="152" t="s">
        <v>635</v>
      </c>
      <c r="AK208" s="152" t="s">
        <v>634</v>
      </c>
      <c r="AL208" s="152" t="s">
        <v>637</v>
      </c>
      <c r="AM208" s="152" t="s">
        <v>1138</v>
      </c>
      <c r="AO208" s="152" t="s">
        <v>715</v>
      </c>
      <c r="AP208" s="152" t="s">
        <v>628</v>
      </c>
      <c r="AQ208" s="152" t="s">
        <v>630</v>
      </c>
      <c r="AR208" s="152" t="s">
        <v>772</v>
      </c>
      <c r="AS208" s="152" t="s">
        <v>628</v>
      </c>
      <c r="AT208" s="152" t="s">
        <v>760</v>
      </c>
      <c r="AU208" s="152">
        <v>2016</v>
      </c>
      <c r="AV208" s="339">
        <v>6995</v>
      </c>
      <c r="AW208" s="339">
        <v>1615326</v>
      </c>
      <c r="AX208" s="152">
        <v>22</v>
      </c>
      <c r="AY208" s="152">
        <v>0</v>
      </c>
      <c r="AZ208" s="152">
        <v>75</v>
      </c>
      <c r="BA208" s="152">
        <v>9.9873402729999992</v>
      </c>
      <c r="BB208" s="152">
        <v>137</v>
      </c>
      <c r="BC208" s="152">
        <v>90</v>
      </c>
      <c r="BD208" s="152">
        <v>7.8179997999999999</v>
      </c>
    </row>
    <row r="209" spans="1:56" x14ac:dyDescent="0.25">
      <c r="A209" s="152" t="s">
        <v>1056</v>
      </c>
      <c r="B209" s="152">
        <v>43.612118000000002</v>
      </c>
      <c r="C209" s="152">
        <v>-97.035544999999999</v>
      </c>
      <c r="D209" s="152">
        <v>34</v>
      </c>
      <c r="E209" s="152" t="s">
        <v>697</v>
      </c>
      <c r="F209" s="152">
        <v>2020</v>
      </c>
      <c r="G209" s="340">
        <v>44088.118055555555</v>
      </c>
      <c r="H209" s="152" t="s">
        <v>637</v>
      </c>
      <c r="I209" s="152" t="s">
        <v>696</v>
      </c>
      <c r="J209" s="152" t="s">
        <v>697</v>
      </c>
      <c r="L209" s="152" t="s">
        <v>1055</v>
      </c>
      <c r="M209" s="152" t="s">
        <v>685</v>
      </c>
      <c r="N209" s="152" t="s">
        <v>637</v>
      </c>
      <c r="O209" s="152" t="s">
        <v>647</v>
      </c>
      <c r="P209" s="152" t="s">
        <v>696</v>
      </c>
      <c r="Q209" s="152" t="s">
        <v>637</v>
      </c>
      <c r="R209" s="152" t="s">
        <v>701</v>
      </c>
      <c r="S209" s="152" t="s">
        <v>637</v>
      </c>
      <c r="T209" s="152" t="s">
        <v>701</v>
      </c>
      <c r="U209" s="152" t="s">
        <v>644</v>
      </c>
      <c r="V209" s="152" t="s">
        <v>96</v>
      </c>
      <c r="W209" s="152" t="s">
        <v>643</v>
      </c>
      <c r="Y209" s="152" t="s">
        <v>637</v>
      </c>
      <c r="Z209" s="152" t="s">
        <v>696</v>
      </c>
      <c r="AA209" s="152" t="s">
        <v>665</v>
      </c>
      <c r="AB209" s="152" t="s">
        <v>640</v>
      </c>
      <c r="AC209" s="152" t="s">
        <v>701</v>
      </c>
      <c r="AD209" s="152" t="s">
        <v>706</v>
      </c>
      <c r="AE209" s="152" t="s">
        <v>637</v>
      </c>
      <c r="AF209" s="152" t="s">
        <v>637</v>
      </c>
      <c r="AG209" s="152" t="s">
        <v>637</v>
      </c>
      <c r="AH209" s="152" t="s">
        <v>664</v>
      </c>
      <c r="AI209" s="152" t="s">
        <v>699</v>
      </c>
      <c r="AJ209" s="152" t="s">
        <v>696</v>
      </c>
      <c r="AL209" s="152" t="s">
        <v>637</v>
      </c>
      <c r="AM209" s="152" t="s">
        <v>877</v>
      </c>
      <c r="AO209" s="152" t="s">
        <v>715</v>
      </c>
      <c r="AP209" s="152" t="s">
        <v>697</v>
      </c>
      <c r="AQ209" s="152" t="s">
        <v>769</v>
      </c>
      <c r="AS209" s="152" t="s">
        <v>696</v>
      </c>
      <c r="AT209" s="152" t="s">
        <v>702</v>
      </c>
      <c r="AU209" s="152">
        <v>2020</v>
      </c>
      <c r="AV209" s="339">
        <v>6995</v>
      </c>
      <c r="AW209" s="339">
        <v>2011067</v>
      </c>
      <c r="AX209" s="152">
        <v>14</v>
      </c>
      <c r="AY209" s="152">
        <v>-1</v>
      </c>
      <c r="AZ209" s="152">
        <v>75</v>
      </c>
      <c r="BA209" s="152">
        <v>4.9720093900000002</v>
      </c>
      <c r="BB209" s="152">
        <v>719</v>
      </c>
      <c r="BC209" s="152">
        <v>90</v>
      </c>
      <c r="BD209" s="152">
        <v>7.8179997999999999</v>
      </c>
    </row>
    <row r="210" spans="1:56" x14ac:dyDescent="0.25">
      <c r="A210" s="152" t="s">
        <v>1056</v>
      </c>
      <c r="B210" s="152">
        <v>43.612215999999997</v>
      </c>
      <c r="C210" s="152">
        <v>-97.035713999999999</v>
      </c>
      <c r="D210" s="152">
        <v>34</v>
      </c>
      <c r="E210" s="152" t="s">
        <v>697</v>
      </c>
      <c r="F210" s="152">
        <v>2020</v>
      </c>
      <c r="G210" s="340">
        <v>43970.898611111108</v>
      </c>
      <c r="H210" s="152" t="s">
        <v>637</v>
      </c>
      <c r="I210" s="152" t="s">
        <v>696</v>
      </c>
      <c r="J210" s="152" t="s">
        <v>697</v>
      </c>
      <c r="L210" s="152" t="s">
        <v>1055</v>
      </c>
      <c r="M210" s="152" t="s">
        <v>736</v>
      </c>
      <c r="N210" s="152" t="s">
        <v>637</v>
      </c>
      <c r="O210" s="152" t="s">
        <v>647</v>
      </c>
      <c r="P210" s="152" t="s">
        <v>696</v>
      </c>
      <c r="Q210" s="152" t="s">
        <v>637</v>
      </c>
      <c r="R210" s="152" t="s">
        <v>701</v>
      </c>
      <c r="S210" s="152" t="s">
        <v>637</v>
      </c>
      <c r="T210" s="152" t="s">
        <v>701</v>
      </c>
      <c r="U210" s="152" t="s">
        <v>644</v>
      </c>
      <c r="V210" s="152" t="s">
        <v>96</v>
      </c>
      <c r="W210" s="152" t="s">
        <v>643</v>
      </c>
      <c r="Y210" s="152" t="s">
        <v>637</v>
      </c>
      <c r="Z210" s="152" t="s">
        <v>696</v>
      </c>
      <c r="AA210" s="152" t="s">
        <v>665</v>
      </c>
      <c r="AB210" s="152" t="s">
        <v>640</v>
      </c>
      <c r="AC210" s="152" t="s">
        <v>701</v>
      </c>
      <c r="AD210" s="152" t="s">
        <v>752</v>
      </c>
      <c r="AE210" s="152" t="s">
        <v>637</v>
      </c>
      <c r="AF210" s="152" t="s">
        <v>637</v>
      </c>
      <c r="AG210" s="152" t="s">
        <v>637</v>
      </c>
      <c r="AH210" s="152" t="s">
        <v>664</v>
      </c>
      <c r="AI210" s="152" t="s">
        <v>699</v>
      </c>
      <c r="AJ210" s="152" t="s">
        <v>696</v>
      </c>
      <c r="AL210" s="152" t="s">
        <v>637</v>
      </c>
      <c r="AM210" s="152" t="s">
        <v>1137</v>
      </c>
      <c r="AO210" s="152" t="s">
        <v>715</v>
      </c>
      <c r="AP210" s="152" t="s">
        <v>697</v>
      </c>
      <c r="AQ210" s="152" t="s">
        <v>703</v>
      </c>
      <c r="AS210" s="152" t="s">
        <v>696</v>
      </c>
      <c r="AT210" s="152" t="s">
        <v>702</v>
      </c>
      <c r="AU210" s="152">
        <v>2020</v>
      </c>
      <c r="AV210" s="339">
        <v>6995</v>
      </c>
      <c r="AW210" s="339">
        <v>2005576</v>
      </c>
      <c r="AX210" s="152">
        <v>19</v>
      </c>
      <c r="AY210" s="152">
        <v>-1</v>
      </c>
      <c r="AZ210" s="152">
        <v>75</v>
      </c>
      <c r="BA210" s="152">
        <v>4.9882223339999996</v>
      </c>
      <c r="BB210" s="152">
        <v>683</v>
      </c>
      <c r="BC210" s="152">
        <v>90</v>
      </c>
      <c r="BD210" s="152">
        <v>7.8179997999999999</v>
      </c>
    </row>
    <row r="211" spans="1:56" x14ac:dyDescent="0.25">
      <c r="A211" s="152" t="s">
        <v>1056</v>
      </c>
      <c r="B211" s="152">
        <v>43.613551000000001</v>
      </c>
      <c r="C211" s="152">
        <v>-97.037972999999994</v>
      </c>
      <c r="D211" s="152">
        <v>34</v>
      </c>
      <c r="E211" s="152" t="s">
        <v>652</v>
      </c>
      <c r="F211" s="152">
        <v>2016</v>
      </c>
      <c r="G211" s="340">
        <v>42477.127083333333</v>
      </c>
      <c r="H211" s="152" t="s">
        <v>637</v>
      </c>
      <c r="I211" s="152" t="s">
        <v>669</v>
      </c>
      <c r="J211" s="152" t="s">
        <v>650</v>
      </c>
      <c r="L211" s="152" t="s">
        <v>1055</v>
      </c>
      <c r="M211" s="152" t="s">
        <v>712</v>
      </c>
      <c r="N211" s="152" t="s">
        <v>637</v>
      </c>
      <c r="O211" s="152" t="s">
        <v>647</v>
      </c>
      <c r="P211" s="152" t="s">
        <v>721</v>
      </c>
      <c r="Q211" s="152" t="s">
        <v>637</v>
      </c>
      <c r="R211" s="152" t="s">
        <v>709</v>
      </c>
      <c r="S211" s="152" t="s">
        <v>637</v>
      </c>
      <c r="T211" s="152" t="s">
        <v>708</v>
      </c>
      <c r="U211" s="152" t="s">
        <v>644</v>
      </c>
      <c r="V211" s="152" t="s">
        <v>96</v>
      </c>
      <c r="W211" s="152" t="s">
        <v>643</v>
      </c>
      <c r="Y211" s="152" t="s">
        <v>637</v>
      </c>
      <c r="Z211" s="152" t="s">
        <v>642</v>
      </c>
      <c r="AA211" s="152" t="s">
        <v>665</v>
      </c>
      <c r="AB211" s="152" t="s">
        <v>640</v>
      </c>
      <c r="AC211" s="152" t="s">
        <v>708</v>
      </c>
      <c r="AD211" s="152" t="s">
        <v>787</v>
      </c>
      <c r="AE211" s="152" t="s">
        <v>637</v>
      </c>
      <c r="AF211" s="152" t="s">
        <v>637</v>
      </c>
      <c r="AG211" s="152" t="s">
        <v>637</v>
      </c>
      <c r="AH211" s="152" t="s">
        <v>664</v>
      </c>
      <c r="AI211" s="152" t="s">
        <v>628</v>
      </c>
      <c r="AJ211" s="152" t="s">
        <v>635</v>
      </c>
      <c r="AK211" s="152" t="s">
        <v>634</v>
      </c>
      <c r="AL211" s="152" t="s">
        <v>637</v>
      </c>
      <c r="AM211" s="152" t="s">
        <v>1136</v>
      </c>
      <c r="AO211" s="152" t="s">
        <v>715</v>
      </c>
      <c r="AP211" s="152" t="s">
        <v>628</v>
      </c>
      <c r="AQ211" s="152" t="s">
        <v>662</v>
      </c>
      <c r="AR211" s="152" t="s">
        <v>629</v>
      </c>
      <c r="AS211" s="152" t="s">
        <v>628</v>
      </c>
      <c r="AT211" s="152" t="s">
        <v>702</v>
      </c>
      <c r="AU211" s="152">
        <v>2016</v>
      </c>
      <c r="AV211" s="339">
        <v>6995</v>
      </c>
      <c r="AW211" s="339">
        <v>1604560</v>
      </c>
      <c r="AX211" s="152">
        <v>17</v>
      </c>
      <c r="AY211" s="152">
        <v>0</v>
      </c>
      <c r="AZ211" s="152">
        <v>75</v>
      </c>
      <c r="BA211" s="152">
        <v>1.8981263129999999</v>
      </c>
      <c r="BB211" s="152">
        <v>49</v>
      </c>
      <c r="BC211" s="152">
        <v>90</v>
      </c>
      <c r="BD211" s="152">
        <v>7.8179997999999999</v>
      </c>
    </row>
    <row r="212" spans="1:56" x14ac:dyDescent="0.25">
      <c r="A212" s="152" t="s">
        <v>1056</v>
      </c>
      <c r="B212" s="152">
        <v>43.61477</v>
      </c>
      <c r="C212" s="152">
        <v>-97.040103999999999</v>
      </c>
      <c r="D212" s="152">
        <v>34</v>
      </c>
      <c r="E212" s="152" t="s">
        <v>697</v>
      </c>
      <c r="F212" s="152">
        <v>2017</v>
      </c>
      <c r="G212" s="340">
        <v>42999.208333333336</v>
      </c>
      <c r="H212" s="152" t="s">
        <v>637</v>
      </c>
      <c r="I212" s="152" t="s">
        <v>696</v>
      </c>
      <c r="J212" s="152" t="s">
        <v>697</v>
      </c>
      <c r="L212" s="152" t="s">
        <v>1055</v>
      </c>
      <c r="M212" s="152" t="s">
        <v>668</v>
      </c>
      <c r="N212" s="152" t="s">
        <v>637</v>
      </c>
      <c r="O212" s="152" t="s">
        <v>647</v>
      </c>
      <c r="P212" s="152" t="s">
        <v>696</v>
      </c>
      <c r="Q212" s="152" t="s">
        <v>637</v>
      </c>
      <c r="R212" s="152" t="s">
        <v>701</v>
      </c>
      <c r="S212" s="152" t="s">
        <v>637</v>
      </c>
      <c r="T212" s="152" t="s">
        <v>701</v>
      </c>
      <c r="U212" s="152" t="s">
        <v>644</v>
      </c>
      <c r="V212" s="152" t="s">
        <v>96</v>
      </c>
      <c r="W212" s="152" t="s">
        <v>643</v>
      </c>
      <c r="Y212" s="152" t="s">
        <v>637</v>
      </c>
      <c r="Z212" s="152" t="s">
        <v>642</v>
      </c>
      <c r="AA212" s="152" t="s">
        <v>665</v>
      </c>
      <c r="AB212" s="152" t="s">
        <v>640</v>
      </c>
      <c r="AC212" s="152" t="s">
        <v>701</v>
      </c>
      <c r="AD212" s="152" t="s">
        <v>706</v>
      </c>
      <c r="AE212" s="152" t="s">
        <v>637</v>
      </c>
      <c r="AF212" s="152" t="s">
        <v>637</v>
      </c>
      <c r="AG212" s="152" t="s">
        <v>637</v>
      </c>
      <c r="AH212" s="152" t="s">
        <v>664</v>
      </c>
      <c r="AI212" s="152" t="s">
        <v>699</v>
      </c>
      <c r="AJ212" s="152" t="s">
        <v>696</v>
      </c>
      <c r="AL212" s="152" t="s">
        <v>637</v>
      </c>
      <c r="AM212" s="152" t="s">
        <v>1135</v>
      </c>
      <c r="AO212" s="152" t="s">
        <v>715</v>
      </c>
      <c r="AP212" s="152" t="s">
        <v>697</v>
      </c>
      <c r="AQ212" s="152" t="s">
        <v>630</v>
      </c>
      <c r="AS212" s="152" t="s">
        <v>696</v>
      </c>
      <c r="AT212" s="152" t="s">
        <v>702</v>
      </c>
      <c r="AU212" s="152">
        <v>2017</v>
      </c>
      <c r="AV212" s="339">
        <v>6995</v>
      </c>
      <c r="AW212" s="339">
        <v>1712121</v>
      </c>
      <c r="AX212" s="152">
        <v>21</v>
      </c>
      <c r="AY212" s="152">
        <v>-1</v>
      </c>
      <c r="AZ212" s="152">
        <v>75</v>
      </c>
      <c r="BA212" s="152">
        <v>3.2709939380000002</v>
      </c>
      <c r="BB212" s="152">
        <v>284</v>
      </c>
      <c r="BC212" s="152">
        <v>90</v>
      </c>
      <c r="BD212" s="152">
        <v>7.8179997999999999</v>
      </c>
    </row>
    <row r="213" spans="1:56" x14ac:dyDescent="0.25">
      <c r="A213" s="152" t="s">
        <v>1056</v>
      </c>
      <c r="B213" s="152">
        <v>43.616126999999999</v>
      </c>
      <c r="C213" s="152">
        <v>-97.042439000000002</v>
      </c>
      <c r="D213" s="152">
        <v>34</v>
      </c>
      <c r="E213" s="152" t="s">
        <v>652</v>
      </c>
      <c r="F213" s="152">
        <v>2018</v>
      </c>
      <c r="G213" s="340">
        <v>43175.708333333336</v>
      </c>
      <c r="H213" s="152" t="s">
        <v>637</v>
      </c>
      <c r="I213" s="152" t="s">
        <v>669</v>
      </c>
      <c r="J213" s="152" t="s">
        <v>650</v>
      </c>
      <c r="L213" s="152" t="s">
        <v>1055</v>
      </c>
      <c r="M213" s="152" t="s">
        <v>648</v>
      </c>
      <c r="N213" s="152" t="s">
        <v>637</v>
      </c>
      <c r="O213" s="152" t="s">
        <v>647</v>
      </c>
      <c r="P213" s="152" t="s">
        <v>1059</v>
      </c>
      <c r="Q213" s="152" t="s">
        <v>637</v>
      </c>
      <c r="R213" s="152" t="s">
        <v>724</v>
      </c>
      <c r="S213" s="152" t="s">
        <v>637</v>
      </c>
      <c r="T213" s="152" t="s">
        <v>723</v>
      </c>
      <c r="U213" s="152" t="s">
        <v>644</v>
      </c>
      <c r="V213" s="152" t="s">
        <v>96</v>
      </c>
      <c r="W213" s="152" t="s">
        <v>643</v>
      </c>
      <c r="Y213" s="152" t="s">
        <v>637</v>
      </c>
      <c r="Z213" s="152" t="s">
        <v>642</v>
      </c>
      <c r="AA213" s="152" t="s">
        <v>641</v>
      </c>
      <c r="AB213" s="152" t="s">
        <v>640</v>
      </c>
      <c r="AC213" s="152" t="s">
        <v>723</v>
      </c>
      <c r="AD213" s="152" t="s">
        <v>691</v>
      </c>
      <c r="AE213" s="152" t="s">
        <v>637</v>
      </c>
      <c r="AF213" s="152" t="s">
        <v>633</v>
      </c>
      <c r="AG213" s="152" t="s">
        <v>637</v>
      </c>
      <c r="AH213" s="152" t="s">
        <v>636</v>
      </c>
      <c r="AI213" s="152" t="s">
        <v>628</v>
      </c>
      <c r="AJ213" s="152" t="s">
        <v>680</v>
      </c>
      <c r="AK213" s="152" t="s">
        <v>634</v>
      </c>
      <c r="AL213" s="152" t="s">
        <v>633</v>
      </c>
      <c r="AM213" s="152" t="s">
        <v>679</v>
      </c>
      <c r="AO213" s="152" t="s">
        <v>715</v>
      </c>
      <c r="AP213" s="152" t="s">
        <v>628</v>
      </c>
      <c r="AQ213" s="152" t="s">
        <v>630</v>
      </c>
      <c r="AR213" s="152" t="s">
        <v>629</v>
      </c>
      <c r="AS213" s="152" t="s">
        <v>678</v>
      </c>
      <c r="AT213" s="152" t="s">
        <v>797</v>
      </c>
      <c r="AU213" s="152">
        <v>2018</v>
      </c>
      <c r="AV213" s="339">
        <v>6995</v>
      </c>
      <c r="AW213" s="339">
        <v>1803673</v>
      </c>
      <c r="AX213" s="152">
        <v>16</v>
      </c>
      <c r="AY213" s="152">
        <v>0</v>
      </c>
      <c r="AZ213" s="152">
        <v>75</v>
      </c>
      <c r="BA213" s="152">
        <v>2.8388727070000002</v>
      </c>
      <c r="BB213" s="152">
        <v>353</v>
      </c>
      <c r="BC213" s="152">
        <v>90</v>
      </c>
      <c r="BD213" s="152">
        <v>7.8179997999999999</v>
      </c>
    </row>
    <row r="214" spans="1:56" x14ac:dyDescent="0.25">
      <c r="A214" s="152" t="s">
        <v>1056</v>
      </c>
      <c r="B214" s="152">
        <v>43.617736000000001</v>
      </c>
      <c r="C214" s="152">
        <v>-97.045179000000005</v>
      </c>
      <c r="D214" s="152">
        <v>34</v>
      </c>
      <c r="E214" s="152" t="s">
        <v>697</v>
      </c>
      <c r="F214" s="152">
        <v>2018</v>
      </c>
      <c r="G214" s="340">
        <v>43425.915972222225</v>
      </c>
      <c r="H214" s="152" t="s">
        <v>637</v>
      </c>
      <c r="I214" s="152" t="s">
        <v>696</v>
      </c>
      <c r="J214" s="152" t="s">
        <v>697</v>
      </c>
      <c r="L214" s="152" t="s">
        <v>1055</v>
      </c>
      <c r="M214" s="152" t="s">
        <v>676</v>
      </c>
      <c r="N214" s="152" t="s">
        <v>637</v>
      </c>
      <c r="O214" s="152" t="s">
        <v>647</v>
      </c>
      <c r="P214" s="152" t="s">
        <v>696</v>
      </c>
      <c r="Q214" s="152" t="s">
        <v>637</v>
      </c>
      <c r="R214" s="152" t="s">
        <v>701</v>
      </c>
      <c r="S214" s="152" t="s">
        <v>637</v>
      </c>
      <c r="T214" s="152" t="s">
        <v>701</v>
      </c>
      <c r="U214" s="152" t="s">
        <v>644</v>
      </c>
      <c r="V214" s="152" t="s">
        <v>96</v>
      </c>
      <c r="W214" s="152" t="s">
        <v>643</v>
      </c>
      <c r="Y214" s="152" t="s">
        <v>637</v>
      </c>
      <c r="Z214" s="152" t="s">
        <v>642</v>
      </c>
      <c r="AA214" s="152" t="s">
        <v>665</v>
      </c>
      <c r="AB214" s="152" t="s">
        <v>640</v>
      </c>
      <c r="AC214" s="152" t="s">
        <v>701</v>
      </c>
      <c r="AD214" s="152" t="s">
        <v>673</v>
      </c>
      <c r="AE214" s="152" t="s">
        <v>637</v>
      </c>
      <c r="AF214" s="152" t="s">
        <v>637</v>
      </c>
      <c r="AG214" s="152" t="s">
        <v>637</v>
      </c>
      <c r="AH214" s="152" t="s">
        <v>664</v>
      </c>
      <c r="AI214" s="152" t="s">
        <v>699</v>
      </c>
      <c r="AJ214" s="152" t="s">
        <v>696</v>
      </c>
      <c r="AL214" s="152" t="s">
        <v>637</v>
      </c>
      <c r="AM214" s="152" t="s">
        <v>1134</v>
      </c>
      <c r="AO214" s="152" t="s">
        <v>715</v>
      </c>
      <c r="AP214" s="152" t="s">
        <v>697</v>
      </c>
      <c r="AQ214" s="152" t="s">
        <v>671</v>
      </c>
      <c r="AS214" s="152" t="s">
        <v>696</v>
      </c>
      <c r="AT214" s="152" t="s">
        <v>702</v>
      </c>
      <c r="AU214" s="152">
        <v>2018</v>
      </c>
      <c r="AV214" s="339">
        <v>6995</v>
      </c>
      <c r="AW214" s="339">
        <v>1815468</v>
      </c>
      <c r="AX214" s="152">
        <v>21</v>
      </c>
      <c r="AY214" s="152">
        <v>-1</v>
      </c>
      <c r="AZ214" s="152">
        <v>75</v>
      </c>
      <c r="BA214" s="152">
        <v>0.81077517899999996</v>
      </c>
      <c r="BB214" s="152">
        <v>477</v>
      </c>
      <c r="BC214" s="152">
        <v>90</v>
      </c>
      <c r="BD214" s="152">
        <v>7.8179997999999999</v>
      </c>
    </row>
    <row r="215" spans="1:56" x14ac:dyDescent="0.25">
      <c r="A215" s="152" t="s">
        <v>1056</v>
      </c>
      <c r="B215" s="152">
        <v>43.621464000000003</v>
      </c>
      <c r="C215" s="152">
        <v>-97.051575</v>
      </c>
      <c r="D215" s="152">
        <v>34</v>
      </c>
      <c r="E215" s="152" t="s">
        <v>697</v>
      </c>
      <c r="F215" s="152">
        <v>2017</v>
      </c>
      <c r="G215" s="340">
        <v>42824.298611111109</v>
      </c>
      <c r="H215" s="152" t="s">
        <v>637</v>
      </c>
      <c r="I215" s="152" t="s">
        <v>696</v>
      </c>
      <c r="J215" s="152" t="s">
        <v>697</v>
      </c>
      <c r="L215" s="152" t="s">
        <v>1055</v>
      </c>
      <c r="M215" s="152" t="s">
        <v>668</v>
      </c>
      <c r="N215" s="152" t="s">
        <v>637</v>
      </c>
      <c r="O215" s="152" t="s">
        <v>647</v>
      </c>
      <c r="P215" s="152" t="s">
        <v>696</v>
      </c>
      <c r="Q215" s="152" t="s">
        <v>637</v>
      </c>
      <c r="R215" s="152" t="s">
        <v>701</v>
      </c>
      <c r="S215" s="152" t="s">
        <v>637</v>
      </c>
      <c r="T215" s="152" t="s">
        <v>701</v>
      </c>
      <c r="U215" s="152" t="s">
        <v>644</v>
      </c>
      <c r="V215" s="152" t="s">
        <v>96</v>
      </c>
      <c r="W215" s="152" t="s">
        <v>643</v>
      </c>
      <c r="Y215" s="152" t="s">
        <v>637</v>
      </c>
      <c r="Z215" s="152" t="s">
        <v>642</v>
      </c>
      <c r="AA215" s="152" t="s">
        <v>782</v>
      </c>
      <c r="AB215" s="152" t="s">
        <v>640</v>
      </c>
      <c r="AC215" s="152" t="s">
        <v>701</v>
      </c>
      <c r="AD215" s="152" t="s">
        <v>691</v>
      </c>
      <c r="AE215" s="152" t="s">
        <v>637</v>
      </c>
      <c r="AF215" s="152" t="s">
        <v>637</v>
      </c>
      <c r="AG215" s="152" t="s">
        <v>637</v>
      </c>
      <c r="AH215" s="152" t="s">
        <v>664</v>
      </c>
      <c r="AI215" s="152" t="s">
        <v>699</v>
      </c>
      <c r="AJ215" s="152" t="s">
        <v>696</v>
      </c>
      <c r="AL215" s="152" t="s">
        <v>637</v>
      </c>
      <c r="AM215" s="152" t="s">
        <v>747</v>
      </c>
      <c r="AO215" s="152" t="s">
        <v>715</v>
      </c>
      <c r="AP215" s="152" t="s">
        <v>697</v>
      </c>
      <c r="AQ215" s="152" t="s">
        <v>630</v>
      </c>
      <c r="AS215" s="152" t="s">
        <v>696</v>
      </c>
      <c r="AT215" s="152" t="s">
        <v>695</v>
      </c>
      <c r="AU215" s="152">
        <v>2017</v>
      </c>
      <c r="AV215" s="339">
        <v>6995</v>
      </c>
      <c r="AW215" s="339">
        <v>1704293</v>
      </c>
      <c r="AX215" s="152">
        <v>30</v>
      </c>
      <c r="AY215" s="152">
        <v>-1</v>
      </c>
      <c r="AZ215" s="152">
        <v>75</v>
      </c>
      <c r="BA215" s="152">
        <v>3.8314157000000001E-2</v>
      </c>
      <c r="BB215" s="152">
        <v>206</v>
      </c>
      <c r="BC215" s="152">
        <v>90</v>
      </c>
      <c r="BD215" s="152">
        <v>7.8179997999999999</v>
      </c>
    </row>
    <row r="216" spans="1:56" x14ac:dyDescent="0.25">
      <c r="A216" s="152" t="s">
        <v>1056</v>
      </c>
      <c r="B216" s="152">
        <v>43.622573000000003</v>
      </c>
      <c r="C216" s="152">
        <v>-97.053481000000005</v>
      </c>
      <c r="D216" s="152">
        <v>34</v>
      </c>
      <c r="E216" s="152" t="s">
        <v>652</v>
      </c>
      <c r="F216" s="152">
        <v>2018</v>
      </c>
      <c r="G216" s="340">
        <v>43362.750694444447</v>
      </c>
      <c r="H216" s="152" t="s">
        <v>637</v>
      </c>
      <c r="I216" s="152" t="s">
        <v>669</v>
      </c>
      <c r="J216" s="152" t="s">
        <v>660</v>
      </c>
      <c r="L216" s="152" t="s">
        <v>1055</v>
      </c>
      <c r="M216" s="152" t="s">
        <v>676</v>
      </c>
      <c r="N216" s="152" t="s">
        <v>637</v>
      </c>
      <c r="O216" s="152" t="s">
        <v>647</v>
      </c>
      <c r="P216" s="152" t="s">
        <v>628</v>
      </c>
      <c r="Q216" s="152" t="s">
        <v>637</v>
      </c>
      <c r="R216" s="152" t="s">
        <v>656</v>
      </c>
      <c r="S216" s="152" t="s">
        <v>637</v>
      </c>
      <c r="T216" s="152" t="s">
        <v>656</v>
      </c>
      <c r="U216" s="152" t="s">
        <v>644</v>
      </c>
      <c r="V216" s="152" t="s">
        <v>96</v>
      </c>
      <c r="W216" s="152" t="s">
        <v>643</v>
      </c>
      <c r="Y216" s="152" t="s">
        <v>637</v>
      </c>
      <c r="Z216" s="152" t="s">
        <v>642</v>
      </c>
      <c r="AA216" s="152" t="s">
        <v>665</v>
      </c>
      <c r="AB216" s="152" t="s">
        <v>740</v>
      </c>
      <c r="AC216" s="152" t="s">
        <v>656</v>
      </c>
      <c r="AD216" s="152" t="s">
        <v>706</v>
      </c>
      <c r="AE216" s="152" t="s">
        <v>637</v>
      </c>
      <c r="AF216" s="152" t="s">
        <v>637</v>
      </c>
      <c r="AG216" s="152" t="s">
        <v>637</v>
      </c>
      <c r="AH216" s="152" t="s">
        <v>762</v>
      </c>
      <c r="AI216" s="152" t="s">
        <v>655</v>
      </c>
      <c r="AJ216" s="152" t="s">
        <v>635</v>
      </c>
      <c r="AK216" s="152" t="s">
        <v>634</v>
      </c>
      <c r="AL216" s="152" t="s">
        <v>637</v>
      </c>
      <c r="AM216" s="152" t="s">
        <v>855</v>
      </c>
      <c r="AO216" s="152" t="s">
        <v>631</v>
      </c>
      <c r="AP216" s="152" t="s">
        <v>628</v>
      </c>
      <c r="AQ216" s="152" t="s">
        <v>773</v>
      </c>
      <c r="AR216" s="152" t="s">
        <v>629</v>
      </c>
      <c r="AS216" s="152" t="s">
        <v>678</v>
      </c>
      <c r="AT216" s="152" t="s">
        <v>793</v>
      </c>
      <c r="AU216" s="152">
        <v>2018</v>
      </c>
      <c r="AV216" s="339">
        <v>6995</v>
      </c>
      <c r="AW216" s="339">
        <v>1812195</v>
      </c>
      <c r="AX216" s="152">
        <v>19</v>
      </c>
      <c r="AY216" s="152">
        <v>0</v>
      </c>
      <c r="AZ216" s="152">
        <v>75</v>
      </c>
      <c r="BA216" s="152">
        <v>1.2419892E-2</v>
      </c>
      <c r="BB216" s="152">
        <v>449</v>
      </c>
      <c r="BC216" s="152">
        <v>90</v>
      </c>
      <c r="BD216" s="152">
        <v>7.8179997999999999</v>
      </c>
    </row>
    <row r="217" spans="1:56" x14ac:dyDescent="0.25">
      <c r="A217" s="152" t="s">
        <v>1056</v>
      </c>
      <c r="B217" s="152">
        <v>43.622951999999998</v>
      </c>
      <c r="C217" s="152">
        <v>-97.054129000000003</v>
      </c>
      <c r="D217" s="152">
        <v>34</v>
      </c>
      <c r="E217" s="152" t="s">
        <v>652</v>
      </c>
      <c r="F217" s="152">
        <v>2016</v>
      </c>
      <c r="G217" s="340">
        <v>42372.8125</v>
      </c>
      <c r="H217" s="152" t="s">
        <v>637</v>
      </c>
      <c r="I217" s="152" t="s">
        <v>669</v>
      </c>
      <c r="J217" s="152" t="s">
        <v>650</v>
      </c>
      <c r="L217" s="152" t="s">
        <v>1055</v>
      </c>
      <c r="M217" s="152" t="s">
        <v>712</v>
      </c>
      <c r="N217" s="152" t="s">
        <v>637</v>
      </c>
      <c r="O217" s="152" t="s">
        <v>647</v>
      </c>
      <c r="P217" s="152" t="s">
        <v>628</v>
      </c>
      <c r="Q217" s="152" t="s">
        <v>637</v>
      </c>
      <c r="R217" s="152" t="s">
        <v>711</v>
      </c>
      <c r="S217" s="152" t="s">
        <v>637</v>
      </c>
      <c r="T217" s="152" t="s">
        <v>711</v>
      </c>
      <c r="U217" s="152" t="s">
        <v>644</v>
      </c>
      <c r="V217" s="152" t="s">
        <v>96</v>
      </c>
      <c r="W217" s="152" t="s">
        <v>643</v>
      </c>
      <c r="Y217" s="152" t="s">
        <v>637</v>
      </c>
      <c r="Z217" s="152" t="s">
        <v>642</v>
      </c>
      <c r="AA217" s="152" t="s">
        <v>665</v>
      </c>
      <c r="AB217" s="152" t="s">
        <v>640</v>
      </c>
      <c r="AC217" s="152" t="s">
        <v>711</v>
      </c>
      <c r="AD217" s="152" t="s">
        <v>638</v>
      </c>
      <c r="AE217" s="152" t="s">
        <v>637</v>
      </c>
      <c r="AF217" s="152" t="s">
        <v>637</v>
      </c>
      <c r="AG217" s="152" t="s">
        <v>637</v>
      </c>
      <c r="AH217" s="152" t="s">
        <v>664</v>
      </c>
      <c r="AI217" s="152" t="s">
        <v>899</v>
      </c>
      <c r="AJ217" s="152" t="s">
        <v>635</v>
      </c>
      <c r="AK217" s="152" t="s">
        <v>634</v>
      </c>
      <c r="AL217" s="152" t="s">
        <v>637</v>
      </c>
      <c r="AM217" s="152" t="s">
        <v>707</v>
      </c>
      <c r="AO217" s="152" t="s">
        <v>715</v>
      </c>
      <c r="AP217" s="152" t="s">
        <v>628</v>
      </c>
      <c r="AQ217" s="152" t="s">
        <v>671</v>
      </c>
      <c r="AR217" s="152" t="s">
        <v>629</v>
      </c>
      <c r="AS217" s="152" t="s">
        <v>628</v>
      </c>
      <c r="AT217" s="152" t="s">
        <v>702</v>
      </c>
      <c r="AU217" s="152">
        <v>2016</v>
      </c>
      <c r="AV217" s="339">
        <v>6995</v>
      </c>
      <c r="AW217" s="339">
        <v>1600488</v>
      </c>
      <c r="AX217" s="152">
        <v>3</v>
      </c>
      <c r="AY217" s="152">
        <v>0</v>
      </c>
      <c r="AZ217" s="152">
        <v>75</v>
      </c>
      <c r="BA217" s="152">
        <v>2.9765559E-2</v>
      </c>
      <c r="BB217" s="152">
        <v>13</v>
      </c>
      <c r="BC217" s="152">
        <v>90</v>
      </c>
      <c r="BD217" s="152">
        <v>7.8179997999999999</v>
      </c>
    </row>
    <row r="218" spans="1:56" x14ac:dyDescent="0.25">
      <c r="A218" s="152" t="s">
        <v>1056</v>
      </c>
      <c r="B218" s="152">
        <v>43.624785000000003</v>
      </c>
      <c r="C218" s="152">
        <v>-97.057260999999997</v>
      </c>
      <c r="D218" s="152">
        <v>34</v>
      </c>
      <c r="E218" s="152" t="s">
        <v>697</v>
      </c>
      <c r="F218" s="152">
        <v>2020</v>
      </c>
      <c r="G218" s="340">
        <v>44107.910416666666</v>
      </c>
      <c r="H218" s="152" t="s">
        <v>637</v>
      </c>
      <c r="I218" s="152" t="s">
        <v>696</v>
      </c>
      <c r="J218" s="152" t="s">
        <v>697</v>
      </c>
      <c r="L218" s="152" t="s">
        <v>1055</v>
      </c>
      <c r="M218" s="152" t="s">
        <v>693</v>
      </c>
      <c r="N218" s="152" t="s">
        <v>637</v>
      </c>
      <c r="O218" s="152" t="s">
        <v>647</v>
      </c>
      <c r="P218" s="152" t="s">
        <v>696</v>
      </c>
      <c r="Q218" s="152" t="s">
        <v>637</v>
      </c>
      <c r="R218" s="152" t="s">
        <v>701</v>
      </c>
      <c r="S218" s="152" t="s">
        <v>637</v>
      </c>
      <c r="T218" s="152" t="s">
        <v>701</v>
      </c>
      <c r="U218" s="152" t="s">
        <v>644</v>
      </c>
      <c r="V218" s="152" t="s">
        <v>96</v>
      </c>
      <c r="W218" s="152" t="s">
        <v>643</v>
      </c>
      <c r="Y218" s="152" t="s">
        <v>637</v>
      </c>
      <c r="Z218" s="152" t="s">
        <v>696</v>
      </c>
      <c r="AA218" s="152" t="s">
        <v>665</v>
      </c>
      <c r="AB218" s="152" t="s">
        <v>640</v>
      </c>
      <c r="AC218" s="152" t="s">
        <v>701</v>
      </c>
      <c r="AD218" s="152" t="s">
        <v>700</v>
      </c>
      <c r="AE218" s="152" t="s">
        <v>637</v>
      </c>
      <c r="AF218" s="152" t="s">
        <v>637</v>
      </c>
      <c r="AG218" s="152" t="s">
        <v>637</v>
      </c>
      <c r="AH218" s="152" t="s">
        <v>664</v>
      </c>
      <c r="AI218" s="152" t="s">
        <v>699</v>
      </c>
      <c r="AJ218" s="152" t="s">
        <v>696</v>
      </c>
      <c r="AL218" s="152" t="s">
        <v>637</v>
      </c>
      <c r="AM218" s="152" t="s">
        <v>1133</v>
      </c>
      <c r="AO218" s="152" t="s">
        <v>715</v>
      </c>
      <c r="AP218" s="152" t="s">
        <v>697</v>
      </c>
      <c r="AQ218" s="152" t="s">
        <v>671</v>
      </c>
      <c r="AS218" s="152" t="s">
        <v>696</v>
      </c>
      <c r="AT218" s="152" t="s">
        <v>702</v>
      </c>
      <c r="AU218" s="152">
        <v>2020</v>
      </c>
      <c r="AV218" s="339">
        <v>6995</v>
      </c>
      <c r="AW218" s="339">
        <v>2012214</v>
      </c>
      <c r="AX218" s="152">
        <v>3</v>
      </c>
      <c r="AY218" s="152">
        <v>-1</v>
      </c>
      <c r="AZ218" s="152">
        <v>75</v>
      </c>
      <c r="BA218" s="152">
        <v>1.7279762670000001</v>
      </c>
      <c r="BB218" s="152">
        <v>726</v>
      </c>
      <c r="BC218" s="152">
        <v>90</v>
      </c>
      <c r="BD218" s="152">
        <v>7.8179997999999999</v>
      </c>
    </row>
    <row r="219" spans="1:56" x14ac:dyDescent="0.25">
      <c r="A219" s="152" t="s">
        <v>1056</v>
      </c>
      <c r="B219" s="152">
        <v>43.626269000000001</v>
      </c>
      <c r="C219" s="152">
        <v>-97.059792000000002</v>
      </c>
      <c r="D219" s="152">
        <v>34</v>
      </c>
      <c r="E219" s="152" t="s">
        <v>697</v>
      </c>
      <c r="F219" s="152">
        <v>2018</v>
      </c>
      <c r="G219" s="340">
        <v>43407.327777777777</v>
      </c>
      <c r="H219" s="152" t="s">
        <v>637</v>
      </c>
      <c r="I219" s="152" t="s">
        <v>696</v>
      </c>
      <c r="J219" s="152" t="s">
        <v>697</v>
      </c>
      <c r="L219" s="152" t="s">
        <v>1055</v>
      </c>
      <c r="M219" s="152" t="s">
        <v>693</v>
      </c>
      <c r="N219" s="152" t="s">
        <v>637</v>
      </c>
      <c r="O219" s="152" t="s">
        <v>647</v>
      </c>
      <c r="P219" s="152" t="s">
        <v>696</v>
      </c>
      <c r="Q219" s="152" t="s">
        <v>637</v>
      </c>
      <c r="R219" s="152" t="s">
        <v>701</v>
      </c>
      <c r="S219" s="152" t="s">
        <v>637</v>
      </c>
      <c r="T219" s="152" t="s">
        <v>701</v>
      </c>
      <c r="U219" s="152" t="s">
        <v>644</v>
      </c>
      <c r="V219" s="152" t="s">
        <v>96</v>
      </c>
      <c r="W219" s="152" t="s">
        <v>643</v>
      </c>
      <c r="Y219" s="152" t="s">
        <v>637</v>
      </c>
      <c r="Z219" s="152" t="s">
        <v>642</v>
      </c>
      <c r="AA219" s="152" t="s">
        <v>665</v>
      </c>
      <c r="AB219" s="152" t="s">
        <v>640</v>
      </c>
      <c r="AC219" s="152" t="s">
        <v>701</v>
      </c>
      <c r="AD219" s="152" t="s">
        <v>673</v>
      </c>
      <c r="AE219" s="152" t="s">
        <v>637</v>
      </c>
      <c r="AF219" s="152" t="s">
        <v>637</v>
      </c>
      <c r="AG219" s="152" t="s">
        <v>637</v>
      </c>
      <c r="AH219" s="152" t="s">
        <v>762</v>
      </c>
      <c r="AI219" s="152" t="s">
        <v>699</v>
      </c>
      <c r="AJ219" s="152" t="s">
        <v>696</v>
      </c>
      <c r="AL219" s="152" t="s">
        <v>637</v>
      </c>
      <c r="AM219" s="152" t="s">
        <v>1047</v>
      </c>
      <c r="AO219" s="152" t="s">
        <v>715</v>
      </c>
      <c r="AP219" s="152" t="s">
        <v>697</v>
      </c>
      <c r="AQ219" s="152" t="s">
        <v>630</v>
      </c>
      <c r="AS219" s="152" t="s">
        <v>696</v>
      </c>
      <c r="AT219" s="152" t="s">
        <v>760</v>
      </c>
      <c r="AU219" s="152">
        <v>2018</v>
      </c>
      <c r="AV219" s="339">
        <v>6995</v>
      </c>
      <c r="AW219" s="339">
        <v>1814364</v>
      </c>
      <c r="AX219" s="152">
        <v>3</v>
      </c>
      <c r="AY219" s="152">
        <v>-1</v>
      </c>
      <c r="AZ219" s="152">
        <v>75</v>
      </c>
      <c r="BA219" s="152">
        <v>5.6108958600000003</v>
      </c>
      <c r="BB219" s="152">
        <v>464</v>
      </c>
      <c r="BC219" s="152">
        <v>90</v>
      </c>
      <c r="BD219" s="152">
        <v>7.8179997999999999</v>
      </c>
    </row>
    <row r="220" spans="1:56" x14ac:dyDescent="0.25">
      <c r="A220" s="152" t="s">
        <v>1056</v>
      </c>
      <c r="B220" s="152">
        <v>43.629187000000002</v>
      </c>
      <c r="C220" s="152">
        <v>-97.064824999999999</v>
      </c>
      <c r="D220" s="152">
        <v>34</v>
      </c>
      <c r="E220" s="152" t="s">
        <v>697</v>
      </c>
      <c r="F220" s="152">
        <v>2019</v>
      </c>
      <c r="G220" s="340">
        <v>43631.222222222219</v>
      </c>
      <c r="H220" s="152" t="s">
        <v>637</v>
      </c>
      <c r="I220" s="152" t="s">
        <v>696</v>
      </c>
      <c r="J220" s="152" t="s">
        <v>697</v>
      </c>
      <c r="L220" s="152" t="s">
        <v>1055</v>
      </c>
      <c r="M220" s="152" t="s">
        <v>693</v>
      </c>
      <c r="N220" s="152" t="s">
        <v>637</v>
      </c>
      <c r="O220" s="152" t="s">
        <v>647</v>
      </c>
      <c r="P220" s="152" t="s">
        <v>696</v>
      </c>
      <c r="Q220" s="152" t="s">
        <v>637</v>
      </c>
      <c r="R220" s="152" t="s">
        <v>701</v>
      </c>
      <c r="S220" s="152" t="s">
        <v>637</v>
      </c>
      <c r="T220" s="152" t="s">
        <v>701</v>
      </c>
      <c r="U220" s="152" t="s">
        <v>644</v>
      </c>
      <c r="V220" s="152" t="s">
        <v>96</v>
      </c>
      <c r="W220" s="152" t="s">
        <v>643</v>
      </c>
      <c r="Y220" s="152" t="s">
        <v>637</v>
      </c>
      <c r="Z220" s="152" t="s">
        <v>696</v>
      </c>
      <c r="AA220" s="152" t="s">
        <v>665</v>
      </c>
      <c r="AB220" s="152" t="s">
        <v>640</v>
      </c>
      <c r="AC220" s="152" t="s">
        <v>701</v>
      </c>
      <c r="AD220" s="152" t="s">
        <v>771</v>
      </c>
      <c r="AE220" s="152" t="s">
        <v>637</v>
      </c>
      <c r="AF220" s="152" t="s">
        <v>637</v>
      </c>
      <c r="AG220" s="152" t="s">
        <v>637</v>
      </c>
      <c r="AH220" s="152" t="s">
        <v>664</v>
      </c>
      <c r="AI220" s="152" t="s">
        <v>699</v>
      </c>
      <c r="AJ220" s="152" t="s">
        <v>696</v>
      </c>
      <c r="AL220" s="152" t="s">
        <v>637</v>
      </c>
      <c r="AM220" s="152" t="s">
        <v>1132</v>
      </c>
      <c r="AO220" s="152" t="s">
        <v>715</v>
      </c>
      <c r="AP220" s="152" t="s">
        <v>697</v>
      </c>
      <c r="AQ220" s="152" t="s">
        <v>630</v>
      </c>
      <c r="AS220" s="152" t="s">
        <v>696</v>
      </c>
      <c r="AT220" s="152" t="s">
        <v>702</v>
      </c>
      <c r="AU220" s="152">
        <v>2019</v>
      </c>
      <c r="AV220" s="339">
        <v>6995</v>
      </c>
      <c r="AW220" s="339">
        <v>1907121</v>
      </c>
      <c r="AX220" s="152">
        <v>15</v>
      </c>
      <c r="AY220" s="152">
        <v>-1</v>
      </c>
      <c r="AZ220" s="152">
        <v>75</v>
      </c>
      <c r="BA220" s="152">
        <v>4.6903898059999998</v>
      </c>
      <c r="BB220" s="152">
        <v>559</v>
      </c>
      <c r="BC220" s="152">
        <v>90</v>
      </c>
      <c r="BD220" s="152">
        <v>7.8179997999999999</v>
      </c>
    </row>
    <row r="221" spans="1:56" x14ac:dyDescent="0.25">
      <c r="A221" s="152" t="s">
        <v>1056</v>
      </c>
      <c r="B221" s="152">
        <v>43.629283000000001</v>
      </c>
      <c r="C221" s="152">
        <v>-97.064992000000004</v>
      </c>
      <c r="D221" s="152">
        <v>34</v>
      </c>
      <c r="E221" s="152" t="s">
        <v>697</v>
      </c>
      <c r="F221" s="152">
        <v>2018</v>
      </c>
      <c r="G221" s="340">
        <v>43445.486111111109</v>
      </c>
      <c r="H221" s="152" t="s">
        <v>637</v>
      </c>
      <c r="I221" s="152" t="s">
        <v>696</v>
      </c>
      <c r="J221" s="152" t="s">
        <v>697</v>
      </c>
      <c r="L221" s="152" t="s">
        <v>1055</v>
      </c>
      <c r="M221" s="152" t="s">
        <v>736</v>
      </c>
      <c r="N221" s="152" t="s">
        <v>637</v>
      </c>
      <c r="O221" s="152" t="s">
        <v>647</v>
      </c>
      <c r="P221" s="152" t="s">
        <v>696</v>
      </c>
      <c r="Q221" s="152" t="s">
        <v>637</v>
      </c>
      <c r="R221" s="152" t="s">
        <v>701</v>
      </c>
      <c r="S221" s="152" t="s">
        <v>637</v>
      </c>
      <c r="T221" s="152" t="s">
        <v>701</v>
      </c>
      <c r="U221" s="152" t="s">
        <v>644</v>
      </c>
      <c r="V221" s="152" t="s">
        <v>96</v>
      </c>
      <c r="W221" s="152" t="s">
        <v>643</v>
      </c>
      <c r="Y221" s="152" t="s">
        <v>637</v>
      </c>
      <c r="Z221" s="152" t="s">
        <v>642</v>
      </c>
      <c r="AA221" s="152" t="s">
        <v>641</v>
      </c>
      <c r="AB221" s="152" t="s">
        <v>640</v>
      </c>
      <c r="AC221" s="152" t="s">
        <v>701</v>
      </c>
      <c r="AD221" s="152" t="s">
        <v>681</v>
      </c>
      <c r="AE221" s="152" t="s">
        <v>637</v>
      </c>
      <c r="AF221" s="152" t="s">
        <v>637</v>
      </c>
      <c r="AG221" s="152" t="s">
        <v>637</v>
      </c>
      <c r="AH221" s="152" t="s">
        <v>664</v>
      </c>
      <c r="AI221" s="152" t="s">
        <v>699</v>
      </c>
      <c r="AJ221" s="152" t="s">
        <v>696</v>
      </c>
      <c r="AL221" s="152" t="s">
        <v>637</v>
      </c>
      <c r="AM221" s="152" t="s">
        <v>1131</v>
      </c>
      <c r="AO221" s="152" t="s">
        <v>715</v>
      </c>
      <c r="AP221" s="152" t="s">
        <v>697</v>
      </c>
      <c r="AQ221" s="152" t="s">
        <v>630</v>
      </c>
      <c r="AS221" s="152" t="s">
        <v>696</v>
      </c>
      <c r="AT221" s="152" t="s">
        <v>702</v>
      </c>
      <c r="AU221" s="152">
        <v>2018</v>
      </c>
      <c r="AV221" s="339">
        <v>6995</v>
      </c>
      <c r="AW221" s="339">
        <v>1816471</v>
      </c>
      <c r="AX221" s="152">
        <v>11</v>
      </c>
      <c r="AY221" s="152">
        <v>-1</v>
      </c>
      <c r="AZ221" s="152">
        <v>75</v>
      </c>
      <c r="BA221" s="152">
        <v>4.4415609050000002</v>
      </c>
      <c r="BB221" s="152">
        <v>491</v>
      </c>
      <c r="BC221" s="152">
        <v>90</v>
      </c>
      <c r="BD221" s="152">
        <v>7.8179997999999999</v>
      </c>
    </row>
    <row r="222" spans="1:56" x14ac:dyDescent="0.25">
      <c r="A222" s="152" t="s">
        <v>1056</v>
      </c>
      <c r="B222" s="152">
        <v>43.629627999999997</v>
      </c>
      <c r="C222" s="152">
        <v>-97.065590999999998</v>
      </c>
      <c r="D222" s="152">
        <v>34</v>
      </c>
      <c r="E222" s="152" t="s">
        <v>652</v>
      </c>
      <c r="F222" s="152">
        <v>2017</v>
      </c>
      <c r="G222" s="340">
        <v>42806.760416666664</v>
      </c>
      <c r="H222" s="152" t="s">
        <v>637</v>
      </c>
      <c r="I222" s="152" t="s">
        <v>669</v>
      </c>
      <c r="J222" s="152" t="s">
        <v>650</v>
      </c>
      <c r="L222" s="152" t="s">
        <v>1055</v>
      </c>
      <c r="M222" s="152" t="s">
        <v>712</v>
      </c>
      <c r="N222" s="152" t="s">
        <v>637</v>
      </c>
      <c r="O222" s="152" t="s">
        <v>647</v>
      </c>
      <c r="P222" s="152" t="s">
        <v>646</v>
      </c>
      <c r="Q222" s="152" t="s">
        <v>637</v>
      </c>
      <c r="R222" s="152" t="s">
        <v>683</v>
      </c>
      <c r="S222" s="152" t="s">
        <v>637</v>
      </c>
      <c r="T222" s="152" t="s">
        <v>682</v>
      </c>
      <c r="U222" s="152" t="s">
        <v>644</v>
      </c>
      <c r="V222" s="152" t="s">
        <v>96</v>
      </c>
      <c r="W222" s="152" t="s">
        <v>643</v>
      </c>
      <c r="Y222" s="152" t="s">
        <v>637</v>
      </c>
      <c r="Z222" s="152" t="s">
        <v>642</v>
      </c>
      <c r="AA222" s="152" t="s">
        <v>641</v>
      </c>
      <c r="AB222" s="152" t="s">
        <v>640</v>
      </c>
      <c r="AC222" s="152" t="s">
        <v>682</v>
      </c>
      <c r="AD222" s="152" t="s">
        <v>691</v>
      </c>
      <c r="AE222" s="152" t="s">
        <v>637</v>
      </c>
      <c r="AF222" s="152" t="s">
        <v>637</v>
      </c>
      <c r="AG222" s="152" t="s">
        <v>637</v>
      </c>
      <c r="AH222" s="152" t="s">
        <v>677</v>
      </c>
      <c r="AI222" s="152" t="s">
        <v>628</v>
      </c>
      <c r="AJ222" s="152" t="s">
        <v>680</v>
      </c>
      <c r="AK222" s="152" t="s">
        <v>634</v>
      </c>
      <c r="AL222" s="152" t="s">
        <v>633</v>
      </c>
      <c r="AM222" s="152" t="s">
        <v>1130</v>
      </c>
      <c r="AO222" s="152" t="s">
        <v>715</v>
      </c>
      <c r="AP222" s="152" t="s">
        <v>628</v>
      </c>
      <c r="AQ222" s="152" t="s">
        <v>769</v>
      </c>
      <c r="AR222" s="152" t="s">
        <v>629</v>
      </c>
      <c r="AS222" s="152" t="s">
        <v>628</v>
      </c>
      <c r="AT222" s="152" t="s">
        <v>677</v>
      </c>
      <c r="AU222" s="152">
        <v>2017</v>
      </c>
      <c r="AV222" s="339">
        <v>6995</v>
      </c>
      <c r="AW222" s="339">
        <v>1703071</v>
      </c>
      <c r="AX222" s="152">
        <v>12</v>
      </c>
      <c r="AY222" s="152">
        <v>0</v>
      </c>
      <c r="AZ222" s="152">
        <v>75</v>
      </c>
      <c r="BA222" s="152">
        <v>3.7402486029999999</v>
      </c>
      <c r="BB222" s="152">
        <v>195</v>
      </c>
      <c r="BC222" s="152">
        <v>90</v>
      </c>
      <c r="BD222" s="152">
        <v>7.8179997999999999</v>
      </c>
    </row>
    <row r="223" spans="1:56" x14ac:dyDescent="0.25">
      <c r="A223" s="152" t="s">
        <v>1056</v>
      </c>
      <c r="B223" s="152">
        <v>43.629935000000003</v>
      </c>
      <c r="C223" s="152">
        <v>-97.066124000000002</v>
      </c>
      <c r="D223" s="152">
        <v>34</v>
      </c>
      <c r="E223" s="152" t="s">
        <v>697</v>
      </c>
      <c r="F223" s="152">
        <v>2017</v>
      </c>
      <c r="G223" s="340">
        <v>43065.413888888892</v>
      </c>
      <c r="H223" s="152" t="s">
        <v>637</v>
      </c>
      <c r="I223" s="152" t="s">
        <v>696</v>
      </c>
      <c r="J223" s="152" t="s">
        <v>697</v>
      </c>
      <c r="L223" s="152" t="s">
        <v>1055</v>
      </c>
      <c r="M223" s="152" t="s">
        <v>712</v>
      </c>
      <c r="N223" s="152" t="s">
        <v>637</v>
      </c>
      <c r="O223" s="152" t="s">
        <v>647</v>
      </c>
      <c r="P223" s="152" t="s">
        <v>696</v>
      </c>
      <c r="Q223" s="152" t="s">
        <v>637</v>
      </c>
      <c r="R223" s="152" t="s">
        <v>701</v>
      </c>
      <c r="S223" s="152" t="s">
        <v>637</v>
      </c>
      <c r="T223" s="152" t="s">
        <v>701</v>
      </c>
      <c r="U223" s="152" t="s">
        <v>644</v>
      </c>
      <c r="V223" s="152" t="s">
        <v>96</v>
      </c>
      <c r="W223" s="152" t="s">
        <v>643</v>
      </c>
      <c r="Y223" s="152" t="s">
        <v>637</v>
      </c>
      <c r="Z223" s="152" t="s">
        <v>642</v>
      </c>
      <c r="AA223" s="152" t="s">
        <v>641</v>
      </c>
      <c r="AB223" s="152" t="s">
        <v>640</v>
      </c>
      <c r="AC223" s="152" t="s">
        <v>701</v>
      </c>
      <c r="AD223" s="152" t="s">
        <v>673</v>
      </c>
      <c r="AE223" s="152" t="s">
        <v>637</v>
      </c>
      <c r="AF223" s="152" t="s">
        <v>637</v>
      </c>
      <c r="AG223" s="152" t="s">
        <v>637</v>
      </c>
      <c r="AH223" s="152" t="s">
        <v>664</v>
      </c>
      <c r="AI223" s="152" t="s">
        <v>699</v>
      </c>
      <c r="AJ223" s="152" t="s">
        <v>696</v>
      </c>
      <c r="AL223" s="152" t="s">
        <v>637</v>
      </c>
      <c r="AM223" s="152" t="s">
        <v>1129</v>
      </c>
      <c r="AO223" s="152" t="s">
        <v>715</v>
      </c>
      <c r="AP223" s="152" t="s">
        <v>697</v>
      </c>
      <c r="AQ223" s="152" t="s">
        <v>630</v>
      </c>
      <c r="AS223" s="152" t="s">
        <v>696</v>
      </c>
      <c r="AT223" s="152" t="s">
        <v>702</v>
      </c>
      <c r="AU223" s="152">
        <v>2017</v>
      </c>
      <c r="AV223" s="339">
        <v>6995</v>
      </c>
      <c r="AW223" s="339">
        <v>1715950</v>
      </c>
      <c r="AX223" s="152">
        <v>26</v>
      </c>
      <c r="AY223" s="152">
        <v>-1</v>
      </c>
      <c r="AZ223" s="152">
        <v>75</v>
      </c>
      <c r="BA223" s="152">
        <v>3.1221025899999999</v>
      </c>
      <c r="BB223" s="152">
        <v>304</v>
      </c>
      <c r="BC223" s="152">
        <v>90</v>
      </c>
      <c r="BD223" s="152">
        <v>7.8179997999999999</v>
      </c>
    </row>
    <row r="224" spans="1:56" x14ac:dyDescent="0.25">
      <c r="A224" s="152" t="s">
        <v>1056</v>
      </c>
      <c r="B224" s="152">
        <v>43.630294999999997</v>
      </c>
      <c r="C224" s="152">
        <v>-97.066749999999999</v>
      </c>
      <c r="D224" s="152">
        <v>34</v>
      </c>
      <c r="E224" s="152" t="s">
        <v>697</v>
      </c>
      <c r="F224" s="152">
        <v>2019</v>
      </c>
      <c r="G224" s="340">
        <v>43655.864583333336</v>
      </c>
      <c r="H224" s="152" t="s">
        <v>637</v>
      </c>
      <c r="I224" s="152" t="s">
        <v>696</v>
      </c>
      <c r="J224" s="152" t="s">
        <v>697</v>
      </c>
      <c r="L224" s="152" t="s">
        <v>1055</v>
      </c>
      <c r="M224" s="152" t="s">
        <v>736</v>
      </c>
      <c r="N224" s="152" t="s">
        <v>637</v>
      </c>
      <c r="O224" s="152" t="s">
        <v>647</v>
      </c>
      <c r="P224" s="152" t="s">
        <v>696</v>
      </c>
      <c r="Q224" s="152" t="s">
        <v>637</v>
      </c>
      <c r="R224" s="152" t="s">
        <v>701</v>
      </c>
      <c r="S224" s="152" t="s">
        <v>637</v>
      </c>
      <c r="T224" s="152" t="s">
        <v>701</v>
      </c>
      <c r="U224" s="152" t="s">
        <v>644</v>
      </c>
      <c r="V224" s="152" t="s">
        <v>96</v>
      </c>
      <c r="W224" s="152" t="s">
        <v>643</v>
      </c>
      <c r="Y224" s="152" t="s">
        <v>637</v>
      </c>
      <c r="Z224" s="152" t="s">
        <v>696</v>
      </c>
      <c r="AA224" s="152" t="s">
        <v>641</v>
      </c>
      <c r="AB224" s="152" t="s">
        <v>640</v>
      </c>
      <c r="AC224" s="152" t="s">
        <v>701</v>
      </c>
      <c r="AD224" s="152" t="s">
        <v>805</v>
      </c>
      <c r="AE224" s="152" t="s">
        <v>637</v>
      </c>
      <c r="AF224" s="152" t="s">
        <v>637</v>
      </c>
      <c r="AG224" s="152" t="s">
        <v>637</v>
      </c>
      <c r="AH224" s="152" t="s">
        <v>664</v>
      </c>
      <c r="AI224" s="152" t="s">
        <v>699</v>
      </c>
      <c r="AJ224" s="152" t="s">
        <v>696</v>
      </c>
      <c r="AL224" s="152" t="s">
        <v>637</v>
      </c>
      <c r="AM224" s="152" t="s">
        <v>868</v>
      </c>
      <c r="AO224" s="152" t="s">
        <v>715</v>
      </c>
      <c r="AP224" s="152" t="s">
        <v>697</v>
      </c>
      <c r="AQ224" s="152" t="s">
        <v>769</v>
      </c>
      <c r="AS224" s="152" t="s">
        <v>696</v>
      </c>
      <c r="AT224" s="152" t="s">
        <v>702</v>
      </c>
      <c r="AU224" s="152">
        <v>2019</v>
      </c>
      <c r="AV224" s="339">
        <v>6995</v>
      </c>
      <c r="AW224" s="339">
        <v>1908742</v>
      </c>
      <c r="AX224" s="152">
        <v>9</v>
      </c>
      <c r="AY224" s="152">
        <v>-1</v>
      </c>
      <c r="AZ224" s="152">
        <v>75</v>
      </c>
      <c r="BA224" s="152">
        <v>2.2364820070000002</v>
      </c>
      <c r="BB224" s="152">
        <v>570</v>
      </c>
      <c r="BC224" s="152">
        <v>90</v>
      </c>
      <c r="BD224" s="152">
        <v>7.8179997999999999</v>
      </c>
    </row>
    <row r="225" spans="1:56" x14ac:dyDescent="0.25">
      <c r="A225" s="152" t="s">
        <v>1056</v>
      </c>
      <c r="B225" s="152">
        <v>43.631100000000004</v>
      </c>
      <c r="C225" s="152">
        <v>-97.068134000000001</v>
      </c>
      <c r="D225" s="152">
        <v>34</v>
      </c>
      <c r="E225" s="152" t="s">
        <v>652</v>
      </c>
      <c r="F225" s="152">
        <v>2018</v>
      </c>
      <c r="G225" s="340">
        <v>43175.765277777777</v>
      </c>
      <c r="H225" s="152" t="s">
        <v>637</v>
      </c>
      <c r="I225" s="152" t="s">
        <v>669</v>
      </c>
      <c r="J225" s="152" t="s">
        <v>650</v>
      </c>
      <c r="L225" s="152" t="s">
        <v>1055</v>
      </c>
      <c r="M225" s="152" t="s">
        <v>648</v>
      </c>
      <c r="N225" s="152" t="s">
        <v>637</v>
      </c>
      <c r="O225" s="152" t="s">
        <v>647</v>
      </c>
      <c r="P225" s="152" t="s">
        <v>646</v>
      </c>
      <c r="Q225" s="152" t="s">
        <v>637</v>
      </c>
      <c r="R225" s="152" t="s">
        <v>675</v>
      </c>
      <c r="S225" s="152" t="s">
        <v>637</v>
      </c>
      <c r="T225" s="152" t="s">
        <v>674</v>
      </c>
      <c r="U225" s="152" t="s">
        <v>644</v>
      </c>
      <c r="V225" s="152" t="s">
        <v>96</v>
      </c>
      <c r="W225" s="152" t="s">
        <v>643</v>
      </c>
      <c r="Y225" s="152" t="s">
        <v>637</v>
      </c>
      <c r="Z225" s="152" t="s">
        <v>642</v>
      </c>
      <c r="AA225" s="152" t="s">
        <v>641</v>
      </c>
      <c r="AB225" s="152" t="s">
        <v>640</v>
      </c>
      <c r="AC225" s="152" t="s">
        <v>674</v>
      </c>
      <c r="AD225" s="152" t="s">
        <v>691</v>
      </c>
      <c r="AE225" s="152" t="s">
        <v>637</v>
      </c>
      <c r="AF225" s="152" t="s">
        <v>637</v>
      </c>
      <c r="AG225" s="152" t="s">
        <v>637</v>
      </c>
      <c r="AH225" s="152" t="s">
        <v>636</v>
      </c>
      <c r="AI225" s="152" t="s">
        <v>628</v>
      </c>
      <c r="AJ225" s="152" t="s">
        <v>680</v>
      </c>
      <c r="AK225" s="152" t="s">
        <v>634</v>
      </c>
      <c r="AL225" s="152" t="s">
        <v>633</v>
      </c>
      <c r="AM225" s="152" t="s">
        <v>1128</v>
      </c>
      <c r="AO225" s="152" t="s">
        <v>715</v>
      </c>
      <c r="AP225" s="152" t="s">
        <v>628</v>
      </c>
      <c r="AQ225" s="152" t="s">
        <v>630</v>
      </c>
      <c r="AR225" s="152" t="s">
        <v>629</v>
      </c>
      <c r="AS225" s="152" t="s">
        <v>678</v>
      </c>
      <c r="AT225" s="152" t="s">
        <v>797</v>
      </c>
      <c r="AU225" s="152">
        <v>2018</v>
      </c>
      <c r="AV225" s="339">
        <v>6995</v>
      </c>
      <c r="AW225" s="339">
        <v>1804134</v>
      </c>
      <c r="AX225" s="152">
        <v>16</v>
      </c>
      <c r="AY225" s="152">
        <v>0</v>
      </c>
      <c r="AZ225" s="152">
        <v>75</v>
      </c>
      <c r="BA225" s="152">
        <v>2.8754302759999999</v>
      </c>
      <c r="BB225" s="152">
        <v>360</v>
      </c>
      <c r="BC225" s="152">
        <v>90</v>
      </c>
      <c r="BD225" s="152">
        <v>7.8179997999999999</v>
      </c>
    </row>
    <row r="226" spans="1:56" x14ac:dyDescent="0.25">
      <c r="A226" s="152" t="s">
        <v>1056</v>
      </c>
      <c r="B226" s="152">
        <v>43.632157999999997</v>
      </c>
      <c r="C226" s="152">
        <v>-97.069963000000001</v>
      </c>
      <c r="D226" s="152">
        <v>34</v>
      </c>
      <c r="E226" s="152" t="s">
        <v>697</v>
      </c>
      <c r="F226" s="152">
        <v>2017</v>
      </c>
      <c r="G226" s="340">
        <v>43061.293055555558</v>
      </c>
      <c r="H226" s="152" t="s">
        <v>637</v>
      </c>
      <c r="I226" s="152" t="s">
        <v>696</v>
      </c>
      <c r="J226" s="152" t="s">
        <v>697</v>
      </c>
      <c r="L226" s="152" t="s">
        <v>1055</v>
      </c>
      <c r="M226" s="152" t="s">
        <v>676</v>
      </c>
      <c r="N226" s="152" t="s">
        <v>637</v>
      </c>
      <c r="O226" s="152" t="s">
        <v>647</v>
      </c>
      <c r="P226" s="152" t="s">
        <v>696</v>
      </c>
      <c r="Q226" s="152" t="s">
        <v>637</v>
      </c>
      <c r="R226" s="152" t="s">
        <v>701</v>
      </c>
      <c r="S226" s="152" t="s">
        <v>637</v>
      </c>
      <c r="T226" s="152" t="s">
        <v>701</v>
      </c>
      <c r="U226" s="152" t="s">
        <v>644</v>
      </c>
      <c r="V226" s="152" t="s">
        <v>96</v>
      </c>
      <c r="W226" s="152" t="s">
        <v>643</v>
      </c>
      <c r="Y226" s="152" t="s">
        <v>637</v>
      </c>
      <c r="Z226" s="152" t="s">
        <v>642</v>
      </c>
      <c r="AA226" s="152" t="s">
        <v>782</v>
      </c>
      <c r="AB226" s="152" t="s">
        <v>640</v>
      </c>
      <c r="AC226" s="152" t="s">
        <v>701</v>
      </c>
      <c r="AD226" s="152" t="s">
        <v>673</v>
      </c>
      <c r="AE226" s="152" t="s">
        <v>637</v>
      </c>
      <c r="AF226" s="152" t="s">
        <v>637</v>
      </c>
      <c r="AG226" s="152" t="s">
        <v>637</v>
      </c>
      <c r="AH226" s="152" t="s">
        <v>664</v>
      </c>
      <c r="AI226" s="152" t="s">
        <v>699</v>
      </c>
      <c r="AJ226" s="152" t="s">
        <v>696</v>
      </c>
      <c r="AL226" s="152" t="s">
        <v>637</v>
      </c>
      <c r="AM226" s="152" t="s">
        <v>1127</v>
      </c>
      <c r="AO226" s="152" t="s">
        <v>715</v>
      </c>
      <c r="AP226" s="152" t="s">
        <v>697</v>
      </c>
      <c r="AQ226" s="152" t="s">
        <v>671</v>
      </c>
      <c r="AS226" s="152" t="s">
        <v>696</v>
      </c>
      <c r="AT226" s="152" t="s">
        <v>702</v>
      </c>
      <c r="AU226" s="152">
        <v>2017</v>
      </c>
      <c r="AV226" s="339">
        <v>6995</v>
      </c>
      <c r="AW226" s="339">
        <v>1715916</v>
      </c>
      <c r="AX226" s="152">
        <v>22</v>
      </c>
      <c r="AY226" s="152">
        <v>-1</v>
      </c>
      <c r="AZ226" s="152">
        <v>75</v>
      </c>
      <c r="BA226" s="152">
        <v>0.17678739600000001</v>
      </c>
      <c r="BB226" s="152">
        <v>301</v>
      </c>
      <c r="BC226" s="152">
        <v>90</v>
      </c>
      <c r="BD226" s="152">
        <v>7.8179997999999999</v>
      </c>
    </row>
    <row r="227" spans="1:56" x14ac:dyDescent="0.25">
      <c r="A227" s="152" t="s">
        <v>1056</v>
      </c>
      <c r="B227" s="152">
        <v>43.632477000000002</v>
      </c>
      <c r="C227" s="152">
        <v>-97.070510999999996</v>
      </c>
      <c r="D227" s="152">
        <v>34</v>
      </c>
      <c r="E227" s="152" t="s">
        <v>697</v>
      </c>
      <c r="F227" s="152">
        <v>2017</v>
      </c>
      <c r="G227" s="340">
        <v>43043.215277777781</v>
      </c>
      <c r="H227" s="152" t="s">
        <v>637</v>
      </c>
      <c r="I227" s="152" t="s">
        <v>696</v>
      </c>
      <c r="J227" s="152" t="s">
        <v>697</v>
      </c>
      <c r="L227" s="152" t="s">
        <v>1055</v>
      </c>
      <c r="M227" s="152" t="s">
        <v>693</v>
      </c>
      <c r="N227" s="152" t="s">
        <v>637</v>
      </c>
      <c r="O227" s="152" t="s">
        <v>647</v>
      </c>
      <c r="P227" s="152" t="s">
        <v>696</v>
      </c>
      <c r="Q227" s="152" t="s">
        <v>637</v>
      </c>
      <c r="R227" s="152" t="s">
        <v>701</v>
      </c>
      <c r="S227" s="152" t="s">
        <v>637</v>
      </c>
      <c r="T227" s="152" t="s">
        <v>701</v>
      </c>
      <c r="U227" s="152" t="s">
        <v>644</v>
      </c>
      <c r="V227" s="152" t="s">
        <v>96</v>
      </c>
      <c r="W227" s="152" t="s">
        <v>643</v>
      </c>
      <c r="Y227" s="152" t="s">
        <v>637</v>
      </c>
      <c r="Z227" s="152" t="s">
        <v>642</v>
      </c>
      <c r="AA227" s="152" t="s">
        <v>665</v>
      </c>
      <c r="AB227" s="152" t="s">
        <v>640</v>
      </c>
      <c r="AC227" s="152" t="s">
        <v>701</v>
      </c>
      <c r="AD227" s="152" t="s">
        <v>673</v>
      </c>
      <c r="AE227" s="152" t="s">
        <v>637</v>
      </c>
      <c r="AF227" s="152" t="s">
        <v>637</v>
      </c>
      <c r="AG227" s="152" t="s">
        <v>637</v>
      </c>
      <c r="AH227" s="152" t="s">
        <v>664</v>
      </c>
      <c r="AI227" s="152" t="s">
        <v>699</v>
      </c>
      <c r="AJ227" s="152" t="s">
        <v>696</v>
      </c>
      <c r="AL227" s="152" t="s">
        <v>637</v>
      </c>
      <c r="AM227" s="152" t="s">
        <v>1126</v>
      </c>
      <c r="AO227" s="152" t="s">
        <v>715</v>
      </c>
      <c r="AP227" s="152" t="s">
        <v>697</v>
      </c>
      <c r="AQ227" s="152" t="s">
        <v>630</v>
      </c>
      <c r="AS227" s="152" t="s">
        <v>696</v>
      </c>
      <c r="AT227" s="152" t="s">
        <v>702</v>
      </c>
      <c r="AU227" s="152">
        <v>2017</v>
      </c>
      <c r="AV227" s="339">
        <v>6995</v>
      </c>
      <c r="AW227" s="339">
        <v>1715318</v>
      </c>
      <c r="AX227" s="152">
        <v>4</v>
      </c>
      <c r="AY227" s="152">
        <v>-1</v>
      </c>
      <c r="AZ227" s="152">
        <v>75</v>
      </c>
      <c r="BA227" s="152">
        <v>0.23136437500000001</v>
      </c>
      <c r="BB227" s="152">
        <v>299</v>
      </c>
      <c r="BC227" s="152">
        <v>90</v>
      </c>
      <c r="BD227" s="152">
        <v>7.8179997999999999</v>
      </c>
    </row>
    <row r="228" spans="1:56" x14ac:dyDescent="0.25">
      <c r="A228" s="152" t="s">
        <v>1056</v>
      </c>
      <c r="B228" s="152">
        <v>43.633403999999999</v>
      </c>
      <c r="C228" s="152">
        <v>-97.072104999999993</v>
      </c>
      <c r="D228" s="152">
        <v>34</v>
      </c>
      <c r="E228" s="152" t="s">
        <v>697</v>
      </c>
      <c r="F228" s="152">
        <v>2020</v>
      </c>
      <c r="G228" s="340">
        <v>43958.456944444442</v>
      </c>
      <c r="H228" s="152" t="s">
        <v>637</v>
      </c>
      <c r="I228" s="152" t="s">
        <v>696</v>
      </c>
      <c r="J228" s="152" t="s">
        <v>697</v>
      </c>
      <c r="L228" s="152" t="s">
        <v>1055</v>
      </c>
      <c r="M228" s="152" t="s">
        <v>668</v>
      </c>
      <c r="N228" s="152" t="s">
        <v>637</v>
      </c>
      <c r="O228" s="152" t="s">
        <v>647</v>
      </c>
      <c r="P228" s="152" t="s">
        <v>696</v>
      </c>
      <c r="Q228" s="152" t="s">
        <v>637</v>
      </c>
      <c r="R228" s="152" t="s">
        <v>701</v>
      </c>
      <c r="S228" s="152" t="s">
        <v>637</v>
      </c>
      <c r="T228" s="152" t="s">
        <v>701</v>
      </c>
      <c r="U228" s="152" t="s">
        <v>644</v>
      </c>
      <c r="V228" s="152" t="s">
        <v>96</v>
      </c>
      <c r="W228" s="152" t="s">
        <v>643</v>
      </c>
      <c r="Y228" s="152" t="s">
        <v>637</v>
      </c>
      <c r="Z228" s="152" t="s">
        <v>696</v>
      </c>
      <c r="AA228" s="152" t="s">
        <v>641</v>
      </c>
      <c r="AB228" s="152" t="s">
        <v>640</v>
      </c>
      <c r="AC228" s="152" t="s">
        <v>701</v>
      </c>
      <c r="AD228" s="152" t="s">
        <v>752</v>
      </c>
      <c r="AE228" s="152" t="s">
        <v>637</v>
      </c>
      <c r="AF228" s="152" t="s">
        <v>637</v>
      </c>
      <c r="AG228" s="152" t="s">
        <v>637</v>
      </c>
      <c r="AH228" s="152" t="s">
        <v>664</v>
      </c>
      <c r="AI228" s="152" t="s">
        <v>699</v>
      </c>
      <c r="AJ228" s="152" t="s">
        <v>696</v>
      </c>
      <c r="AL228" s="152" t="s">
        <v>637</v>
      </c>
      <c r="AM228" s="152" t="s">
        <v>1125</v>
      </c>
      <c r="AO228" s="152" t="s">
        <v>715</v>
      </c>
      <c r="AP228" s="152" t="s">
        <v>697</v>
      </c>
      <c r="AQ228" s="152" t="s">
        <v>671</v>
      </c>
      <c r="AS228" s="152" t="s">
        <v>696</v>
      </c>
      <c r="AT228" s="152" t="s">
        <v>702</v>
      </c>
      <c r="AU228" s="152">
        <v>2020</v>
      </c>
      <c r="AV228" s="339">
        <v>6995</v>
      </c>
      <c r="AW228" s="339">
        <v>2005015</v>
      </c>
      <c r="AX228" s="152">
        <v>7</v>
      </c>
      <c r="AY228" s="152">
        <v>-1</v>
      </c>
      <c r="AZ228" s="152">
        <v>75</v>
      </c>
      <c r="BA228" s="152">
        <v>0.145718929</v>
      </c>
      <c r="BB228" s="152">
        <v>679</v>
      </c>
      <c r="BC228" s="152">
        <v>90</v>
      </c>
      <c r="BD228" s="152">
        <v>7.8179997999999999</v>
      </c>
    </row>
    <row r="229" spans="1:56" x14ac:dyDescent="0.25">
      <c r="A229" s="152" t="s">
        <v>1056</v>
      </c>
      <c r="B229" s="152">
        <v>43.635829000000001</v>
      </c>
      <c r="C229" s="152">
        <v>-97.076274999999995</v>
      </c>
      <c r="D229" s="152">
        <v>34</v>
      </c>
      <c r="E229" s="152" t="s">
        <v>697</v>
      </c>
      <c r="F229" s="152">
        <v>2017</v>
      </c>
      <c r="G229" s="340">
        <v>43061.809027777781</v>
      </c>
      <c r="H229" s="152" t="s">
        <v>637</v>
      </c>
      <c r="I229" s="152" t="s">
        <v>696</v>
      </c>
      <c r="J229" s="152" t="s">
        <v>697</v>
      </c>
      <c r="L229" s="152" t="s">
        <v>1055</v>
      </c>
      <c r="M229" s="152" t="s">
        <v>676</v>
      </c>
      <c r="N229" s="152" t="s">
        <v>637</v>
      </c>
      <c r="O229" s="152" t="s">
        <v>647</v>
      </c>
      <c r="P229" s="152" t="s">
        <v>696</v>
      </c>
      <c r="Q229" s="152" t="s">
        <v>637</v>
      </c>
      <c r="R229" s="152" t="s">
        <v>701</v>
      </c>
      <c r="S229" s="152" t="s">
        <v>637</v>
      </c>
      <c r="T229" s="152" t="s">
        <v>701</v>
      </c>
      <c r="U229" s="152" t="s">
        <v>644</v>
      </c>
      <c r="V229" s="152" t="s">
        <v>96</v>
      </c>
      <c r="W229" s="152" t="s">
        <v>643</v>
      </c>
      <c r="Y229" s="152" t="s">
        <v>637</v>
      </c>
      <c r="Z229" s="152" t="s">
        <v>642</v>
      </c>
      <c r="AA229" s="152" t="s">
        <v>665</v>
      </c>
      <c r="AB229" s="152" t="s">
        <v>640</v>
      </c>
      <c r="AC229" s="152" t="s">
        <v>701</v>
      </c>
      <c r="AD229" s="152" t="s">
        <v>673</v>
      </c>
      <c r="AE229" s="152" t="s">
        <v>637</v>
      </c>
      <c r="AF229" s="152" t="s">
        <v>637</v>
      </c>
      <c r="AG229" s="152" t="s">
        <v>637</v>
      </c>
      <c r="AH229" s="152" t="s">
        <v>664</v>
      </c>
      <c r="AI229" s="152" t="s">
        <v>699</v>
      </c>
      <c r="AJ229" s="152" t="s">
        <v>696</v>
      </c>
      <c r="AL229" s="152" t="s">
        <v>637</v>
      </c>
      <c r="AM229" s="152" t="s">
        <v>1124</v>
      </c>
      <c r="AO229" s="152" t="s">
        <v>715</v>
      </c>
      <c r="AP229" s="152" t="s">
        <v>697</v>
      </c>
      <c r="AQ229" s="152" t="s">
        <v>671</v>
      </c>
      <c r="AS229" s="152" t="s">
        <v>696</v>
      </c>
      <c r="AT229" s="152" t="s">
        <v>702</v>
      </c>
      <c r="AU229" s="152">
        <v>2017</v>
      </c>
      <c r="AV229" s="339">
        <v>6995</v>
      </c>
      <c r="AW229" s="339">
        <v>1715959</v>
      </c>
      <c r="AX229" s="152">
        <v>22</v>
      </c>
      <c r="AY229" s="152">
        <v>-1</v>
      </c>
      <c r="AZ229" s="152">
        <v>75</v>
      </c>
      <c r="BA229" s="152">
        <v>3.4361406999999997E-2</v>
      </c>
      <c r="BB229" s="152">
        <v>305</v>
      </c>
      <c r="BC229" s="152">
        <v>90</v>
      </c>
      <c r="BD229" s="152">
        <v>7.8179997999999999</v>
      </c>
    </row>
    <row r="230" spans="1:56" x14ac:dyDescent="0.25">
      <c r="A230" s="152" t="s">
        <v>1056</v>
      </c>
      <c r="B230" s="152">
        <v>43.636026000000001</v>
      </c>
      <c r="C230" s="152">
        <v>-97.076614000000006</v>
      </c>
      <c r="D230" s="152">
        <v>34</v>
      </c>
      <c r="E230" s="152" t="s">
        <v>697</v>
      </c>
      <c r="F230" s="152">
        <v>2018</v>
      </c>
      <c r="G230" s="340">
        <v>43388.834722222222</v>
      </c>
      <c r="H230" s="152" t="s">
        <v>637</v>
      </c>
      <c r="I230" s="152" t="s">
        <v>696</v>
      </c>
      <c r="J230" s="152" t="s">
        <v>697</v>
      </c>
      <c r="L230" s="152" t="s">
        <v>1055</v>
      </c>
      <c r="M230" s="152" t="s">
        <v>685</v>
      </c>
      <c r="N230" s="152" t="s">
        <v>637</v>
      </c>
      <c r="O230" s="152" t="s">
        <v>647</v>
      </c>
      <c r="P230" s="152" t="s">
        <v>696</v>
      </c>
      <c r="Q230" s="152" t="s">
        <v>637</v>
      </c>
      <c r="R230" s="152" t="s">
        <v>701</v>
      </c>
      <c r="S230" s="152" t="s">
        <v>637</v>
      </c>
      <c r="T230" s="152" t="s">
        <v>701</v>
      </c>
      <c r="U230" s="152" t="s">
        <v>644</v>
      </c>
      <c r="V230" s="152" t="s">
        <v>96</v>
      </c>
      <c r="W230" s="152" t="s">
        <v>643</v>
      </c>
      <c r="Y230" s="152" t="s">
        <v>637</v>
      </c>
      <c r="Z230" s="152" t="s">
        <v>642</v>
      </c>
      <c r="AA230" s="152" t="s">
        <v>665</v>
      </c>
      <c r="AB230" s="152" t="s">
        <v>640</v>
      </c>
      <c r="AC230" s="152" t="s">
        <v>701</v>
      </c>
      <c r="AD230" s="152" t="s">
        <v>700</v>
      </c>
      <c r="AE230" s="152" t="s">
        <v>637</v>
      </c>
      <c r="AF230" s="152" t="s">
        <v>637</v>
      </c>
      <c r="AG230" s="152" t="s">
        <v>637</v>
      </c>
      <c r="AH230" s="152" t="s">
        <v>664</v>
      </c>
      <c r="AI230" s="152" t="s">
        <v>699</v>
      </c>
      <c r="AJ230" s="152" t="s">
        <v>696</v>
      </c>
      <c r="AL230" s="152" t="s">
        <v>637</v>
      </c>
      <c r="AM230" s="152" t="s">
        <v>1123</v>
      </c>
      <c r="AO230" s="152" t="s">
        <v>715</v>
      </c>
      <c r="AP230" s="152" t="s">
        <v>697</v>
      </c>
      <c r="AQ230" s="152" t="s">
        <v>703</v>
      </c>
      <c r="AS230" s="152" t="s">
        <v>696</v>
      </c>
      <c r="AT230" s="152" t="s">
        <v>702</v>
      </c>
      <c r="AU230" s="152">
        <v>2018</v>
      </c>
      <c r="AV230" s="339">
        <v>6995</v>
      </c>
      <c r="AW230" s="339">
        <v>1813543</v>
      </c>
      <c r="AX230" s="152">
        <v>15</v>
      </c>
      <c r="AY230" s="152">
        <v>-1</v>
      </c>
      <c r="AZ230" s="152">
        <v>75</v>
      </c>
      <c r="BA230" s="152">
        <v>8.4163054000000001E-2</v>
      </c>
      <c r="BB230" s="152">
        <v>459</v>
      </c>
      <c r="BC230" s="152">
        <v>90</v>
      </c>
      <c r="BD230" s="152">
        <v>7.8179997999999999</v>
      </c>
    </row>
    <row r="231" spans="1:56" x14ac:dyDescent="0.25">
      <c r="A231" s="152" t="s">
        <v>1056</v>
      </c>
      <c r="B231" s="152">
        <v>43.638063000000002</v>
      </c>
      <c r="C231" s="152">
        <v>-97.080105000000003</v>
      </c>
      <c r="D231" s="152">
        <v>34</v>
      </c>
      <c r="E231" s="152" t="s">
        <v>652</v>
      </c>
      <c r="F231" s="152">
        <v>2018</v>
      </c>
      <c r="G231" s="340">
        <v>43108.402777777781</v>
      </c>
      <c r="H231" s="152" t="s">
        <v>637</v>
      </c>
      <c r="I231" s="152" t="s">
        <v>669</v>
      </c>
      <c r="J231" s="152" t="s">
        <v>650</v>
      </c>
      <c r="L231" s="152" t="s">
        <v>1055</v>
      </c>
      <c r="M231" s="152" t="s">
        <v>685</v>
      </c>
      <c r="N231" s="152" t="s">
        <v>637</v>
      </c>
      <c r="O231" s="152" t="s">
        <v>647</v>
      </c>
      <c r="P231" s="152" t="s">
        <v>646</v>
      </c>
      <c r="Q231" s="152" t="s">
        <v>637</v>
      </c>
      <c r="R231" s="152" t="s">
        <v>892</v>
      </c>
      <c r="S231" s="152" t="s">
        <v>637</v>
      </c>
      <c r="T231" s="152" t="s">
        <v>777</v>
      </c>
      <c r="U231" s="152" t="s">
        <v>644</v>
      </c>
      <c r="V231" s="152" t="s">
        <v>96</v>
      </c>
      <c r="W231" s="152" t="s">
        <v>643</v>
      </c>
      <c r="Y231" s="152" t="s">
        <v>637</v>
      </c>
      <c r="Z231" s="152" t="s">
        <v>642</v>
      </c>
      <c r="AA231" s="152" t="s">
        <v>641</v>
      </c>
      <c r="AB231" s="152" t="s">
        <v>640</v>
      </c>
      <c r="AC231" s="152" t="s">
        <v>777</v>
      </c>
      <c r="AD231" s="152" t="s">
        <v>638</v>
      </c>
      <c r="AE231" s="152" t="s">
        <v>637</v>
      </c>
      <c r="AF231" s="152" t="s">
        <v>637</v>
      </c>
      <c r="AG231" s="152" t="s">
        <v>637</v>
      </c>
      <c r="AH231" s="152" t="s">
        <v>1122</v>
      </c>
      <c r="AI231" s="152" t="s">
        <v>655</v>
      </c>
      <c r="AJ231" s="152" t="s">
        <v>680</v>
      </c>
      <c r="AK231" s="152" t="s">
        <v>634</v>
      </c>
      <c r="AL231" s="152" t="s">
        <v>633</v>
      </c>
      <c r="AM231" s="152" t="s">
        <v>1121</v>
      </c>
      <c r="AO231" s="152" t="s">
        <v>715</v>
      </c>
      <c r="AP231" s="152" t="s">
        <v>628</v>
      </c>
      <c r="AQ231" s="152" t="s">
        <v>769</v>
      </c>
      <c r="AR231" s="152" t="s">
        <v>629</v>
      </c>
      <c r="AS231" s="152" t="s">
        <v>628</v>
      </c>
      <c r="AT231" s="152" t="s">
        <v>702</v>
      </c>
      <c r="AU231" s="152">
        <v>2018</v>
      </c>
      <c r="AV231" s="339">
        <v>6995</v>
      </c>
      <c r="AW231" s="339">
        <v>1800531</v>
      </c>
      <c r="AX231" s="152">
        <v>8</v>
      </c>
      <c r="AY231" s="152">
        <v>0</v>
      </c>
      <c r="AZ231" s="152">
        <v>75</v>
      </c>
      <c r="BA231" s="152">
        <v>0.21943752699999999</v>
      </c>
      <c r="BB231" s="152">
        <v>324</v>
      </c>
      <c r="BC231" s="152">
        <v>90</v>
      </c>
      <c r="BD231" s="152">
        <v>7.8179997999999999</v>
      </c>
    </row>
    <row r="232" spans="1:56" x14ac:dyDescent="0.25">
      <c r="A232" s="152" t="s">
        <v>1056</v>
      </c>
      <c r="B232" s="152">
        <v>43.638682000000003</v>
      </c>
      <c r="C232" s="152">
        <v>-97.081166999999994</v>
      </c>
      <c r="D232" s="152">
        <v>34</v>
      </c>
      <c r="E232" s="152" t="s">
        <v>652</v>
      </c>
      <c r="F232" s="152">
        <v>2020</v>
      </c>
      <c r="G232" s="340">
        <v>44120.194444444445</v>
      </c>
      <c r="H232" s="152" t="s">
        <v>637</v>
      </c>
      <c r="I232" s="152" t="s">
        <v>669</v>
      </c>
      <c r="J232" s="152" t="s">
        <v>694</v>
      </c>
      <c r="K232" s="152" t="s">
        <v>743</v>
      </c>
      <c r="L232" s="152" t="s">
        <v>1055</v>
      </c>
      <c r="M232" s="152" t="s">
        <v>648</v>
      </c>
      <c r="N232" s="152" t="s">
        <v>637</v>
      </c>
      <c r="O232" s="152" t="s">
        <v>647</v>
      </c>
      <c r="P232" s="152" t="s">
        <v>796</v>
      </c>
      <c r="Q232" s="152" t="s">
        <v>637</v>
      </c>
      <c r="R232" s="152" t="s">
        <v>825</v>
      </c>
      <c r="S232" s="152" t="s">
        <v>633</v>
      </c>
      <c r="T232" s="152" t="s">
        <v>708</v>
      </c>
      <c r="U232" s="152" t="s">
        <v>644</v>
      </c>
      <c r="V232" s="152" t="s">
        <v>96</v>
      </c>
      <c r="W232" s="152" t="s">
        <v>643</v>
      </c>
      <c r="Y232" s="152" t="s">
        <v>637</v>
      </c>
      <c r="Z232" s="152" t="s">
        <v>642</v>
      </c>
      <c r="AA232" s="152" t="s">
        <v>1120</v>
      </c>
      <c r="AB232" s="152" t="s">
        <v>640</v>
      </c>
      <c r="AC232" s="152" t="s">
        <v>708</v>
      </c>
      <c r="AD232" s="152" t="s">
        <v>700</v>
      </c>
      <c r="AE232" s="152" t="s">
        <v>637</v>
      </c>
      <c r="AF232" s="152" t="s">
        <v>637</v>
      </c>
      <c r="AG232" s="152" t="s">
        <v>637</v>
      </c>
      <c r="AH232" s="152" t="s">
        <v>664</v>
      </c>
      <c r="AI232" s="152" t="s">
        <v>628</v>
      </c>
      <c r="AJ232" s="152" t="s">
        <v>635</v>
      </c>
      <c r="AK232" s="152" t="s">
        <v>634</v>
      </c>
      <c r="AL232" s="152" t="s">
        <v>637</v>
      </c>
      <c r="AM232" s="152" t="s">
        <v>1119</v>
      </c>
      <c r="AO232" s="152" t="s">
        <v>715</v>
      </c>
      <c r="AP232" s="152" t="s">
        <v>628</v>
      </c>
      <c r="AQ232" s="152" t="s">
        <v>862</v>
      </c>
      <c r="AR232" s="152" t="s">
        <v>629</v>
      </c>
      <c r="AS232" s="152" t="s">
        <v>628</v>
      </c>
      <c r="AT232" s="152" t="s">
        <v>702</v>
      </c>
      <c r="AU232" s="152">
        <v>2020</v>
      </c>
      <c r="AV232" s="339">
        <v>6995</v>
      </c>
      <c r="AW232" s="339">
        <v>2012546</v>
      </c>
      <c r="AX232" s="152">
        <v>16</v>
      </c>
      <c r="AY232" s="152">
        <v>0</v>
      </c>
      <c r="AZ232" s="152">
        <v>75</v>
      </c>
      <c r="BA232" s="152">
        <v>1.4632071999999999E-2</v>
      </c>
      <c r="BB232" s="152">
        <v>730</v>
      </c>
      <c r="BC232" s="152">
        <v>90</v>
      </c>
      <c r="BD232" s="152">
        <v>7.8179997999999999</v>
      </c>
    </row>
    <row r="233" spans="1:56" x14ac:dyDescent="0.25">
      <c r="A233" s="152" t="s">
        <v>1056</v>
      </c>
      <c r="B233" s="152">
        <v>43.640118000000001</v>
      </c>
      <c r="C233" s="152">
        <v>-97.083657000000002</v>
      </c>
      <c r="D233" s="152">
        <v>34</v>
      </c>
      <c r="E233" s="152" t="s">
        <v>697</v>
      </c>
      <c r="F233" s="152">
        <v>2018</v>
      </c>
      <c r="G233" s="340">
        <v>43246.925000000003</v>
      </c>
      <c r="H233" s="152" t="s">
        <v>637</v>
      </c>
      <c r="I233" s="152" t="s">
        <v>696</v>
      </c>
      <c r="J233" s="152" t="s">
        <v>697</v>
      </c>
      <c r="L233" s="152" t="s">
        <v>1055</v>
      </c>
      <c r="M233" s="152" t="s">
        <v>693</v>
      </c>
      <c r="N233" s="152" t="s">
        <v>637</v>
      </c>
      <c r="O233" s="152" t="s">
        <v>647</v>
      </c>
      <c r="P233" s="152" t="s">
        <v>696</v>
      </c>
      <c r="Q233" s="152" t="s">
        <v>637</v>
      </c>
      <c r="R233" s="152" t="s">
        <v>701</v>
      </c>
      <c r="S233" s="152" t="s">
        <v>637</v>
      </c>
      <c r="T233" s="152" t="s">
        <v>701</v>
      </c>
      <c r="U233" s="152" t="s">
        <v>644</v>
      </c>
      <c r="V233" s="152" t="s">
        <v>96</v>
      </c>
      <c r="W233" s="152" t="s">
        <v>643</v>
      </c>
      <c r="Y233" s="152" t="s">
        <v>637</v>
      </c>
      <c r="Z233" s="152" t="s">
        <v>642</v>
      </c>
      <c r="AA233" s="152" t="s">
        <v>665</v>
      </c>
      <c r="AB233" s="152" t="s">
        <v>640</v>
      </c>
      <c r="AC233" s="152" t="s">
        <v>701</v>
      </c>
      <c r="AD233" s="152" t="s">
        <v>752</v>
      </c>
      <c r="AE233" s="152" t="s">
        <v>637</v>
      </c>
      <c r="AF233" s="152" t="s">
        <v>637</v>
      </c>
      <c r="AG233" s="152" t="s">
        <v>637</v>
      </c>
      <c r="AH233" s="152" t="s">
        <v>664</v>
      </c>
      <c r="AI233" s="152" t="s">
        <v>699</v>
      </c>
      <c r="AJ233" s="152" t="s">
        <v>696</v>
      </c>
      <c r="AL233" s="152" t="s">
        <v>637</v>
      </c>
      <c r="AM233" s="152" t="s">
        <v>1118</v>
      </c>
      <c r="AO233" s="152" t="s">
        <v>715</v>
      </c>
      <c r="AP233" s="152" t="s">
        <v>697</v>
      </c>
      <c r="AQ233" s="152" t="s">
        <v>630</v>
      </c>
      <c r="AS233" s="152" t="s">
        <v>696</v>
      </c>
      <c r="AT233" s="152" t="s">
        <v>702</v>
      </c>
      <c r="AU233" s="152">
        <v>2018</v>
      </c>
      <c r="AV233" s="339">
        <v>6995</v>
      </c>
      <c r="AW233" s="339">
        <v>1807738</v>
      </c>
      <c r="AX233" s="152">
        <v>26</v>
      </c>
      <c r="AY233" s="152">
        <v>-1</v>
      </c>
      <c r="AZ233" s="152">
        <v>75</v>
      </c>
      <c r="BA233" s="152">
        <v>0.29314802099999998</v>
      </c>
      <c r="BB233" s="152">
        <v>418</v>
      </c>
      <c r="BC233" s="152">
        <v>90</v>
      </c>
      <c r="BD233" s="152">
        <v>7.8179997999999999</v>
      </c>
    </row>
    <row r="234" spans="1:56" x14ac:dyDescent="0.25">
      <c r="A234" s="152" t="s">
        <v>1056</v>
      </c>
      <c r="B234" s="152">
        <v>43.643026999999996</v>
      </c>
      <c r="C234" s="152">
        <v>-97.088448999999997</v>
      </c>
      <c r="D234" s="152">
        <v>34</v>
      </c>
      <c r="E234" s="152" t="s">
        <v>947</v>
      </c>
      <c r="F234" s="152">
        <v>2018</v>
      </c>
      <c r="G234" s="340">
        <v>43421.385416666664</v>
      </c>
      <c r="H234" s="152" t="s">
        <v>637</v>
      </c>
      <c r="I234" s="152" t="s">
        <v>669</v>
      </c>
      <c r="J234" s="152" t="s">
        <v>1117</v>
      </c>
      <c r="L234" s="152" t="s">
        <v>1055</v>
      </c>
      <c r="M234" s="152" t="s">
        <v>693</v>
      </c>
      <c r="N234" s="152" t="s">
        <v>637</v>
      </c>
      <c r="O234" s="152" t="s">
        <v>647</v>
      </c>
      <c r="P234" s="152" t="s">
        <v>1059</v>
      </c>
      <c r="Q234" s="152" t="s">
        <v>637</v>
      </c>
      <c r="R234" s="152" t="s">
        <v>1116</v>
      </c>
      <c r="S234" s="152" t="s">
        <v>637</v>
      </c>
      <c r="T234" s="152" t="s">
        <v>991</v>
      </c>
      <c r="U234" s="152" t="s">
        <v>644</v>
      </c>
      <c r="V234" s="152" t="s">
        <v>96</v>
      </c>
      <c r="W234" s="152" t="s">
        <v>643</v>
      </c>
      <c r="Y234" s="152" t="s">
        <v>637</v>
      </c>
      <c r="Z234" s="152" t="s">
        <v>783</v>
      </c>
      <c r="AA234" s="152" t="s">
        <v>641</v>
      </c>
      <c r="AB234" s="152" t="s">
        <v>640</v>
      </c>
      <c r="AC234" s="152" t="s">
        <v>708</v>
      </c>
      <c r="AD234" s="152" t="s">
        <v>673</v>
      </c>
      <c r="AE234" s="152" t="s">
        <v>637</v>
      </c>
      <c r="AF234" s="152" t="s">
        <v>633</v>
      </c>
      <c r="AG234" s="152" t="s">
        <v>637</v>
      </c>
      <c r="AH234" s="152" t="s">
        <v>636</v>
      </c>
      <c r="AI234" s="152" t="s">
        <v>628</v>
      </c>
      <c r="AJ234" s="152" t="s">
        <v>635</v>
      </c>
      <c r="AK234" s="152" t="s">
        <v>824</v>
      </c>
      <c r="AL234" s="152" t="s">
        <v>633</v>
      </c>
      <c r="AM234" s="152" t="s">
        <v>1115</v>
      </c>
      <c r="AO234" s="152" t="s">
        <v>715</v>
      </c>
      <c r="AP234" s="152" t="s">
        <v>628</v>
      </c>
      <c r="AQ234" s="152" t="s">
        <v>671</v>
      </c>
      <c r="AR234" s="152" t="s">
        <v>629</v>
      </c>
      <c r="AS234" s="152" t="s">
        <v>628</v>
      </c>
      <c r="AT234" s="152" t="s">
        <v>702</v>
      </c>
      <c r="AU234" s="152">
        <v>2018</v>
      </c>
      <c r="AV234" s="339">
        <v>6995</v>
      </c>
      <c r="AW234" s="339">
        <v>1815550</v>
      </c>
      <c r="AX234" s="152">
        <v>17</v>
      </c>
      <c r="AY234" s="152">
        <v>0</v>
      </c>
      <c r="AZ234" s="152">
        <v>75</v>
      </c>
      <c r="BA234" s="152">
        <v>1.6013944879999999</v>
      </c>
      <c r="BB234" s="152">
        <v>480</v>
      </c>
      <c r="BC234" s="152">
        <v>90</v>
      </c>
      <c r="BD234" s="152">
        <v>7.8179997999999999</v>
      </c>
    </row>
    <row r="235" spans="1:56" x14ac:dyDescent="0.25">
      <c r="A235" s="152" t="s">
        <v>1056</v>
      </c>
      <c r="B235" s="152">
        <v>43.643135999999998</v>
      </c>
      <c r="C235" s="152">
        <v>-97.088622000000001</v>
      </c>
      <c r="D235" s="152">
        <v>34</v>
      </c>
      <c r="E235" s="152" t="s">
        <v>652</v>
      </c>
      <c r="F235" s="152">
        <v>2018</v>
      </c>
      <c r="G235" s="340">
        <v>43203.690972222219</v>
      </c>
      <c r="H235" s="152" t="s">
        <v>637</v>
      </c>
      <c r="I235" s="152" t="s">
        <v>669</v>
      </c>
      <c r="J235" s="152" t="s">
        <v>650</v>
      </c>
      <c r="L235" s="152" t="s">
        <v>1055</v>
      </c>
      <c r="M235" s="152" t="s">
        <v>648</v>
      </c>
      <c r="N235" s="152" t="s">
        <v>637</v>
      </c>
      <c r="O235" s="152" t="s">
        <v>647</v>
      </c>
      <c r="P235" s="152" t="s">
        <v>628</v>
      </c>
      <c r="Q235" s="152" t="s">
        <v>637</v>
      </c>
      <c r="R235" s="152" t="s">
        <v>1114</v>
      </c>
      <c r="S235" s="152" t="s">
        <v>637</v>
      </c>
      <c r="T235" s="152" t="s">
        <v>708</v>
      </c>
      <c r="U235" s="152" t="s">
        <v>644</v>
      </c>
      <c r="V235" s="152" t="s">
        <v>96</v>
      </c>
      <c r="W235" s="152" t="s">
        <v>643</v>
      </c>
      <c r="Y235" s="152" t="s">
        <v>637</v>
      </c>
      <c r="Z235" s="152" t="s">
        <v>783</v>
      </c>
      <c r="AA235" s="152" t="s">
        <v>641</v>
      </c>
      <c r="AB235" s="152" t="s">
        <v>640</v>
      </c>
      <c r="AC235" s="152" t="s">
        <v>708</v>
      </c>
      <c r="AD235" s="152" t="s">
        <v>787</v>
      </c>
      <c r="AE235" s="152" t="s">
        <v>637</v>
      </c>
      <c r="AF235" s="152" t="s">
        <v>637</v>
      </c>
      <c r="AG235" s="152" t="s">
        <v>637</v>
      </c>
      <c r="AH235" s="152" t="s">
        <v>762</v>
      </c>
      <c r="AI235" s="152" t="s">
        <v>628</v>
      </c>
      <c r="AJ235" s="152" t="s">
        <v>635</v>
      </c>
      <c r="AK235" s="152" t="s">
        <v>634</v>
      </c>
      <c r="AL235" s="152" t="s">
        <v>637</v>
      </c>
      <c r="AM235" s="152" t="s">
        <v>1113</v>
      </c>
      <c r="AO235" s="152" t="s">
        <v>715</v>
      </c>
      <c r="AP235" s="152" t="s">
        <v>628</v>
      </c>
      <c r="AQ235" s="152" t="s">
        <v>662</v>
      </c>
      <c r="AR235" s="152" t="s">
        <v>629</v>
      </c>
      <c r="AS235" s="152" t="s">
        <v>628</v>
      </c>
      <c r="AT235" s="152" t="s">
        <v>1112</v>
      </c>
      <c r="AU235" s="152">
        <v>2018</v>
      </c>
      <c r="AV235" s="339">
        <v>6995</v>
      </c>
      <c r="AW235" s="339">
        <v>1804764</v>
      </c>
      <c r="AX235" s="152">
        <v>13</v>
      </c>
      <c r="AY235" s="152">
        <v>0</v>
      </c>
      <c r="AZ235" s="152">
        <v>75</v>
      </c>
      <c r="BA235" s="152">
        <v>0.442364443</v>
      </c>
      <c r="BB235" s="152">
        <v>371</v>
      </c>
      <c r="BC235" s="152">
        <v>90</v>
      </c>
      <c r="BD235" s="152">
        <v>7.8179997999999999</v>
      </c>
    </row>
    <row r="236" spans="1:56" x14ac:dyDescent="0.25">
      <c r="A236" s="152" t="s">
        <v>1056</v>
      </c>
      <c r="B236" s="152">
        <v>43.643234</v>
      </c>
      <c r="C236" s="152">
        <v>-97.088766000000007</v>
      </c>
      <c r="D236" s="152">
        <v>34</v>
      </c>
      <c r="E236" s="152" t="s">
        <v>821</v>
      </c>
      <c r="F236" s="152">
        <v>2017</v>
      </c>
      <c r="G236" s="340">
        <v>43045.569444444445</v>
      </c>
      <c r="H236" s="152" t="s">
        <v>637</v>
      </c>
      <c r="I236" s="152" t="s">
        <v>669</v>
      </c>
      <c r="J236" s="152" t="s">
        <v>879</v>
      </c>
      <c r="L236" s="152" t="s">
        <v>1055</v>
      </c>
      <c r="M236" s="152" t="s">
        <v>685</v>
      </c>
      <c r="N236" s="152" t="s">
        <v>637</v>
      </c>
      <c r="O236" s="152" t="s">
        <v>647</v>
      </c>
      <c r="P236" s="152" t="s">
        <v>646</v>
      </c>
      <c r="Q236" s="152" t="s">
        <v>637</v>
      </c>
      <c r="R236" s="152" t="s">
        <v>1111</v>
      </c>
      <c r="S236" s="152" t="s">
        <v>637</v>
      </c>
      <c r="T236" s="152" t="s">
        <v>723</v>
      </c>
      <c r="U236" s="152" t="s">
        <v>644</v>
      </c>
      <c r="V236" s="152" t="s">
        <v>96</v>
      </c>
      <c r="W236" s="152" t="s">
        <v>643</v>
      </c>
      <c r="Y236" s="152" t="s">
        <v>637</v>
      </c>
      <c r="Z236" s="152" t="s">
        <v>783</v>
      </c>
      <c r="AA236" s="152" t="s">
        <v>641</v>
      </c>
      <c r="AB236" s="152" t="s">
        <v>640</v>
      </c>
      <c r="AC236" s="152" t="s">
        <v>708</v>
      </c>
      <c r="AD236" s="152" t="s">
        <v>673</v>
      </c>
      <c r="AE236" s="152" t="s">
        <v>637</v>
      </c>
      <c r="AF236" s="152" t="s">
        <v>637</v>
      </c>
      <c r="AG236" s="152" t="s">
        <v>637</v>
      </c>
      <c r="AH236" s="152" t="s">
        <v>636</v>
      </c>
      <c r="AI236" s="152" t="s">
        <v>655</v>
      </c>
      <c r="AJ236" s="152" t="s">
        <v>680</v>
      </c>
      <c r="AK236" s="152" t="s">
        <v>1110</v>
      </c>
      <c r="AL236" s="152" t="s">
        <v>633</v>
      </c>
      <c r="AM236" s="152" t="s">
        <v>1109</v>
      </c>
      <c r="AO236" s="152" t="s">
        <v>715</v>
      </c>
      <c r="AP236" s="152" t="s">
        <v>628</v>
      </c>
      <c r="AQ236" s="152" t="s">
        <v>806</v>
      </c>
      <c r="AR236" s="152" t="s">
        <v>629</v>
      </c>
      <c r="AS236" s="152" t="s">
        <v>628</v>
      </c>
      <c r="AT236" s="152" t="s">
        <v>677</v>
      </c>
      <c r="AU236" s="152">
        <v>2017</v>
      </c>
      <c r="AV236" s="339">
        <v>6995</v>
      </c>
      <c r="AW236" s="339">
        <v>1715943</v>
      </c>
      <c r="AX236" s="152">
        <v>6</v>
      </c>
      <c r="AY236" s="152">
        <v>0</v>
      </c>
      <c r="AZ236" s="152">
        <v>75</v>
      </c>
      <c r="BA236" s="152">
        <v>7.3244904E-2</v>
      </c>
      <c r="BB236" s="152">
        <v>303</v>
      </c>
      <c r="BC236" s="152">
        <v>90</v>
      </c>
      <c r="BD236" s="152">
        <v>7.8179997999999999</v>
      </c>
    </row>
    <row r="237" spans="1:56" x14ac:dyDescent="0.25">
      <c r="A237" s="152" t="s">
        <v>1056</v>
      </c>
      <c r="B237" s="152">
        <v>43.643768999999999</v>
      </c>
      <c r="C237" s="152">
        <v>-97.089550000000003</v>
      </c>
      <c r="D237" s="152">
        <v>34</v>
      </c>
      <c r="E237" s="152" t="s">
        <v>652</v>
      </c>
      <c r="F237" s="152">
        <v>2017</v>
      </c>
      <c r="G237" s="340">
        <v>43090.581250000003</v>
      </c>
      <c r="H237" s="152" t="s">
        <v>637</v>
      </c>
      <c r="I237" s="152" t="s">
        <v>669</v>
      </c>
      <c r="J237" s="152" t="s">
        <v>650</v>
      </c>
      <c r="L237" s="152" t="s">
        <v>1055</v>
      </c>
      <c r="M237" s="152" t="s">
        <v>668</v>
      </c>
      <c r="N237" s="152" t="s">
        <v>637</v>
      </c>
      <c r="O237" s="152" t="s">
        <v>647</v>
      </c>
      <c r="P237" s="152" t="s">
        <v>765</v>
      </c>
      <c r="Q237" s="152" t="s">
        <v>637</v>
      </c>
      <c r="R237" s="152" t="s">
        <v>1108</v>
      </c>
      <c r="S237" s="152" t="s">
        <v>637</v>
      </c>
      <c r="T237" s="152" t="s">
        <v>723</v>
      </c>
      <c r="U237" s="152" t="s">
        <v>644</v>
      </c>
      <c r="V237" s="152" t="s">
        <v>96</v>
      </c>
      <c r="W237" s="152" t="s">
        <v>643</v>
      </c>
      <c r="Y237" s="152" t="s">
        <v>637</v>
      </c>
      <c r="Z237" s="152" t="s">
        <v>783</v>
      </c>
      <c r="AA237" s="152" t="s">
        <v>641</v>
      </c>
      <c r="AB237" s="152" t="s">
        <v>640</v>
      </c>
      <c r="AC237" s="152" t="s">
        <v>687</v>
      </c>
      <c r="AD237" s="152" t="s">
        <v>681</v>
      </c>
      <c r="AE237" s="152" t="s">
        <v>637</v>
      </c>
      <c r="AF237" s="152" t="s">
        <v>637</v>
      </c>
      <c r="AG237" s="152" t="s">
        <v>637</v>
      </c>
      <c r="AH237" s="152" t="s">
        <v>677</v>
      </c>
      <c r="AI237" s="152" t="s">
        <v>655</v>
      </c>
      <c r="AJ237" s="152" t="s">
        <v>635</v>
      </c>
      <c r="AK237" s="152" t="s">
        <v>634</v>
      </c>
      <c r="AL237" s="152" t="s">
        <v>637</v>
      </c>
      <c r="AM237" s="152" t="s">
        <v>1107</v>
      </c>
      <c r="AO237" s="152" t="s">
        <v>715</v>
      </c>
      <c r="AP237" s="152" t="s">
        <v>628</v>
      </c>
      <c r="AQ237" s="152" t="s">
        <v>662</v>
      </c>
      <c r="AR237" s="152" t="s">
        <v>629</v>
      </c>
      <c r="AS237" s="152" t="s">
        <v>628</v>
      </c>
      <c r="AT237" s="152" t="s">
        <v>677</v>
      </c>
      <c r="AU237" s="152">
        <v>2017</v>
      </c>
      <c r="AV237" s="339">
        <v>6995</v>
      </c>
      <c r="AW237" s="339">
        <v>1717986</v>
      </c>
      <c r="AX237" s="152">
        <v>21</v>
      </c>
      <c r="AY237" s="152">
        <v>0</v>
      </c>
      <c r="AZ237" s="152">
        <v>75</v>
      </c>
      <c r="BA237" s="152">
        <v>1.5013322929999999</v>
      </c>
      <c r="BB237" s="152">
        <v>317</v>
      </c>
      <c r="BC237" s="152">
        <v>90</v>
      </c>
      <c r="BD237" s="152">
        <v>7.8179997999999999</v>
      </c>
    </row>
    <row r="238" spans="1:56" x14ac:dyDescent="0.25">
      <c r="A238" s="152" t="s">
        <v>1056</v>
      </c>
      <c r="B238" s="152">
        <v>43.605445000000003</v>
      </c>
      <c r="C238" s="152">
        <v>-96.910370999999998</v>
      </c>
      <c r="D238" s="152">
        <v>40</v>
      </c>
      <c r="E238" s="152" t="s">
        <v>821</v>
      </c>
      <c r="F238" s="152">
        <v>2016</v>
      </c>
      <c r="G238" s="340">
        <v>42642.104166666664</v>
      </c>
      <c r="H238" s="152" t="s">
        <v>637</v>
      </c>
      <c r="I238" s="152" t="s">
        <v>669</v>
      </c>
      <c r="J238" s="152" t="s">
        <v>650</v>
      </c>
      <c r="K238" s="152" t="s">
        <v>1106</v>
      </c>
      <c r="L238" s="152" t="s">
        <v>1055</v>
      </c>
      <c r="M238" s="152" t="s">
        <v>668</v>
      </c>
      <c r="N238" s="152" t="s">
        <v>637</v>
      </c>
      <c r="P238" s="152" t="s">
        <v>684</v>
      </c>
      <c r="Q238" s="152" t="s">
        <v>637</v>
      </c>
      <c r="R238" s="152" t="s">
        <v>1105</v>
      </c>
      <c r="S238" s="152" t="s">
        <v>637</v>
      </c>
      <c r="T238" s="152" t="s">
        <v>1102</v>
      </c>
      <c r="U238" s="152" t="s">
        <v>1104</v>
      </c>
      <c r="V238" s="152" t="s">
        <v>96</v>
      </c>
      <c r="W238" s="152" t="s">
        <v>1103</v>
      </c>
      <c r="Y238" s="152" t="s">
        <v>637</v>
      </c>
      <c r="Z238" s="152" t="s">
        <v>642</v>
      </c>
      <c r="AA238" s="152" t="s">
        <v>665</v>
      </c>
      <c r="AB238" s="152" t="s">
        <v>640</v>
      </c>
      <c r="AC238" s="152" t="s">
        <v>1102</v>
      </c>
      <c r="AD238" s="152" t="s">
        <v>706</v>
      </c>
      <c r="AE238" s="152" t="s">
        <v>637</v>
      </c>
      <c r="AF238" s="152" t="s">
        <v>637</v>
      </c>
      <c r="AG238" s="152" t="s">
        <v>637</v>
      </c>
      <c r="AH238" s="152" t="s">
        <v>664</v>
      </c>
      <c r="AI238" s="152" t="s">
        <v>628</v>
      </c>
      <c r="AJ238" s="152" t="s">
        <v>1101</v>
      </c>
      <c r="AK238" s="152" t="s">
        <v>634</v>
      </c>
      <c r="AL238" s="152" t="s">
        <v>637</v>
      </c>
      <c r="AM238" s="152" t="s">
        <v>1100</v>
      </c>
      <c r="AO238" s="152" t="s">
        <v>1099</v>
      </c>
      <c r="AP238" s="152" t="s">
        <v>628</v>
      </c>
      <c r="AQ238" s="152" t="s">
        <v>630</v>
      </c>
      <c r="AR238" s="152" t="s">
        <v>629</v>
      </c>
      <c r="AS238" s="152" t="s">
        <v>628</v>
      </c>
      <c r="AT238" s="152" t="s">
        <v>702</v>
      </c>
      <c r="AU238" s="152">
        <v>2016</v>
      </c>
      <c r="AV238" s="339">
        <v>7215</v>
      </c>
      <c r="AW238" s="339">
        <v>1615203</v>
      </c>
      <c r="AX238" s="152">
        <v>29</v>
      </c>
      <c r="AY238" s="152">
        <v>0</v>
      </c>
      <c r="AZ238" s="152">
        <v>0</v>
      </c>
      <c r="BA238" s="341">
        <v>1271.242728936</v>
      </c>
      <c r="BB238" s="152">
        <v>136</v>
      </c>
      <c r="BD238" s="152">
        <v>2.7920001000000001</v>
      </c>
    </row>
    <row r="239" spans="1:56" x14ac:dyDescent="0.25">
      <c r="A239" s="152" t="s">
        <v>1056</v>
      </c>
      <c r="B239" s="152">
        <v>43.608885999999998</v>
      </c>
      <c r="C239" s="152">
        <v>-96.945886000000002</v>
      </c>
      <c r="D239" s="152">
        <v>40</v>
      </c>
      <c r="E239" s="152" t="s">
        <v>697</v>
      </c>
      <c r="F239" s="152">
        <v>2016</v>
      </c>
      <c r="G239" s="340">
        <v>42674.246527777781</v>
      </c>
      <c r="H239" s="152" t="s">
        <v>637</v>
      </c>
      <c r="I239" s="152" t="s">
        <v>696</v>
      </c>
      <c r="J239" s="152" t="s">
        <v>697</v>
      </c>
      <c r="L239" s="152" t="s">
        <v>1055</v>
      </c>
      <c r="M239" s="152" t="s">
        <v>685</v>
      </c>
      <c r="N239" s="152" t="s">
        <v>637</v>
      </c>
      <c r="O239" s="152" t="s">
        <v>647</v>
      </c>
      <c r="P239" s="152" t="s">
        <v>696</v>
      </c>
      <c r="Q239" s="152" t="s">
        <v>637</v>
      </c>
      <c r="R239" s="152" t="s">
        <v>701</v>
      </c>
      <c r="S239" s="152" t="s">
        <v>637</v>
      </c>
      <c r="T239" s="152" t="s">
        <v>701</v>
      </c>
      <c r="U239" s="152" t="s">
        <v>644</v>
      </c>
      <c r="V239" s="152" t="s">
        <v>96</v>
      </c>
      <c r="W239" s="152" t="s">
        <v>643</v>
      </c>
      <c r="Y239" s="152" t="s">
        <v>637</v>
      </c>
      <c r="Z239" s="152" t="s">
        <v>642</v>
      </c>
      <c r="AA239" s="152" t="s">
        <v>665</v>
      </c>
      <c r="AB239" s="152" t="s">
        <v>640</v>
      </c>
      <c r="AC239" s="152" t="s">
        <v>701</v>
      </c>
      <c r="AD239" s="152" t="s">
        <v>700</v>
      </c>
      <c r="AE239" s="152" t="s">
        <v>637</v>
      </c>
      <c r="AF239" s="152" t="s">
        <v>637</v>
      </c>
      <c r="AG239" s="152" t="s">
        <v>637</v>
      </c>
      <c r="AH239" s="152" t="s">
        <v>664</v>
      </c>
      <c r="AI239" s="152" t="s">
        <v>699</v>
      </c>
      <c r="AJ239" s="152" t="s">
        <v>696</v>
      </c>
      <c r="AL239" s="152" t="s">
        <v>637</v>
      </c>
      <c r="AM239" s="152" t="s">
        <v>963</v>
      </c>
      <c r="AO239" s="152" t="s">
        <v>715</v>
      </c>
      <c r="AP239" s="152" t="s">
        <v>697</v>
      </c>
      <c r="AQ239" s="152" t="s">
        <v>630</v>
      </c>
      <c r="AS239" s="152" t="s">
        <v>696</v>
      </c>
      <c r="AT239" s="152" t="s">
        <v>702</v>
      </c>
      <c r="AU239" s="152">
        <v>2016</v>
      </c>
      <c r="AV239" s="339">
        <v>7215</v>
      </c>
      <c r="AW239" s="339">
        <v>1613811</v>
      </c>
      <c r="AX239" s="152">
        <v>31</v>
      </c>
      <c r="AY239" s="152">
        <v>-1</v>
      </c>
      <c r="AZ239" s="152">
        <v>75</v>
      </c>
      <c r="BA239" s="152">
        <v>0.97859929400000001</v>
      </c>
      <c r="BB239" s="152">
        <v>122</v>
      </c>
      <c r="BC239" s="152">
        <v>90</v>
      </c>
      <c r="BD239" s="152">
        <v>2.7920001000000001</v>
      </c>
    </row>
    <row r="240" spans="1:56" x14ac:dyDescent="0.25">
      <c r="A240" s="152" t="s">
        <v>1056</v>
      </c>
      <c r="B240" s="152">
        <v>43.608894999999997</v>
      </c>
      <c r="C240" s="152">
        <v>-96.939464000000001</v>
      </c>
      <c r="D240" s="152">
        <v>40</v>
      </c>
      <c r="E240" s="152" t="s">
        <v>652</v>
      </c>
      <c r="F240" s="152">
        <v>2016</v>
      </c>
      <c r="G240" s="340">
        <v>42692.495138888888</v>
      </c>
      <c r="H240" s="152" t="s">
        <v>637</v>
      </c>
      <c r="I240" s="152" t="s">
        <v>669</v>
      </c>
      <c r="J240" s="152" t="s">
        <v>1098</v>
      </c>
      <c r="L240" s="152" t="s">
        <v>1055</v>
      </c>
      <c r="M240" s="152" t="s">
        <v>648</v>
      </c>
      <c r="N240" s="152" t="s">
        <v>637</v>
      </c>
      <c r="O240" s="152" t="s">
        <v>647</v>
      </c>
      <c r="P240" s="152" t="s">
        <v>990</v>
      </c>
      <c r="Q240" s="152" t="s">
        <v>637</v>
      </c>
      <c r="R240" s="152" t="s">
        <v>1097</v>
      </c>
      <c r="S240" s="152" t="s">
        <v>637</v>
      </c>
      <c r="T240" s="152" t="s">
        <v>656</v>
      </c>
      <c r="U240" s="152" t="s">
        <v>644</v>
      </c>
      <c r="V240" s="152" t="s">
        <v>96</v>
      </c>
      <c r="W240" s="152" t="s">
        <v>643</v>
      </c>
      <c r="Y240" s="152" t="s">
        <v>637</v>
      </c>
      <c r="Z240" s="152" t="s">
        <v>642</v>
      </c>
      <c r="AA240" s="152" t="s">
        <v>641</v>
      </c>
      <c r="AB240" s="152" t="s">
        <v>740</v>
      </c>
      <c r="AC240" s="152" t="s">
        <v>656</v>
      </c>
      <c r="AD240" s="152" t="s">
        <v>673</v>
      </c>
      <c r="AE240" s="152" t="s">
        <v>637</v>
      </c>
      <c r="AF240" s="152" t="s">
        <v>637</v>
      </c>
      <c r="AG240" s="152" t="s">
        <v>637</v>
      </c>
      <c r="AH240" s="152" t="s">
        <v>636</v>
      </c>
      <c r="AI240" s="152" t="s">
        <v>628</v>
      </c>
      <c r="AJ240" s="152" t="s">
        <v>635</v>
      </c>
      <c r="AK240" s="152" t="s">
        <v>634</v>
      </c>
      <c r="AL240" s="152" t="s">
        <v>637</v>
      </c>
      <c r="AM240" s="152" t="s">
        <v>1096</v>
      </c>
      <c r="AO240" s="152" t="s">
        <v>715</v>
      </c>
      <c r="AP240" s="152" t="s">
        <v>628</v>
      </c>
      <c r="AQ240" s="152" t="s">
        <v>755</v>
      </c>
      <c r="AR240" s="152" t="s">
        <v>1095</v>
      </c>
      <c r="AS240" s="152" t="s">
        <v>678</v>
      </c>
      <c r="AT240" s="152" t="s">
        <v>627</v>
      </c>
      <c r="AU240" s="152">
        <v>2016</v>
      </c>
      <c r="AV240" s="339">
        <v>7215</v>
      </c>
      <c r="AW240" s="339">
        <v>1615964</v>
      </c>
      <c r="AX240" s="152">
        <v>18</v>
      </c>
      <c r="AY240" s="152">
        <v>0</v>
      </c>
      <c r="AZ240" s="152">
        <v>75</v>
      </c>
      <c r="BA240" s="152">
        <v>0.29898097499999998</v>
      </c>
      <c r="BB240" s="152">
        <v>157</v>
      </c>
      <c r="BC240" s="152">
        <v>90</v>
      </c>
      <c r="BD240" s="152">
        <v>2.7920001000000001</v>
      </c>
    </row>
    <row r="241" spans="1:56" x14ac:dyDescent="0.25">
      <c r="A241" s="152" t="s">
        <v>1056</v>
      </c>
      <c r="B241" s="152">
        <v>43.608896999999999</v>
      </c>
      <c r="C241" s="152">
        <v>-96.938221999999996</v>
      </c>
      <c r="D241" s="152">
        <v>40</v>
      </c>
      <c r="E241" s="152" t="s">
        <v>652</v>
      </c>
      <c r="F241" s="152">
        <v>2019</v>
      </c>
      <c r="G241" s="340">
        <v>43796.305555555555</v>
      </c>
      <c r="H241" s="152" t="s">
        <v>637</v>
      </c>
      <c r="I241" s="152" t="s">
        <v>669</v>
      </c>
      <c r="J241" s="152" t="s">
        <v>1094</v>
      </c>
      <c r="L241" s="152" t="s">
        <v>1055</v>
      </c>
      <c r="M241" s="152" t="s">
        <v>676</v>
      </c>
      <c r="N241" s="152" t="s">
        <v>637</v>
      </c>
      <c r="O241" s="152" t="s">
        <v>647</v>
      </c>
      <c r="P241" s="152" t="s">
        <v>835</v>
      </c>
      <c r="Q241" s="152" t="s">
        <v>637</v>
      </c>
      <c r="R241" s="152" t="s">
        <v>1093</v>
      </c>
      <c r="S241" s="152" t="s">
        <v>637</v>
      </c>
      <c r="T241" s="152" t="s">
        <v>656</v>
      </c>
      <c r="U241" s="152" t="s">
        <v>644</v>
      </c>
      <c r="V241" s="152" t="s">
        <v>96</v>
      </c>
      <c r="W241" s="152" t="s">
        <v>643</v>
      </c>
      <c r="Y241" s="152" t="s">
        <v>637</v>
      </c>
      <c r="Z241" s="152" t="s">
        <v>642</v>
      </c>
      <c r="AA241" s="152" t="s">
        <v>782</v>
      </c>
      <c r="AB241" s="152" t="s">
        <v>657</v>
      </c>
      <c r="AC241" s="152" t="s">
        <v>656</v>
      </c>
      <c r="AD241" s="152" t="s">
        <v>673</v>
      </c>
      <c r="AE241" s="152" t="s">
        <v>637</v>
      </c>
      <c r="AF241" s="152" t="s">
        <v>637</v>
      </c>
      <c r="AG241" s="152" t="s">
        <v>637</v>
      </c>
      <c r="AH241" s="152" t="s">
        <v>636</v>
      </c>
      <c r="AI241" s="152" t="s">
        <v>655</v>
      </c>
      <c r="AJ241" s="152" t="s">
        <v>635</v>
      </c>
      <c r="AK241" s="152" t="s">
        <v>634</v>
      </c>
      <c r="AL241" s="152" t="s">
        <v>633</v>
      </c>
      <c r="AM241" s="152" t="s">
        <v>1092</v>
      </c>
      <c r="AO241" s="152" t="s">
        <v>715</v>
      </c>
      <c r="AP241" s="152" t="s">
        <v>628</v>
      </c>
      <c r="AQ241" s="152" t="s">
        <v>1006</v>
      </c>
      <c r="AR241" s="152" t="s">
        <v>629</v>
      </c>
      <c r="AS241" s="152" t="s">
        <v>628</v>
      </c>
      <c r="AT241" s="152" t="s">
        <v>695</v>
      </c>
      <c r="AU241" s="152">
        <v>2019</v>
      </c>
      <c r="AV241" s="339">
        <v>7215</v>
      </c>
      <c r="AW241" s="339">
        <v>1917968</v>
      </c>
      <c r="AX241" s="152">
        <v>27</v>
      </c>
      <c r="AY241" s="152">
        <v>0</v>
      </c>
      <c r="AZ241" s="152">
        <v>75</v>
      </c>
      <c r="BA241" s="152">
        <v>7.6151363999999999E-2</v>
      </c>
      <c r="BB241" s="152">
        <v>619</v>
      </c>
      <c r="BC241" s="152">
        <v>90</v>
      </c>
      <c r="BD241" s="152">
        <v>2.7920001000000001</v>
      </c>
    </row>
    <row r="242" spans="1:56" x14ac:dyDescent="0.25">
      <c r="A242" s="152" t="s">
        <v>1056</v>
      </c>
      <c r="B242" s="152">
        <v>43.608898000000003</v>
      </c>
      <c r="C242" s="152">
        <v>-96.937275999999997</v>
      </c>
      <c r="D242" s="152">
        <v>40</v>
      </c>
      <c r="E242" s="152" t="s">
        <v>821</v>
      </c>
      <c r="F242" s="152">
        <v>2017</v>
      </c>
      <c r="G242" s="340">
        <v>43098.417361111111</v>
      </c>
      <c r="H242" s="152" t="s">
        <v>637</v>
      </c>
      <c r="I242" s="152" t="s">
        <v>669</v>
      </c>
      <c r="J242" s="152" t="s">
        <v>660</v>
      </c>
      <c r="K242" s="152" t="s">
        <v>743</v>
      </c>
      <c r="L242" s="152" t="s">
        <v>1055</v>
      </c>
      <c r="M242" s="152" t="s">
        <v>648</v>
      </c>
      <c r="N242" s="152" t="s">
        <v>637</v>
      </c>
      <c r="O242" s="152" t="s">
        <v>647</v>
      </c>
      <c r="P242" s="152" t="s">
        <v>646</v>
      </c>
      <c r="Q242" s="152" t="s">
        <v>637</v>
      </c>
      <c r="R242" s="152" t="s">
        <v>1091</v>
      </c>
      <c r="S242" s="152" t="s">
        <v>637</v>
      </c>
      <c r="T242" s="152" t="s">
        <v>1090</v>
      </c>
      <c r="U242" s="152" t="s">
        <v>644</v>
      </c>
      <c r="V242" s="152" t="s">
        <v>96</v>
      </c>
      <c r="W242" s="152" t="s">
        <v>643</v>
      </c>
      <c r="Y242" s="152" t="s">
        <v>637</v>
      </c>
      <c r="Z242" s="152" t="s">
        <v>642</v>
      </c>
      <c r="AA242" s="152" t="s">
        <v>641</v>
      </c>
      <c r="AB242" s="152" t="s">
        <v>640</v>
      </c>
      <c r="AC242" s="152" t="s">
        <v>1089</v>
      </c>
      <c r="AD242" s="152" t="s">
        <v>681</v>
      </c>
      <c r="AE242" s="152" t="s">
        <v>637</v>
      </c>
      <c r="AF242" s="152" t="s">
        <v>637</v>
      </c>
      <c r="AG242" s="152" t="s">
        <v>637</v>
      </c>
      <c r="AH242" s="152" t="s">
        <v>677</v>
      </c>
      <c r="AI242" s="152" t="s">
        <v>655</v>
      </c>
      <c r="AJ242" s="152" t="s">
        <v>635</v>
      </c>
      <c r="AK242" s="152" t="s">
        <v>634</v>
      </c>
      <c r="AL242" s="152" t="s">
        <v>633</v>
      </c>
      <c r="AM242" s="152" t="s">
        <v>1088</v>
      </c>
      <c r="AO242" s="152" t="s">
        <v>715</v>
      </c>
      <c r="AP242" s="152" t="s">
        <v>628</v>
      </c>
      <c r="AQ242" s="152" t="s">
        <v>1087</v>
      </c>
      <c r="AR242" s="152" t="s">
        <v>629</v>
      </c>
      <c r="AS242" s="152" t="s">
        <v>678</v>
      </c>
      <c r="AT242" s="152" t="s">
        <v>627</v>
      </c>
      <c r="AU242" s="152">
        <v>2017</v>
      </c>
      <c r="AV242" s="339">
        <v>7215</v>
      </c>
      <c r="AW242" s="339">
        <v>1718382</v>
      </c>
      <c r="AX242" s="152">
        <v>29</v>
      </c>
      <c r="AY242" s="152">
        <v>0</v>
      </c>
      <c r="AZ242" s="152">
        <v>75</v>
      </c>
      <c r="BA242" s="152">
        <v>9.3680812000000002E-2</v>
      </c>
      <c r="BB242" s="152">
        <v>322</v>
      </c>
      <c r="BC242" s="152">
        <v>90</v>
      </c>
      <c r="BD242" s="152">
        <v>2.7920001000000001</v>
      </c>
    </row>
    <row r="243" spans="1:56" x14ac:dyDescent="0.25">
      <c r="A243" s="152" t="s">
        <v>1056</v>
      </c>
      <c r="B243" s="152">
        <v>43.608899000000001</v>
      </c>
      <c r="C243" s="152">
        <v>-96.933852999999999</v>
      </c>
      <c r="D243" s="152">
        <v>40</v>
      </c>
      <c r="E243" s="152" t="s">
        <v>697</v>
      </c>
      <c r="F243" s="152">
        <v>2018</v>
      </c>
      <c r="G243" s="340">
        <v>43248.859027777777</v>
      </c>
      <c r="H243" s="152" t="s">
        <v>637</v>
      </c>
      <c r="I243" s="152" t="s">
        <v>696</v>
      </c>
      <c r="J243" s="152" t="s">
        <v>697</v>
      </c>
      <c r="L243" s="152" t="s">
        <v>1055</v>
      </c>
      <c r="M243" s="152" t="s">
        <v>685</v>
      </c>
      <c r="N243" s="152" t="s">
        <v>637</v>
      </c>
      <c r="O243" s="152" t="s">
        <v>647</v>
      </c>
      <c r="P243" s="152" t="s">
        <v>696</v>
      </c>
      <c r="Q243" s="152" t="s">
        <v>637</v>
      </c>
      <c r="R243" s="152" t="s">
        <v>701</v>
      </c>
      <c r="S243" s="152" t="s">
        <v>637</v>
      </c>
      <c r="T243" s="152" t="s">
        <v>701</v>
      </c>
      <c r="U243" s="152" t="s">
        <v>644</v>
      </c>
      <c r="V243" s="152" t="s">
        <v>96</v>
      </c>
      <c r="W243" s="152" t="s">
        <v>643</v>
      </c>
      <c r="Y243" s="152" t="s">
        <v>637</v>
      </c>
      <c r="Z243" s="152" t="s">
        <v>642</v>
      </c>
      <c r="AA243" s="152" t="s">
        <v>856</v>
      </c>
      <c r="AB243" s="152" t="s">
        <v>640</v>
      </c>
      <c r="AC243" s="152" t="s">
        <v>701</v>
      </c>
      <c r="AD243" s="152" t="s">
        <v>752</v>
      </c>
      <c r="AE243" s="152" t="s">
        <v>637</v>
      </c>
      <c r="AF243" s="152" t="s">
        <v>637</v>
      </c>
      <c r="AG243" s="152" t="s">
        <v>637</v>
      </c>
      <c r="AH243" s="152" t="s">
        <v>664</v>
      </c>
      <c r="AI243" s="152" t="s">
        <v>699</v>
      </c>
      <c r="AJ243" s="152" t="s">
        <v>696</v>
      </c>
      <c r="AL243" s="152" t="s">
        <v>637</v>
      </c>
      <c r="AM243" s="152" t="s">
        <v>1086</v>
      </c>
      <c r="AO243" s="152" t="s">
        <v>715</v>
      </c>
      <c r="AP243" s="152" t="s">
        <v>697</v>
      </c>
      <c r="AQ243" s="152" t="s">
        <v>630</v>
      </c>
      <c r="AS243" s="152" t="s">
        <v>696</v>
      </c>
      <c r="AT243" s="152" t="s">
        <v>702</v>
      </c>
      <c r="AU243" s="152">
        <v>2018</v>
      </c>
      <c r="AV243" s="339">
        <v>7215</v>
      </c>
      <c r="AW243" s="339">
        <v>1805939</v>
      </c>
      <c r="AX243" s="152">
        <v>28</v>
      </c>
      <c r="AY243" s="152">
        <v>-1</v>
      </c>
      <c r="AZ243" s="152">
        <v>75</v>
      </c>
      <c r="BA243" s="152">
        <v>0.18750070199999999</v>
      </c>
      <c r="BB243" s="152">
        <v>392</v>
      </c>
      <c r="BC243" s="152">
        <v>90</v>
      </c>
      <c r="BD243" s="152">
        <v>2.7920001000000001</v>
      </c>
    </row>
    <row r="244" spans="1:56" x14ac:dyDescent="0.25">
      <c r="A244" s="152" t="s">
        <v>1056</v>
      </c>
      <c r="B244" s="152">
        <v>43.608899999999998</v>
      </c>
      <c r="C244" s="152">
        <v>-96.935586000000001</v>
      </c>
      <c r="D244" s="152">
        <v>40</v>
      </c>
      <c r="E244" s="152" t="s">
        <v>697</v>
      </c>
      <c r="F244" s="152">
        <v>2017</v>
      </c>
      <c r="G244" s="340">
        <v>42846.859027777777</v>
      </c>
      <c r="H244" s="152" t="s">
        <v>637</v>
      </c>
      <c r="I244" s="152" t="s">
        <v>696</v>
      </c>
      <c r="J244" s="152" t="s">
        <v>697</v>
      </c>
      <c r="L244" s="152" t="s">
        <v>1055</v>
      </c>
      <c r="M244" s="152" t="s">
        <v>648</v>
      </c>
      <c r="N244" s="152" t="s">
        <v>637</v>
      </c>
      <c r="O244" s="152" t="s">
        <v>647</v>
      </c>
      <c r="P244" s="152" t="s">
        <v>696</v>
      </c>
      <c r="Q244" s="152" t="s">
        <v>637</v>
      </c>
      <c r="R244" s="152" t="s">
        <v>701</v>
      </c>
      <c r="S244" s="152" t="s">
        <v>637</v>
      </c>
      <c r="T244" s="152" t="s">
        <v>701</v>
      </c>
      <c r="U244" s="152" t="s">
        <v>644</v>
      </c>
      <c r="V244" s="152" t="s">
        <v>96</v>
      </c>
      <c r="W244" s="152" t="s">
        <v>643</v>
      </c>
      <c r="Y244" s="152" t="s">
        <v>637</v>
      </c>
      <c r="Z244" s="152" t="s">
        <v>642</v>
      </c>
      <c r="AA244" s="152" t="s">
        <v>856</v>
      </c>
      <c r="AB244" s="152" t="s">
        <v>640</v>
      </c>
      <c r="AC244" s="152" t="s">
        <v>701</v>
      </c>
      <c r="AD244" s="152" t="s">
        <v>787</v>
      </c>
      <c r="AE244" s="152" t="s">
        <v>637</v>
      </c>
      <c r="AF244" s="152" t="s">
        <v>637</v>
      </c>
      <c r="AG244" s="152" t="s">
        <v>637</v>
      </c>
      <c r="AH244" s="152" t="s">
        <v>664</v>
      </c>
      <c r="AI244" s="152" t="s">
        <v>699</v>
      </c>
      <c r="AJ244" s="152" t="s">
        <v>696</v>
      </c>
      <c r="AL244" s="152" t="s">
        <v>637</v>
      </c>
      <c r="AM244" s="152" t="s">
        <v>1086</v>
      </c>
      <c r="AO244" s="152" t="s">
        <v>715</v>
      </c>
      <c r="AP244" s="152" t="s">
        <v>697</v>
      </c>
      <c r="AQ244" s="152" t="s">
        <v>671</v>
      </c>
      <c r="AS244" s="152" t="s">
        <v>696</v>
      </c>
      <c r="AT244" s="152" t="s">
        <v>702</v>
      </c>
      <c r="AU244" s="152">
        <v>2017</v>
      </c>
      <c r="AV244" s="339">
        <v>7215</v>
      </c>
      <c r="AW244" s="339">
        <v>1704565</v>
      </c>
      <c r="AX244" s="152">
        <v>21</v>
      </c>
      <c r="AY244" s="152">
        <v>-1</v>
      </c>
      <c r="AZ244" s="152">
        <v>75</v>
      </c>
      <c r="BA244" s="152">
        <v>4.0018353999999999E-2</v>
      </c>
      <c r="BB244" s="152">
        <v>209</v>
      </c>
      <c r="BC244" s="152">
        <v>90</v>
      </c>
      <c r="BD244" s="152">
        <v>2.7920001000000001</v>
      </c>
    </row>
    <row r="245" spans="1:56" x14ac:dyDescent="0.25">
      <c r="A245" s="152" t="s">
        <v>1056</v>
      </c>
      <c r="B245" s="152">
        <v>43.608910000000002</v>
      </c>
      <c r="C245" s="152">
        <v>-96.929917000000003</v>
      </c>
      <c r="D245" s="152">
        <v>40</v>
      </c>
      <c r="E245" s="152" t="s">
        <v>697</v>
      </c>
      <c r="F245" s="152">
        <v>2019</v>
      </c>
      <c r="G245" s="340">
        <v>43598.227083333331</v>
      </c>
      <c r="H245" s="152" t="s">
        <v>637</v>
      </c>
      <c r="I245" s="152" t="s">
        <v>696</v>
      </c>
      <c r="J245" s="152" t="s">
        <v>697</v>
      </c>
      <c r="L245" s="152" t="s">
        <v>1055</v>
      </c>
      <c r="M245" s="152" t="s">
        <v>685</v>
      </c>
      <c r="N245" s="152" t="s">
        <v>637</v>
      </c>
      <c r="O245" s="152" t="s">
        <v>647</v>
      </c>
      <c r="P245" s="152" t="s">
        <v>696</v>
      </c>
      <c r="Q245" s="152" t="s">
        <v>637</v>
      </c>
      <c r="R245" s="152" t="s">
        <v>701</v>
      </c>
      <c r="S245" s="152" t="s">
        <v>637</v>
      </c>
      <c r="T245" s="152" t="s">
        <v>701</v>
      </c>
      <c r="U245" s="152" t="s">
        <v>644</v>
      </c>
      <c r="V245" s="152" t="s">
        <v>96</v>
      </c>
      <c r="W245" s="152" t="s">
        <v>643</v>
      </c>
      <c r="Y245" s="152" t="s">
        <v>637</v>
      </c>
      <c r="Z245" s="152" t="s">
        <v>696</v>
      </c>
      <c r="AA245" s="152" t="s">
        <v>782</v>
      </c>
      <c r="AB245" s="152" t="s">
        <v>640</v>
      </c>
      <c r="AC245" s="152" t="s">
        <v>701</v>
      </c>
      <c r="AD245" s="152" t="s">
        <v>752</v>
      </c>
      <c r="AE245" s="152" t="s">
        <v>637</v>
      </c>
      <c r="AF245" s="152" t="s">
        <v>637</v>
      </c>
      <c r="AG245" s="152" t="s">
        <v>637</v>
      </c>
      <c r="AH245" s="152" t="s">
        <v>664</v>
      </c>
      <c r="AI245" s="152" t="s">
        <v>699</v>
      </c>
      <c r="AJ245" s="152" t="s">
        <v>696</v>
      </c>
      <c r="AL245" s="152" t="s">
        <v>637</v>
      </c>
      <c r="AM245" s="152" t="s">
        <v>1085</v>
      </c>
      <c r="AO245" s="152" t="s">
        <v>715</v>
      </c>
      <c r="AP245" s="152" t="s">
        <v>697</v>
      </c>
      <c r="AQ245" s="152" t="s">
        <v>630</v>
      </c>
      <c r="AS245" s="152" t="s">
        <v>696</v>
      </c>
      <c r="AT245" s="152" t="s">
        <v>702</v>
      </c>
      <c r="AU245" s="152">
        <v>2019</v>
      </c>
      <c r="AV245" s="339">
        <v>7215</v>
      </c>
      <c r="AW245" s="339">
        <v>1905088</v>
      </c>
      <c r="AX245" s="152">
        <v>13</v>
      </c>
      <c r="AY245" s="152">
        <v>-1</v>
      </c>
      <c r="AZ245" s="152">
        <v>75</v>
      </c>
      <c r="BA245" s="152">
        <v>1.9538109079999999</v>
      </c>
      <c r="BB245" s="152">
        <v>537</v>
      </c>
      <c r="BC245" s="152">
        <v>90</v>
      </c>
      <c r="BD245" s="152">
        <v>2.7920001000000001</v>
      </c>
    </row>
    <row r="246" spans="1:56" x14ac:dyDescent="0.25">
      <c r="A246" s="152" t="s">
        <v>1056</v>
      </c>
      <c r="B246" s="152">
        <v>43.608916999999998</v>
      </c>
      <c r="C246" s="152">
        <v>-96.925354999999996</v>
      </c>
      <c r="D246" s="152">
        <v>40</v>
      </c>
      <c r="E246" s="152" t="s">
        <v>697</v>
      </c>
      <c r="F246" s="152">
        <v>2020</v>
      </c>
      <c r="G246" s="340">
        <v>44130.252083333333</v>
      </c>
      <c r="H246" s="152" t="s">
        <v>637</v>
      </c>
      <c r="I246" s="152" t="s">
        <v>696</v>
      </c>
      <c r="J246" s="152" t="s">
        <v>697</v>
      </c>
      <c r="L246" s="152" t="s">
        <v>1055</v>
      </c>
      <c r="M246" s="152" t="s">
        <v>685</v>
      </c>
      <c r="N246" s="152" t="s">
        <v>637</v>
      </c>
      <c r="O246" s="152" t="s">
        <v>647</v>
      </c>
      <c r="P246" s="152" t="s">
        <v>696</v>
      </c>
      <c r="Q246" s="152" t="s">
        <v>637</v>
      </c>
      <c r="R246" s="152" t="s">
        <v>701</v>
      </c>
      <c r="S246" s="152" t="s">
        <v>637</v>
      </c>
      <c r="T246" s="152" t="s">
        <v>701</v>
      </c>
      <c r="U246" s="152" t="s">
        <v>644</v>
      </c>
      <c r="V246" s="152" t="s">
        <v>96</v>
      </c>
      <c r="W246" s="152" t="s">
        <v>643</v>
      </c>
      <c r="Y246" s="152" t="s">
        <v>637</v>
      </c>
      <c r="Z246" s="152" t="s">
        <v>696</v>
      </c>
      <c r="AA246" s="152" t="s">
        <v>665</v>
      </c>
      <c r="AB246" s="152" t="s">
        <v>640</v>
      </c>
      <c r="AC246" s="152" t="s">
        <v>701</v>
      </c>
      <c r="AD246" s="152" t="s">
        <v>700</v>
      </c>
      <c r="AE246" s="152" t="s">
        <v>637</v>
      </c>
      <c r="AF246" s="152" t="s">
        <v>637</v>
      </c>
      <c r="AG246" s="152" t="s">
        <v>637</v>
      </c>
      <c r="AH246" s="152" t="s">
        <v>664</v>
      </c>
      <c r="AI246" s="152" t="s">
        <v>699</v>
      </c>
      <c r="AJ246" s="152" t="s">
        <v>696</v>
      </c>
      <c r="AL246" s="152" t="s">
        <v>637</v>
      </c>
      <c r="AM246" s="152" t="s">
        <v>1084</v>
      </c>
      <c r="AO246" s="152" t="s">
        <v>715</v>
      </c>
      <c r="AP246" s="152" t="s">
        <v>697</v>
      </c>
      <c r="AQ246" s="152" t="s">
        <v>630</v>
      </c>
      <c r="AS246" s="152" t="s">
        <v>696</v>
      </c>
      <c r="AT246" s="152" t="s">
        <v>702</v>
      </c>
      <c r="AU246" s="152">
        <v>2020</v>
      </c>
      <c r="AV246" s="339">
        <v>7215</v>
      </c>
      <c r="AW246" s="339">
        <v>2013447</v>
      </c>
      <c r="AX246" s="152">
        <v>26</v>
      </c>
      <c r="AY246" s="152">
        <v>-1</v>
      </c>
      <c r="AZ246" s="152">
        <v>75</v>
      </c>
      <c r="BA246" s="152">
        <v>1.0411894999999999E-2</v>
      </c>
      <c r="BB246" s="152">
        <v>742</v>
      </c>
      <c r="BC246" s="152">
        <v>90</v>
      </c>
      <c r="BD246" s="152">
        <v>2.7920001000000001</v>
      </c>
    </row>
    <row r="247" spans="1:56" x14ac:dyDescent="0.25">
      <c r="A247" s="152" t="s">
        <v>1056</v>
      </c>
      <c r="B247" s="152">
        <v>43.608924999999999</v>
      </c>
      <c r="C247" s="152">
        <v>-96.920180999999999</v>
      </c>
      <c r="D247" s="152">
        <v>40</v>
      </c>
      <c r="E247" s="152" t="s">
        <v>652</v>
      </c>
      <c r="F247" s="152">
        <v>2020</v>
      </c>
      <c r="G247" s="340">
        <v>43847.59375</v>
      </c>
      <c r="H247" s="152" t="s">
        <v>637</v>
      </c>
      <c r="I247" s="152" t="s">
        <v>669</v>
      </c>
      <c r="J247" s="152" t="s">
        <v>650</v>
      </c>
      <c r="L247" s="152" t="s">
        <v>1055</v>
      </c>
      <c r="M247" s="152" t="s">
        <v>648</v>
      </c>
      <c r="N247" s="152" t="s">
        <v>637</v>
      </c>
      <c r="O247" s="152" t="s">
        <v>647</v>
      </c>
      <c r="P247" s="152" t="s">
        <v>734</v>
      </c>
      <c r="Q247" s="152" t="s">
        <v>637</v>
      </c>
      <c r="R247" s="152" t="s">
        <v>683</v>
      </c>
      <c r="S247" s="152" t="s">
        <v>637</v>
      </c>
      <c r="T247" s="152" t="s">
        <v>682</v>
      </c>
      <c r="U247" s="152" t="s">
        <v>644</v>
      </c>
      <c r="V247" s="152" t="s">
        <v>96</v>
      </c>
      <c r="W247" s="152" t="s">
        <v>643</v>
      </c>
      <c r="Y247" s="152" t="s">
        <v>637</v>
      </c>
      <c r="Z247" s="152" t="s">
        <v>642</v>
      </c>
      <c r="AA247" s="152" t="s">
        <v>641</v>
      </c>
      <c r="AB247" s="152" t="s">
        <v>640</v>
      </c>
      <c r="AC247" s="152" t="s">
        <v>682</v>
      </c>
      <c r="AD247" s="152" t="s">
        <v>638</v>
      </c>
      <c r="AE247" s="152" t="s">
        <v>637</v>
      </c>
      <c r="AF247" s="152" t="s">
        <v>637</v>
      </c>
      <c r="AG247" s="152" t="s">
        <v>637</v>
      </c>
      <c r="AH247" s="152" t="s">
        <v>677</v>
      </c>
      <c r="AI247" s="152" t="s">
        <v>655</v>
      </c>
      <c r="AJ247" s="152" t="s">
        <v>635</v>
      </c>
      <c r="AK247" s="152" t="s">
        <v>634</v>
      </c>
      <c r="AL247" s="152" t="s">
        <v>633</v>
      </c>
      <c r="AM247" s="152" t="s">
        <v>1083</v>
      </c>
      <c r="AO247" s="152" t="s">
        <v>715</v>
      </c>
      <c r="AP247" s="152" t="s">
        <v>628</v>
      </c>
      <c r="AQ247" s="152" t="s">
        <v>630</v>
      </c>
      <c r="AR247" s="152" t="s">
        <v>629</v>
      </c>
      <c r="AS247" s="152" t="s">
        <v>628</v>
      </c>
      <c r="AT247" s="152" t="s">
        <v>900</v>
      </c>
      <c r="AU247" s="152">
        <v>2020</v>
      </c>
      <c r="AV247" s="339">
        <v>7215</v>
      </c>
      <c r="AW247" s="339">
        <v>2000774</v>
      </c>
      <c r="AX247" s="152">
        <v>17</v>
      </c>
      <c r="AY247" s="152">
        <v>0</v>
      </c>
      <c r="AZ247" s="152">
        <v>75</v>
      </c>
      <c r="BA247" s="152">
        <v>1.6777864769999999</v>
      </c>
      <c r="BB247" s="152">
        <v>650</v>
      </c>
      <c r="BC247" s="152">
        <v>90</v>
      </c>
      <c r="BD247" s="152">
        <v>2.7920001000000001</v>
      </c>
    </row>
    <row r="248" spans="1:56" x14ac:dyDescent="0.25">
      <c r="A248" s="152" t="s">
        <v>1056</v>
      </c>
      <c r="B248" s="152">
        <v>43.608929000000003</v>
      </c>
      <c r="C248" s="152">
        <v>-96.912979000000007</v>
      </c>
      <c r="D248" s="152">
        <v>40</v>
      </c>
      <c r="E248" s="152" t="s">
        <v>697</v>
      </c>
      <c r="F248" s="152">
        <v>2019</v>
      </c>
      <c r="G248" s="340">
        <v>43599.895833333336</v>
      </c>
      <c r="H248" s="152" t="s">
        <v>637</v>
      </c>
      <c r="I248" s="152" t="s">
        <v>696</v>
      </c>
      <c r="J248" s="152" t="s">
        <v>697</v>
      </c>
      <c r="L248" s="152" t="s">
        <v>1055</v>
      </c>
      <c r="M248" s="152" t="s">
        <v>736</v>
      </c>
      <c r="N248" s="152" t="s">
        <v>637</v>
      </c>
      <c r="O248" s="152" t="s">
        <v>647</v>
      </c>
      <c r="P248" s="152" t="s">
        <v>696</v>
      </c>
      <c r="Q248" s="152" t="s">
        <v>637</v>
      </c>
      <c r="R248" s="152" t="s">
        <v>701</v>
      </c>
      <c r="S248" s="152" t="s">
        <v>637</v>
      </c>
      <c r="T248" s="152" t="s">
        <v>701</v>
      </c>
      <c r="U248" s="152" t="s">
        <v>644</v>
      </c>
      <c r="V248" s="152" t="s">
        <v>96</v>
      </c>
      <c r="W248" s="152" t="s">
        <v>643</v>
      </c>
      <c r="Y248" s="152" t="s">
        <v>637</v>
      </c>
      <c r="Z248" s="152" t="s">
        <v>696</v>
      </c>
      <c r="AA248" s="152" t="s">
        <v>665</v>
      </c>
      <c r="AB248" s="152" t="s">
        <v>640</v>
      </c>
      <c r="AC248" s="152" t="s">
        <v>701</v>
      </c>
      <c r="AD248" s="152" t="s">
        <v>752</v>
      </c>
      <c r="AE248" s="152" t="s">
        <v>637</v>
      </c>
      <c r="AF248" s="152" t="s">
        <v>637</v>
      </c>
      <c r="AG248" s="152" t="s">
        <v>637</v>
      </c>
      <c r="AH248" s="152" t="s">
        <v>664</v>
      </c>
      <c r="AI248" s="152" t="s">
        <v>699</v>
      </c>
      <c r="AJ248" s="152" t="s">
        <v>696</v>
      </c>
      <c r="AL248" s="152" t="s">
        <v>637</v>
      </c>
      <c r="AM248" s="152" t="s">
        <v>843</v>
      </c>
      <c r="AO248" s="152" t="s">
        <v>715</v>
      </c>
      <c r="AP248" s="152" t="s">
        <v>697</v>
      </c>
      <c r="AQ248" s="152" t="s">
        <v>630</v>
      </c>
      <c r="AS248" s="152" t="s">
        <v>696</v>
      </c>
      <c r="AT248" s="152" t="s">
        <v>702</v>
      </c>
      <c r="AU248" s="152">
        <v>2019</v>
      </c>
      <c r="AV248" s="339">
        <v>7215</v>
      </c>
      <c r="AW248" s="339">
        <v>1905084</v>
      </c>
      <c r="AX248" s="152">
        <v>14</v>
      </c>
      <c r="AY248" s="152">
        <v>-1</v>
      </c>
      <c r="AZ248" s="152">
        <v>75</v>
      </c>
      <c r="BA248" s="152">
        <v>6.4158219000000002E-2</v>
      </c>
      <c r="BB248" s="152">
        <v>536</v>
      </c>
      <c r="BC248" s="152">
        <v>90</v>
      </c>
      <c r="BD248" s="152">
        <v>2.7920001000000001</v>
      </c>
    </row>
    <row r="249" spans="1:56" x14ac:dyDescent="0.25">
      <c r="A249" s="152" t="s">
        <v>1056</v>
      </c>
      <c r="B249" s="152">
        <v>43.608930999999998</v>
      </c>
      <c r="C249" s="152">
        <v>-96.906020999999996</v>
      </c>
      <c r="D249" s="152">
        <v>40</v>
      </c>
      <c r="E249" s="152" t="s">
        <v>697</v>
      </c>
      <c r="F249" s="152">
        <v>2017</v>
      </c>
      <c r="G249" s="340">
        <v>43052.815972222219</v>
      </c>
      <c r="H249" s="152" t="s">
        <v>637</v>
      </c>
      <c r="I249" s="152" t="s">
        <v>696</v>
      </c>
      <c r="J249" s="152" t="s">
        <v>697</v>
      </c>
      <c r="L249" s="152" t="s">
        <v>1055</v>
      </c>
      <c r="M249" s="152" t="s">
        <v>685</v>
      </c>
      <c r="N249" s="152" t="s">
        <v>637</v>
      </c>
      <c r="O249" s="152" t="s">
        <v>647</v>
      </c>
      <c r="P249" s="152" t="s">
        <v>696</v>
      </c>
      <c r="Q249" s="152" t="s">
        <v>637</v>
      </c>
      <c r="R249" s="152" t="s">
        <v>701</v>
      </c>
      <c r="S249" s="152" t="s">
        <v>637</v>
      </c>
      <c r="T249" s="152" t="s">
        <v>701</v>
      </c>
      <c r="U249" s="152" t="s">
        <v>644</v>
      </c>
      <c r="V249" s="152" t="s">
        <v>96</v>
      </c>
      <c r="W249" s="152" t="s">
        <v>643</v>
      </c>
      <c r="Y249" s="152" t="s">
        <v>637</v>
      </c>
      <c r="Z249" s="152" t="s">
        <v>642</v>
      </c>
      <c r="AA249" s="152" t="s">
        <v>665</v>
      </c>
      <c r="AB249" s="152" t="s">
        <v>640</v>
      </c>
      <c r="AC249" s="152" t="s">
        <v>701</v>
      </c>
      <c r="AD249" s="152" t="s">
        <v>673</v>
      </c>
      <c r="AE249" s="152" t="s">
        <v>637</v>
      </c>
      <c r="AF249" s="152" t="s">
        <v>637</v>
      </c>
      <c r="AG249" s="152" t="s">
        <v>637</v>
      </c>
      <c r="AH249" s="152" t="s">
        <v>664</v>
      </c>
      <c r="AI249" s="152" t="s">
        <v>699</v>
      </c>
      <c r="AJ249" s="152" t="s">
        <v>696</v>
      </c>
      <c r="AL249" s="152" t="s">
        <v>637</v>
      </c>
      <c r="AM249" s="152" t="s">
        <v>904</v>
      </c>
      <c r="AO249" s="152" t="s">
        <v>715</v>
      </c>
      <c r="AP249" s="152" t="s">
        <v>697</v>
      </c>
      <c r="AQ249" s="152" t="s">
        <v>703</v>
      </c>
      <c r="AS249" s="152" t="s">
        <v>696</v>
      </c>
      <c r="AT249" s="152" t="s">
        <v>702</v>
      </c>
      <c r="AU249" s="152">
        <v>2017</v>
      </c>
      <c r="AV249" s="339">
        <v>7215</v>
      </c>
      <c r="AW249" s="339">
        <v>1714989</v>
      </c>
      <c r="AX249" s="152">
        <v>13</v>
      </c>
      <c r="AY249" s="152">
        <v>-1</v>
      </c>
      <c r="AZ249" s="152">
        <v>75</v>
      </c>
      <c r="BA249" s="152">
        <v>3.1998490689999999</v>
      </c>
      <c r="BB249" s="152">
        <v>295</v>
      </c>
      <c r="BC249" s="152">
        <v>90</v>
      </c>
      <c r="BD249" s="152">
        <v>2.7920001000000001</v>
      </c>
    </row>
    <row r="250" spans="1:56" x14ac:dyDescent="0.25">
      <c r="A250" s="152" t="s">
        <v>1056</v>
      </c>
      <c r="B250" s="152">
        <v>43.608932000000003</v>
      </c>
      <c r="C250" s="152">
        <v>-96.910047000000006</v>
      </c>
      <c r="D250" s="152">
        <v>40</v>
      </c>
      <c r="E250" s="152" t="s">
        <v>652</v>
      </c>
      <c r="F250" s="152">
        <v>2020</v>
      </c>
      <c r="G250" s="340">
        <v>44136.755555555559</v>
      </c>
      <c r="H250" s="152" t="s">
        <v>637</v>
      </c>
      <c r="I250" s="152" t="s">
        <v>669</v>
      </c>
      <c r="J250" s="152" t="s">
        <v>650</v>
      </c>
      <c r="K250" s="152" t="s">
        <v>1082</v>
      </c>
      <c r="L250" s="152" t="s">
        <v>1055</v>
      </c>
      <c r="M250" s="152" t="s">
        <v>712</v>
      </c>
      <c r="N250" s="152" t="s">
        <v>637</v>
      </c>
      <c r="O250" s="152" t="s">
        <v>647</v>
      </c>
      <c r="P250" s="152" t="s">
        <v>628</v>
      </c>
      <c r="Q250" s="152" t="s">
        <v>637</v>
      </c>
      <c r="R250" s="152" t="s">
        <v>701</v>
      </c>
      <c r="S250" s="152" t="s">
        <v>637</v>
      </c>
      <c r="T250" s="152" t="s">
        <v>701</v>
      </c>
      <c r="U250" s="152" t="s">
        <v>644</v>
      </c>
      <c r="V250" s="152" t="s">
        <v>96</v>
      </c>
      <c r="W250" s="152" t="s">
        <v>643</v>
      </c>
      <c r="Y250" s="152" t="s">
        <v>637</v>
      </c>
      <c r="Z250" s="152" t="s">
        <v>642</v>
      </c>
      <c r="AA250" s="152" t="s">
        <v>665</v>
      </c>
      <c r="AB250" s="152" t="s">
        <v>640</v>
      </c>
      <c r="AC250" s="152" t="s">
        <v>701</v>
      </c>
      <c r="AD250" s="152" t="s">
        <v>673</v>
      </c>
      <c r="AE250" s="152" t="s">
        <v>637</v>
      </c>
      <c r="AF250" s="152" t="s">
        <v>637</v>
      </c>
      <c r="AG250" s="152" t="s">
        <v>637</v>
      </c>
      <c r="AH250" s="152" t="s">
        <v>664</v>
      </c>
      <c r="AI250" s="152" t="s">
        <v>699</v>
      </c>
      <c r="AJ250" s="152" t="s">
        <v>635</v>
      </c>
      <c r="AK250" s="152" t="s">
        <v>634</v>
      </c>
      <c r="AL250" s="152" t="s">
        <v>637</v>
      </c>
      <c r="AM250" s="152" t="s">
        <v>1081</v>
      </c>
      <c r="AO250" s="152" t="s">
        <v>715</v>
      </c>
      <c r="AP250" s="152" t="s">
        <v>628</v>
      </c>
      <c r="AQ250" s="152" t="s">
        <v>671</v>
      </c>
      <c r="AR250" s="152" t="s">
        <v>629</v>
      </c>
      <c r="AS250" s="152" t="s">
        <v>628</v>
      </c>
      <c r="AT250" s="152" t="s">
        <v>695</v>
      </c>
      <c r="AU250" s="152">
        <v>2020</v>
      </c>
      <c r="AV250" s="339">
        <v>7215</v>
      </c>
      <c r="AW250" s="339">
        <v>2014250</v>
      </c>
      <c r="AX250" s="152">
        <v>1</v>
      </c>
      <c r="AY250" s="152">
        <v>0</v>
      </c>
      <c r="AZ250" s="152">
        <v>75</v>
      </c>
      <c r="BA250" s="152">
        <v>8.1836585000000003E-2</v>
      </c>
      <c r="BB250" s="152">
        <v>757</v>
      </c>
      <c r="BC250" s="152">
        <v>90</v>
      </c>
      <c r="BD250" s="152">
        <v>2.7920001000000001</v>
      </c>
    </row>
    <row r="251" spans="1:56" x14ac:dyDescent="0.25">
      <c r="A251" s="152" t="s">
        <v>1056</v>
      </c>
      <c r="B251" s="152">
        <v>43.608932000000003</v>
      </c>
      <c r="C251" s="152">
        <v>-96.909931</v>
      </c>
      <c r="D251" s="152">
        <v>40</v>
      </c>
      <c r="E251" s="152" t="s">
        <v>697</v>
      </c>
      <c r="F251" s="152">
        <v>2018</v>
      </c>
      <c r="G251" s="340">
        <v>43224.9375</v>
      </c>
      <c r="H251" s="152" t="s">
        <v>637</v>
      </c>
      <c r="I251" s="152" t="s">
        <v>696</v>
      </c>
      <c r="J251" s="152" t="s">
        <v>697</v>
      </c>
      <c r="L251" s="152" t="s">
        <v>1055</v>
      </c>
      <c r="M251" s="152" t="s">
        <v>648</v>
      </c>
      <c r="N251" s="152" t="s">
        <v>637</v>
      </c>
      <c r="O251" s="152" t="s">
        <v>647</v>
      </c>
      <c r="P251" s="152" t="s">
        <v>696</v>
      </c>
      <c r="Q251" s="152" t="s">
        <v>637</v>
      </c>
      <c r="R251" s="152" t="s">
        <v>701</v>
      </c>
      <c r="S251" s="152" t="s">
        <v>637</v>
      </c>
      <c r="T251" s="152" t="s">
        <v>701</v>
      </c>
      <c r="U251" s="152" t="s">
        <v>644</v>
      </c>
      <c r="V251" s="152" t="s">
        <v>96</v>
      </c>
      <c r="W251" s="152" t="s">
        <v>643</v>
      </c>
      <c r="Y251" s="152" t="s">
        <v>637</v>
      </c>
      <c r="Z251" s="152" t="s">
        <v>642</v>
      </c>
      <c r="AA251" s="152" t="s">
        <v>665</v>
      </c>
      <c r="AB251" s="152" t="s">
        <v>640</v>
      </c>
      <c r="AC251" s="152" t="s">
        <v>701</v>
      </c>
      <c r="AD251" s="152" t="s">
        <v>752</v>
      </c>
      <c r="AE251" s="152" t="s">
        <v>637</v>
      </c>
      <c r="AF251" s="152" t="s">
        <v>637</v>
      </c>
      <c r="AG251" s="152" t="s">
        <v>637</v>
      </c>
      <c r="AH251" s="152" t="s">
        <v>664</v>
      </c>
      <c r="AI251" s="152" t="s">
        <v>699</v>
      </c>
      <c r="AJ251" s="152" t="s">
        <v>696</v>
      </c>
      <c r="AL251" s="152" t="s">
        <v>637</v>
      </c>
      <c r="AM251" s="152" t="s">
        <v>770</v>
      </c>
      <c r="AO251" s="152" t="s">
        <v>715</v>
      </c>
      <c r="AP251" s="152" t="s">
        <v>697</v>
      </c>
      <c r="AQ251" s="152" t="s">
        <v>630</v>
      </c>
      <c r="AS251" s="152" t="s">
        <v>696</v>
      </c>
      <c r="AT251" s="152" t="s">
        <v>702</v>
      </c>
      <c r="AU251" s="152">
        <v>2018</v>
      </c>
      <c r="AV251" s="339">
        <v>7215</v>
      </c>
      <c r="AW251" s="339">
        <v>1805226</v>
      </c>
      <c r="AX251" s="152">
        <v>4</v>
      </c>
      <c r="AY251" s="152">
        <v>-1</v>
      </c>
      <c r="AZ251" s="152">
        <v>75</v>
      </c>
      <c r="BA251" s="152">
        <v>8.8798210000000002E-2</v>
      </c>
      <c r="BB251" s="152">
        <v>379</v>
      </c>
      <c r="BC251" s="152">
        <v>90</v>
      </c>
      <c r="BD251" s="152">
        <v>2.7920001000000001</v>
      </c>
    </row>
    <row r="252" spans="1:56" x14ac:dyDescent="0.25">
      <c r="A252" s="152" t="s">
        <v>1056</v>
      </c>
      <c r="B252" s="152">
        <v>43.608932000000003</v>
      </c>
      <c r="C252" s="152">
        <v>-96.906069000000002</v>
      </c>
      <c r="D252" s="152">
        <v>40</v>
      </c>
      <c r="E252" s="152" t="s">
        <v>697</v>
      </c>
      <c r="F252" s="152">
        <v>2017</v>
      </c>
      <c r="G252" s="340">
        <v>42866.270833333336</v>
      </c>
      <c r="H252" s="152" t="s">
        <v>637</v>
      </c>
      <c r="I252" s="152" t="s">
        <v>696</v>
      </c>
      <c r="J252" s="152" t="s">
        <v>697</v>
      </c>
      <c r="L252" s="152" t="s">
        <v>1055</v>
      </c>
      <c r="M252" s="152" t="s">
        <v>668</v>
      </c>
      <c r="N252" s="152" t="s">
        <v>637</v>
      </c>
      <c r="O252" s="152" t="s">
        <v>647</v>
      </c>
      <c r="P252" s="152" t="s">
        <v>696</v>
      </c>
      <c r="Q252" s="152" t="s">
        <v>637</v>
      </c>
      <c r="R252" s="152" t="s">
        <v>701</v>
      </c>
      <c r="S252" s="152" t="s">
        <v>637</v>
      </c>
      <c r="T252" s="152" t="s">
        <v>701</v>
      </c>
      <c r="U252" s="152" t="s">
        <v>644</v>
      </c>
      <c r="V252" s="152" t="s">
        <v>96</v>
      </c>
      <c r="W252" s="152" t="s">
        <v>643</v>
      </c>
      <c r="Y252" s="152" t="s">
        <v>637</v>
      </c>
      <c r="Z252" s="152" t="s">
        <v>642</v>
      </c>
      <c r="AA252" s="152" t="s">
        <v>641</v>
      </c>
      <c r="AB252" s="152" t="s">
        <v>640</v>
      </c>
      <c r="AC252" s="152" t="s">
        <v>701</v>
      </c>
      <c r="AD252" s="152" t="s">
        <v>752</v>
      </c>
      <c r="AE252" s="152" t="s">
        <v>637</v>
      </c>
      <c r="AF252" s="152" t="s">
        <v>637</v>
      </c>
      <c r="AG252" s="152" t="s">
        <v>637</v>
      </c>
      <c r="AH252" s="152" t="s">
        <v>664</v>
      </c>
      <c r="AI252" s="152" t="s">
        <v>699</v>
      </c>
      <c r="AJ252" s="152" t="s">
        <v>696</v>
      </c>
      <c r="AL252" s="152" t="s">
        <v>637</v>
      </c>
      <c r="AM252" s="152" t="s">
        <v>847</v>
      </c>
      <c r="AO252" s="152" t="s">
        <v>715</v>
      </c>
      <c r="AP252" s="152" t="s">
        <v>697</v>
      </c>
      <c r="AQ252" s="152" t="s">
        <v>630</v>
      </c>
      <c r="AS252" s="152" t="s">
        <v>696</v>
      </c>
      <c r="AT252" s="152" t="s">
        <v>702</v>
      </c>
      <c r="AU252" s="152">
        <v>2017</v>
      </c>
      <c r="AV252" s="339">
        <v>7215</v>
      </c>
      <c r="AW252" s="339">
        <v>1705596</v>
      </c>
      <c r="AX252" s="152">
        <v>11</v>
      </c>
      <c r="AY252" s="152">
        <v>-1</v>
      </c>
      <c r="AZ252" s="152">
        <v>75</v>
      </c>
      <c r="BA252" s="152">
        <v>2.8276214140000002</v>
      </c>
      <c r="BB252" s="152">
        <v>224</v>
      </c>
      <c r="BC252" s="152">
        <v>90</v>
      </c>
      <c r="BD252" s="152">
        <v>2.7920001000000001</v>
      </c>
    </row>
    <row r="253" spans="1:56" x14ac:dyDescent="0.25">
      <c r="A253" s="152" t="s">
        <v>1056</v>
      </c>
      <c r="B253" s="152">
        <v>43.608933</v>
      </c>
      <c r="C253" s="152">
        <v>-96.914796999999993</v>
      </c>
      <c r="D253" s="152">
        <v>40</v>
      </c>
      <c r="E253" s="152" t="s">
        <v>697</v>
      </c>
      <c r="F253" s="152">
        <v>2016</v>
      </c>
      <c r="G253" s="340">
        <v>42517.322916666664</v>
      </c>
      <c r="H253" s="152" t="s">
        <v>637</v>
      </c>
      <c r="I253" s="152" t="s">
        <v>696</v>
      </c>
      <c r="J253" s="152" t="s">
        <v>697</v>
      </c>
      <c r="L253" s="152" t="s">
        <v>1055</v>
      </c>
      <c r="M253" s="152" t="s">
        <v>648</v>
      </c>
      <c r="N253" s="152" t="s">
        <v>637</v>
      </c>
      <c r="O253" s="152" t="s">
        <v>647</v>
      </c>
      <c r="P253" s="152" t="s">
        <v>696</v>
      </c>
      <c r="Q253" s="152" t="s">
        <v>637</v>
      </c>
      <c r="R253" s="152" t="s">
        <v>701</v>
      </c>
      <c r="S253" s="152" t="s">
        <v>637</v>
      </c>
      <c r="T253" s="152" t="s">
        <v>701</v>
      </c>
      <c r="U253" s="152" t="s">
        <v>644</v>
      </c>
      <c r="V253" s="152" t="s">
        <v>96</v>
      </c>
      <c r="W253" s="152" t="s">
        <v>643</v>
      </c>
      <c r="Y253" s="152" t="s">
        <v>637</v>
      </c>
      <c r="Z253" s="152" t="s">
        <v>642</v>
      </c>
      <c r="AA253" s="152" t="s">
        <v>641</v>
      </c>
      <c r="AB253" s="152" t="s">
        <v>640</v>
      </c>
      <c r="AC253" s="152" t="s">
        <v>701</v>
      </c>
      <c r="AD253" s="152" t="s">
        <v>752</v>
      </c>
      <c r="AE253" s="152" t="s">
        <v>637</v>
      </c>
      <c r="AF253" s="152" t="s">
        <v>637</v>
      </c>
      <c r="AG253" s="152" t="s">
        <v>637</v>
      </c>
      <c r="AH253" s="152" t="s">
        <v>664</v>
      </c>
      <c r="AI253" s="152" t="s">
        <v>699</v>
      </c>
      <c r="AJ253" s="152" t="s">
        <v>696</v>
      </c>
      <c r="AL253" s="152" t="s">
        <v>637</v>
      </c>
      <c r="AM253" s="152" t="s">
        <v>1015</v>
      </c>
      <c r="AO253" s="152" t="s">
        <v>715</v>
      </c>
      <c r="AP253" s="152" t="s">
        <v>697</v>
      </c>
      <c r="AQ253" s="152" t="s">
        <v>630</v>
      </c>
      <c r="AS253" s="152" t="s">
        <v>696</v>
      </c>
      <c r="AT253" s="152" t="s">
        <v>702</v>
      </c>
      <c r="AU253" s="152">
        <v>2016</v>
      </c>
      <c r="AV253" s="339">
        <v>7215</v>
      </c>
      <c r="AW253" s="339">
        <v>1606759</v>
      </c>
      <c r="AX253" s="152">
        <v>27</v>
      </c>
      <c r="AY253" s="152">
        <v>-1</v>
      </c>
      <c r="AZ253" s="152">
        <v>75</v>
      </c>
      <c r="BA253" s="152">
        <v>0.60458962299999996</v>
      </c>
      <c r="BB253" s="152">
        <v>71</v>
      </c>
      <c r="BC253" s="152">
        <v>90</v>
      </c>
      <c r="BD253" s="152">
        <v>2.7920001000000001</v>
      </c>
    </row>
    <row r="254" spans="1:56" x14ac:dyDescent="0.25">
      <c r="A254" s="152" t="s">
        <v>1056</v>
      </c>
      <c r="B254" s="152">
        <v>43.608936999999997</v>
      </c>
      <c r="C254" s="152">
        <v>-96.909071999999995</v>
      </c>
      <c r="D254" s="152">
        <v>40</v>
      </c>
      <c r="E254" s="152" t="s">
        <v>652</v>
      </c>
      <c r="F254" s="152">
        <v>2016</v>
      </c>
      <c r="G254" s="340">
        <v>42714.673611111109</v>
      </c>
      <c r="H254" s="152" t="s">
        <v>637</v>
      </c>
      <c r="I254" s="152" t="s">
        <v>669</v>
      </c>
      <c r="J254" s="152" t="s">
        <v>650</v>
      </c>
      <c r="L254" s="152" t="s">
        <v>1055</v>
      </c>
      <c r="M254" s="152" t="s">
        <v>693</v>
      </c>
      <c r="N254" s="152" t="s">
        <v>637</v>
      </c>
      <c r="O254" s="152" t="s">
        <v>647</v>
      </c>
      <c r="P254" s="152" t="s">
        <v>1000</v>
      </c>
      <c r="Q254" s="152" t="s">
        <v>637</v>
      </c>
      <c r="R254" s="152" t="s">
        <v>1039</v>
      </c>
      <c r="S254" s="152" t="s">
        <v>637</v>
      </c>
      <c r="T254" s="152" t="s">
        <v>687</v>
      </c>
      <c r="U254" s="152" t="s">
        <v>644</v>
      </c>
      <c r="V254" s="152" t="s">
        <v>96</v>
      </c>
      <c r="W254" s="152" t="s">
        <v>643</v>
      </c>
      <c r="Y254" s="152" t="s">
        <v>637</v>
      </c>
      <c r="Z254" s="152" t="s">
        <v>642</v>
      </c>
      <c r="AA254" s="152" t="s">
        <v>665</v>
      </c>
      <c r="AB254" s="152" t="s">
        <v>640</v>
      </c>
      <c r="AC254" s="152" t="s">
        <v>687</v>
      </c>
      <c r="AD254" s="152" t="s">
        <v>681</v>
      </c>
      <c r="AE254" s="152" t="s">
        <v>637</v>
      </c>
      <c r="AF254" s="152" t="s">
        <v>633</v>
      </c>
      <c r="AG254" s="152" t="s">
        <v>637</v>
      </c>
      <c r="AH254" s="152" t="s">
        <v>677</v>
      </c>
      <c r="AI254" s="152" t="s">
        <v>655</v>
      </c>
      <c r="AJ254" s="152" t="s">
        <v>635</v>
      </c>
      <c r="AK254" s="152" t="s">
        <v>634</v>
      </c>
      <c r="AL254" s="152" t="s">
        <v>637</v>
      </c>
      <c r="AM254" s="152" t="s">
        <v>1080</v>
      </c>
      <c r="AO254" s="152" t="s">
        <v>715</v>
      </c>
      <c r="AP254" s="152" t="s">
        <v>628</v>
      </c>
      <c r="AQ254" s="152" t="s">
        <v>703</v>
      </c>
      <c r="AR254" s="152" t="s">
        <v>629</v>
      </c>
      <c r="AS254" s="152" t="s">
        <v>628</v>
      </c>
      <c r="AT254" s="152" t="s">
        <v>677</v>
      </c>
      <c r="AU254" s="152">
        <v>2016</v>
      </c>
      <c r="AV254" s="339">
        <v>7215</v>
      </c>
      <c r="AW254" s="339">
        <v>1616462</v>
      </c>
      <c r="AX254" s="152">
        <v>10</v>
      </c>
      <c r="AY254" s="152">
        <v>0</v>
      </c>
      <c r="AZ254" s="152">
        <v>75</v>
      </c>
      <c r="BA254" s="152">
        <v>0.46783016999999999</v>
      </c>
      <c r="BB254" s="152">
        <v>164</v>
      </c>
      <c r="BC254" s="152">
        <v>90</v>
      </c>
      <c r="BD254" s="152">
        <v>2.7920001000000001</v>
      </c>
    </row>
    <row r="255" spans="1:56" x14ac:dyDescent="0.25">
      <c r="A255" s="152" t="s">
        <v>1056</v>
      </c>
      <c r="B255" s="152">
        <v>43.608936999999997</v>
      </c>
      <c r="C255" s="152">
        <v>-96.908812999999995</v>
      </c>
      <c r="D255" s="152">
        <v>40</v>
      </c>
      <c r="E255" s="152" t="s">
        <v>652</v>
      </c>
      <c r="F255" s="152">
        <v>2016</v>
      </c>
      <c r="G255" s="340">
        <v>42435.701388888891</v>
      </c>
      <c r="H255" s="152" t="s">
        <v>637</v>
      </c>
      <c r="I255" s="152" t="s">
        <v>669</v>
      </c>
      <c r="J255" s="152" t="s">
        <v>650</v>
      </c>
      <c r="L255" s="152" t="s">
        <v>1055</v>
      </c>
      <c r="M255" s="152" t="s">
        <v>712</v>
      </c>
      <c r="N255" s="152" t="s">
        <v>637</v>
      </c>
      <c r="O255" s="152" t="s">
        <v>647</v>
      </c>
      <c r="P255" s="152" t="s">
        <v>628</v>
      </c>
      <c r="Q255" s="152" t="s">
        <v>637</v>
      </c>
      <c r="R255" s="152" t="s">
        <v>711</v>
      </c>
      <c r="S255" s="152" t="s">
        <v>637</v>
      </c>
      <c r="T255" s="152" t="s">
        <v>711</v>
      </c>
      <c r="U255" s="152" t="s">
        <v>644</v>
      </c>
      <c r="V255" s="152" t="s">
        <v>96</v>
      </c>
      <c r="W255" s="152" t="s">
        <v>643</v>
      </c>
      <c r="Y255" s="152" t="s">
        <v>637</v>
      </c>
      <c r="Z255" s="152" t="s">
        <v>642</v>
      </c>
      <c r="AA255" s="152" t="s">
        <v>641</v>
      </c>
      <c r="AB255" s="152" t="s">
        <v>640</v>
      </c>
      <c r="AC255" s="152" t="s">
        <v>711</v>
      </c>
      <c r="AD255" s="152" t="s">
        <v>691</v>
      </c>
      <c r="AE255" s="152" t="s">
        <v>637</v>
      </c>
      <c r="AF255" s="152" t="s">
        <v>637</v>
      </c>
      <c r="AG255" s="152" t="s">
        <v>637</v>
      </c>
      <c r="AH255" s="152" t="s">
        <v>664</v>
      </c>
      <c r="AI255" s="152" t="s">
        <v>628</v>
      </c>
      <c r="AJ255" s="152" t="s">
        <v>635</v>
      </c>
      <c r="AK255" s="152" t="s">
        <v>634</v>
      </c>
      <c r="AL255" s="152" t="s">
        <v>637</v>
      </c>
      <c r="AM255" s="152" t="s">
        <v>955</v>
      </c>
      <c r="AO255" s="152" t="s">
        <v>715</v>
      </c>
      <c r="AP255" s="152" t="s">
        <v>628</v>
      </c>
      <c r="AQ255" s="152" t="s">
        <v>630</v>
      </c>
      <c r="AR255" s="152" t="s">
        <v>629</v>
      </c>
      <c r="AS255" s="152" t="s">
        <v>628</v>
      </c>
      <c r="AT255" s="152" t="s">
        <v>702</v>
      </c>
      <c r="AU255" s="152">
        <v>2016</v>
      </c>
      <c r="AV255" s="339">
        <v>7215</v>
      </c>
      <c r="AW255" s="339">
        <v>1603136</v>
      </c>
      <c r="AX255" s="152">
        <v>6</v>
      </c>
      <c r="AY255" s="152">
        <v>0</v>
      </c>
      <c r="AZ255" s="152">
        <v>75</v>
      </c>
      <c r="BA255" s="152">
        <v>8.6738801000000004E-2</v>
      </c>
      <c r="BB255" s="152">
        <v>38</v>
      </c>
      <c r="BC255" s="152">
        <v>90</v>
      </c>
      <c r="BD255" s="152">
        <v>2.7920001000000001</v>
      </c>
    </row>
    <row r="256" spans="1:56" x14ac:dyDescent="0.25">
      <c r="A256" s="152" t="s">
        <v>1056</v>
      </c>
      <c r="B256" s="152">
        <v>43.608938999999999</v>
      </c>
      <c r="C256" s="152">
        <v>-96.899525999999994</v>
      </c>
      <c r="D256" s="152">
        <v>40</v>
      </c>
      <c r="E256" s="152" t="s">
        <v>697</v>
      </c>
      <c r="F256" s="152">
        <v>2016</v>
      </c>
      <c r="G256" s="340">
        <v>42518.913194444445</v>
      </c>
      <c r="H256" s="152" t="s">
        <v>637</v>
      </c>
      <c r="I256" s="152" t="s">
        <v>696</v>
      </c>
      <c r="J256" s="152" t="s">
        <v>697</v>
      </c>
      <c r="L256" s="152" t="s">
        <v>1055</v>
      </c>
      <c r="M256" s="152" t="s">
        <v>693</v>
      </c>
      <c r="N256" s="152" t="s">
        <v>637</v>
      </c>
      <c r="O256" s="152" t="s">
        <v>647</v>
      </c>
      <c r="P256" s="152" t="s">
        <v>696</v>
      </c>
      <c r="Q256" s="152" t="s">
        <v>637</v>
      </c>
      <c r="R256" s="152" t="s">
        <v>701</v>
      </c>
      <c r="S256" s="152" t="s">
        <v>637</v>
      </c>
      <c r="T256" s="152" t="s">
        <v>701</v>
      </c>
      <c r="U256" s="152" t="s">
        <v>644</v>
      </c>
      <c r="V256" s="152" t="s">
        <v>96</v>
      </c>
      <c r="W256" s="152" t="s">
        <v>643</v>
      </c>
      <c r="Y256" s="152" t="s">
        <v>637</v>
      </c>
      <c r="Z256" s="152" t="s">
        <v>642</v>
      </c>
      <c r="AA256" s="152" t="s">
        <v>665</v>
      </c>
      <c r="AB256" s="152" t="s">
        <v>640</v>
      </c>
      <c r="AC256" s="152" t="s">
        <v>701</v>
      </c>
      <c r="AD256" s="152" t="s">
        <v>752</v>
      </c>
      <c r="AE256" s="152" t="s">
        <v>637</v>
      </c>
      <c r="AF256" s="152" t="s">
        <v>637</v>
      </c>
      <c r="AG256" s="152" t="s">
        <v>637</v>
      </c>
      <c r="AH256" s="152" t="s">
        <v>664</v>
      </c>
      <c r="AI256" s="152" t="s">
        <v>699</v>
      </c>
      <c r="AJ256" s="152" t="s">
        <v>696</v>
      </c>
      <c r="AL256" s="152" t="s">
        <v>637</v>
      </c>
      <c r="AM256" s="152" t="s">
        <v>1079</v>
      </c>
      <c r="AO256" s="152" t="s">
        <v>715</v>
      </c>
      <c r="AP256" s="152" t="s">
        <v>697</v>
      </c>
      <c r="AQ256" s="152" t="s">
        <v>671</v>
      </c>
      <c r="AS256" s="152" t="s">
        <v>696</v>
      </c>
      <c r="AT256" s="152" t="s">
        <v>702</v>
      </c>
      <c r="AU256" s="152">
        <v>2016</v>
      </c>
      <c r="AV256" s="339">
        <v>7215</v>
      </c>
      <c r="AW256" s="339">
        <v>1606110</v>
      </c>
      <c r="AX256" s="152">
        <v>28</v>
      </c>
      <c r="AY256" s="152">
        <v>-1</v>
      </c>
      <c r="AZ256" s="152">
        <v>75</v>
      </c>
      <c r="BA256" s="152">
        <v>1.453004304</v>
      </c>
      <c r="BB256" s="152">
        <v>63</v>
      </c>
      <c r="BC256" s="152">
        <v>90</v>
      </c>
      <c r="BD256" s="152">
        <v>2.7920001000000001</v>
      </c>
    </row>
    <row r="257" spans="1:56" x14ac:dyDescent="0.25">
      <c r="A257" s="152" t="s">
        <v>1056</v>
      </c>
      <c r="B257" s="152">
        <v>43.608938999999999</v>
      </c>
      <c r="C257" s="152">
        <v>-96.899525999999994</v>
      </c>
      <c r="D257" s="152">
        <v>40</v>
      </c>
      <c r="E257" s="152" t="s">
        <v>759</v>
      </c>
      <c r="F257" s="152">
        <v>2016</v>
      </c>
      <c r="G257" s="340">
        <v>42374.47152777778</v>
      </c>
      <c r="H257" s="152" t="s">
        <v>637</v>
      </c>
      <c r="I257" s="152" t="s">
        <v>669</v>
      </c>
      <c r="J257" s="152" t="s">
        <v>650</v>
      </c>
      <c r="K257" s="152" t="s">
        <v>1078</v>
      </c>
      <c r="L257" s="152" t="s">
        <v>1055</v>
      </c>
      <c r="M257" s="152" t="s">
        <v>736</v>
      </c>
      <c r="N257" s="152" t="s">
        <v>637</v>
      </c>
      <c r="O257" s="152" t="s">
        <v>647</v>
      </c>
      <c r="P257" s="152" t="s">
        <v>628</v>
      </c>
      <c r="Q257" s="152" t="s">
        <v>637</v>
      </c>
      <c r="R257" s="152" t="s">
        <v>1077</v>
      </c>
      <c r="S257" s="152" t="s">
        <v>637</v>
      </c>
      <c r="T257" s="152" t="s">
        <v>719</v>
      </c>
      <c r="U257" s="152" t="s">
        <v>644</v>
      </c>
      <c r="V257" s="152" t="s">
        <v>96</v>
      </c>
      <c r="W257" s="152" t="s">
        <v>643</v>
      </c>
      <c r="Y257" s="152" t="s">
        <v>637</v>
      </c>
      <c r="Z257" s="152" t="s">
        <v>642</v>
      </c>
      <c r="AA257" s="152" t="s">
        <v>641</v>
      </c>
      <c r="AB257" s="152" t="s">
        <v>640</v>
      </c>
      <c r="AC257" s="152" t="s">
        <v>708</v>
      </c>
      <c r="AD257" s="152" t="s">
        <v>638</v>
      </c>
      <c r="AE257" s="152" t="s">
        <v>637</v>
      </c>
      <c r="AF257" s="152" t="s">
        <v>637</v>
      </c>
      <c r="AG257" s="152" t="s">
        <v>637</v>
      </c>
      <c r="AH257" s="152" t="s">
        <v>636</v>
      </c>
      <c r="AI257" s="152" t="s">
        <v>655</v>
      </c>
      <c r="AJ257" s="152" t="s">
        <v>635</v>
      </c>
      <c r="AK257" s="152" t="s">
        <v>634</v>
      </c>
      <c r="AL257" s="152" t="s">
        <v>637</v>
      </c>
      <c r="AM257" s="152" t="s">
        <v>1076</v>
      </c>
      <c r="AO257" s="152" t="s">
        <v>715</v>
      </c>
      <c r="AP257" s="152" t="s">
        <v>628</v>
      </c>
      <c r="AQ257" s="152" t="s">
        <v>671</v>
      </c>
      <c r="AR257" s="152" t="s">
        <v>629</v>
      </c>
      <c r="AS257" s="152" t="s">
        <v>628</v>
      </c>
      <c r="AT257" s="152" t="s">
        <v>627</v>
      </c>
      <c r="AU257" s="152">
        <v>2016</v>
      </c>
      <c r="AV257" s="339">
        <v>7215</v>
      </c>
      <c r="AW257" s="339">
        <v>1601925</v>
      </c>
      <c r="AX257" s="152">
        <v>5</v>
      </c>
      <c r="AY257" s="152">
        <v>0</v>
      </c>
      <c r="AZ257" s="152">
        <v>75</v>
      </c>
      <c r="BA257" s="152">
        <v>1.453004304</v>
      </c>
      <c r="BB257" s="152">
        <v>28</v>
      </c>
      <c r="BC257" s="152">
        <v>90</v>
      </c>
      <c r="BD257" s="152">
        <v>2.7920001000000001</v>
      </c>
    </row>
    <row r="258" spans="1:56" x14ac:dyDescent="0.25">
      <c r="A258" s="152" t="s">
        <v>1056</v>
      </c>
      <c r="B258" s="152">
        <v>43.608938999999999</v>
      </c>
      <c r="C258" s="152">
        <v>-96.899322999999995</v>
      </c>
      <c r="D258" s="152">
        <v>40</v>
      </c>
      <c r="E258" s="152" t="s">
        <v>652</v>
      </c>
      <c r="F258" s="152">
        <v>2017</v>
      </c>
      <c r="G258" s="340">
        <v>42807.121527777781</v>
      </c>
      <c r="H258" s="152" t="s">
        <v>633</v>
      </c>
      <c r="I258" s="152" t="s">
        <v>669</v>
      </c>
      <c r="J258" s="152" t="s">
        <v>1075</v>
      </c>
      <c r="K258" s="152" t="s">
        <v>1074</v>
      </c>
      <c r="L258" s="152" t="s">
        <v>1055</v>
      </c>
      <c r="M258" s="152" t="s">
        <v>685</v>
      </c>
      <c r="N258" s="152" t="s">
        <v>637</v>
      </c>
      <c r="O258" s="152" t="s">
        <v>647</v>
      </c>
      <c r="P258" s="152" t="s">
        <v>646</v>
      </c>
      <c r="Q258" s="152" t="s">
        <v>637</v>
      </c>
      <c r="R258" s="152" t="s">
        <v>724</v>
      </c>
      <c r="S258" s="152" t="s">
        <v>637</v>
      </c>
      <c r="T258" s="152" t="s">
        <v>723</v>
      </c>
      <c r="U258" s="152" t="s">
        <v>644</v>
      </c>
      <c r="V258" s="152" t="s">
        <v>96</v>
      </c>
      <c r="W258" s="152" t="s">
        <v>643</v>
      </c>
      <c r="Y258" s="152" t="s">
        <v>637</v>
      </c>
      <c r="Z258" s="152" t="s">
        <v>642</v>
      </c>
      <c r="AA258" s="152" t="s">
        <v>665</v>
      </c>
      <c r="AB258" s="152" t="s">
        <v>640</v>
      </c>
      <c r="AC258" s="152" t="s">
        <v>723</v>
      </c>
      <c r="AD258" s="152" t="s">
        <v>691</v>
      </c>
      <c r="AE258" s="152" t="s">
        <v>637</v>
      </c>
      <c r="AF258" s="152" t="s">
        <v>637</v>
      </c>
      <c r="AG258" s="152" t="s">
        <v>637</v>
      </c>
      <c r="AH258" s="152" t="s">
        <v>677</v>
      </c>
      <c r="AI258" s="152" t="s">
        <v>655</v>
      </c>
      <c r="AJ258" s="152" t="s">
        <v>635</v>
      </c>
      <c r="AK258" s="152" t="s">
        <v>634</v>
      </c>
      <c r="AL258" s="152" t="s">
        <v>633</v>
      </c>
      <c r="AM258" s="152" t="s">
        <v>1073</v>
      </c>
      <c r="AO258" s="152" t="s">
        <v>715</v>
      </c>
      <c r="AP258" s="152" t="s">
        <v>937</v>
      </c>
      <c r="AQ258" s="152" t="s">
        <v>703</v>
      </c>
      <c r="AR258" s="152" t="s">
        <v>629</v>
      </c>
      <c r="AS258" s="152" t="s">
        <v>678</v>
      </c>
      <c r="AT258" s="152" t="s">
        <v>677</v>
      </c>
      <c r="AU258" s="152">
        <v>2017</v>
      </c>
      <c r="AV258" s="339">
        <v>7215</v>
      </c>
      <c r="AW258" s="339">
        <v>1703290</v>
      </c>
      <c r="AX258" s="152">
        <v>13</v>
      </c>
      <c r="AY258" s="152">
        <v>0</v>
      </c>
      <c r="AZ258" s="152">
        <v>75</v>
      </c>
      <c r="BA258" s="152">
        <v>1.5525542160000001</v>
      </c>
      <c r="BB258" s="152">
        <v>198</v>
      </c>
      <c r="BC258" s="152">
        <v>90</v>
      </c>
      <c r="BD258" s="152">
        <v>2.7920001000000001</v>
      </c>
    </row>
    <row r="259" spans="1:56" x14ac:dyDescent="0.25">
      <c r="A259" s="152" t="s">
        <v>1056</v>
      </c>
      <c r="B259" s="152">
        <v>43.608938999999999</v>
      </c>
      <c r="C259" s="152">
        <v>-96.898221000000007</v>
      </c>
      <c r="D259" s="152">
        <v>40</v>
      </c>
      <c r="E259" s="152" t="s">
        <v>759</v>
      </c>
      <c r="F259" s="152">
        <v>2016</v>
      </c>
      <c r="G259" s="340">
        <v>42565.527083333334</v>
      </c>
      <c r="H259" s="152" t="s">
        <v>637</v>
      </c>
      <c r="I259" s="152" t="s">
        <v>745</v>
      </c>
      <c r="J259" s="152" t="s">
        <v>650</v>
      </c>
      <c r="L259" s="152" t="s">
        <v>1055</v>
      </c>
      <c r="M259" s="152" t="s">
        <v>668</v>
      </c>
      <c r="N259" s="152" t="s">
        <v>637</v>
      </c>
      <c r="O259" s="152" t="s">
        <v>647</v>
      </c>
      <c r="P259" s="152" t="s">
        <v>628</v>
      </c>
      <c r="Q259" s="152" t="s">
        <v>637</v>
      </c>
      <c r="R259" s="152" t="s">
        <v>1072</v>
      </c>
      <c r="S259" s="152" t="s">
        <v>637</v>
      </c>
      <c r="T259" s="152" t="s">
        <v>719</v>
      </c>
      <c r="U259" s="152" t="s">
        <v>644</v>
      </c>
      <c r="V259" s="152" t="s">
        <v>96</v>
      </c>
      <c r="W259" s="152" t="s">
        <v>643</v>
      </c>
      <c r="Y259" s="152" t="s">
        <v>637</v>
      </c>
      <c r="Z259" s="152" t="s">
        <v>642</v>
      </c>
      <c r="AA259" s="152" t="s">
        <v>641</v>
      </c>
      <c r="AB259" s="152" t="s">
        <v>640</v>
      </c>
      <c r="AC259" s="152" t="s">
        <v>719</v>
      </c>
      <c r="AD259" s="152" t="s">
        <v>805</v>
      </c>
      <c r="AE259" s="152" t="s">
        <v>637</v>
      </c>
      <c r="AF259" s="152" t="s">
        <v>637</v>
      </c>
      <c r="AG259" s="152" t="s">
        <v>637</v>
      </c>
      <c r="AH259" s="152" t="s">
        <v>664</v>
      </c>
      <c r="AI259" s="152" t="s">
        <v>628</v>
      </c>
      <c r="AJ259" s="152" t="s">
        <v>635</v>
      </c>
      <c r="AK259" s="152" t="s">
        <v>634</v>
      </c>
      <c r="AL259" s="152" t="s">
        <v>637</v>
      </c>
      <c r="AM259" s="152" t="s">
        <v>1071</v>
      </c>
      <c r="AO259" s="152" t="s">
        <v>715</v>
      </c>
      <c r="AP259" s="152" t="s">
        <v>628</v>
      </c>
      <c r="AQ259" s="152" t="s">
        <v>630</v>
      </c>
      <c r="AR259" s="152" t="s">
        <v>629</v>
      </c>
      <c r="AS259" s="152" t="s">
        <v>628</v>
      </c>
      <c r="AT259" s="152" t="s">
        <v>702</v>
      </c>
      <c r="AU259" s="152">
        <v>2016</v>
      </c>
      <c r="AV259" s="339">
        <v>7215</v>
      </c>
      <c r="AW259" s="339">
        <v>1608240</v>
      </c>
      <c r="AX259" s="152">
        <v>14</v>
      </c>
      <c r="AY259" s="152">
        <v>0</v>
      </c>
      <c r="AZ259" s="152">
        <v>75</v>
      </c>
      <c r="BA259" s="152">
        <v>2.0902298340000001</v>
      </c>
      <c r="BB259" s="152">
        <v>88</v>
      </c>
      <c r="BC259" s="152">
        <v>90</v>
      </c>
      <c r="BD259" s="152">
        <v>2.7920001000000001</v>
      </c>
    </row>
    <row r="260" spans="1:56" x14ac:dyDescent="0.25">
      <c r="A260" s="152" t="s">
        <v>1056</v>
      </c>
      <c r="B260" s="152">
        <v>43.608939999999997</v>
      </c>
      <c r="C260" s="152">
        <v>-96.905394999999999</v>
      </c>
      <c r="D260" s="152">
        <v>40</v>
      </c>
      <c r="E260" s="152" t="s">
        <v>697</v>
      </c>
      <c r="F260" s="152">
        <v>2020</v>
      </c>
      <c r="G260" s="340">
        <v>44038.885416666664</v>
      </c>
      <c r="H260" s="152" t="s">
        <v>637</v>
      </c>
      <c r="I260" s="152" t="s">
        <v>696</v>
      </c>
      <c r="J260" s="152" t="s">
        <v>697</v>
      </c>
      <c r="L260" s="152" t="s">
        <v>1055</v>
      </c>
      <c r="M260" s="152" t="s">
        <v>712</v>
      </c>
      <c r="N260" s="152" t="s">
        <v>637</v>
      </c>
      <c r="O260" s="152" t="s">
        <v>647</v>
      </c>
      <c r="P260" s="152" t="s">
        <v>696</v>
      </c>
      <c r="Q260" s="152" t="s">
        <v>637</v>
      </c>
      <c r="R260" s="152" t="s">
        <v>701</v>
      </c>
      <c r="S260" s="152" t="s">
        <v>637</v>
      </c>
      <c r="T260" s="152" t="s">
        <v>701</v>
      </c>
      <c r="U260" s="152" t="s">
        <v>644</v>
      </c>
      <c r="V260" s="152" t="s">
        <v>96</v>
      </c>
      <c r="W260" s="152" t="s">
        <v>643</v>
      </c>
      <c r="Y260" s="152" t="s">
        <v>637</v>
      </c>
      <c r="Z260" s="152" t="s">
        <v>696</v>
      </c>
      <c r="AA260" s="152" t="s">
        <v>856</v>
      </c>
      <c r="AB260" s="152" t="s">
        <v>640</v>
      </c>
      <c r="AC260" s="152" t="s">
        <v>701</v>
      </c>
      <c r="AD260" s="152" t="s">
        <v>805</v>
      </c>
      <c r="AE260" s="152" t="s">
        <v>637</v>
      </c>
      <c r="AF260" s="152" t="s">
        <v>637</v>
      </c>
      <c r="AG260" s="152" t="s">
        <v>637</v>
      </c>
      <c r="AH260" s="152" t="s">
        <v>664</v>
      </c>
      <c r="AI260" s="152" t="s">
        <v>699</v>
      </c>
      <c r="AJ260" s="152" t="s">
        <v>696</v>
      </c>
      <c r="AL260" s="152" t="s">
        <v>637</v>
      </c>
      <c r="AM260" s="152" t="s">
        <v>926</v>
      </c>
      <c r="AO260" s="152" t="s">
        <v>715</v>
      </c>
      <c r="AP260" s="152" t="s">
        <v>697</v>
      </c>
      <c r="AQ260" s="152" t="s">
        <v>671</v>
      </c>
      <c r="AS260" s="152" t="s">
        <v>696</v>
      </c>
      <c r="AT260" s="152" t="s">
        <v>702</v>
      </c>
      <c r="AU260" s="152">
        <v>2020</v>
      </c>
      <c r="AV260" s="339">
        <v>7215</v>
      </c>
      <c r="AW260" s="339">
        <v>2008406</v>
      </c>
      <c r="AX260" s="152">
        <v>26</v>
      </c>
      <c r="AY260" s="152">
        <v>-1</v>
      </c>
      <c r="AZ260" s="152">
        <v>75</v>
      </c>
      <c r="BA260" s="152">
        <v>2.2385360999999999E-2</v>
      </c>
      <c r="BB260" s="152">
        <v>702</v>
      </c>
      <c r="BC260" s="152">
        <v>90</v>
      </c>
      <c r="BD260" s="152">
        <v>2.7920001000000001</v>
      </c>
    </row>
    <row r="261" spans="1:56" x14ac:dyDescent="0.25">
      <c r="A261" s="152" t="s">
        <v>1056</v>
      </c>
      <c r="B261" s="152">
        <v>43.608939999999997</v>
      </c>
      <c r="C261" s="152">
        <v>-96.905392000000006</v>
      </c>
      <c r="D261" s="152">
        <v>40</v>
      </c>
      <c r="E261" s="152" t="s">
        <v>697</v>
      </c>
      <c r="F261" s="152">
        <v>2018</v>
      </c>
      <c r="G261" s="340">
        <v>43221.815972222219</v>
      </c>
      <c r="H261" s="152" t="s">
        <v>637</v>
      </c>
      <c r="I261" s="152" t="s">
        <v>696</v>
      </c>
      <c r="J261" s="152" t="s">
        <v>697</v>
      </c>
      <c r="L261" s="152" t="s">
        <v>1055</v>
      </c>
      <c r="M261" s="152" t="s">
        <v>736</v>
      </c>
      <c r="N261" s="152" t="s">
        <v>637</v>
      </c>
      <c r="O261" s="152" t="s">
        <v>647</v>
      </c>
      <c r="P261" s="152" t="s">
        <v>696</v>
      </c>
      <c r="Q261" s="152" t="s">
        <v>637</v>
      </c>
      <c r="R261" s="152" t="s">
        <v>701</v>
      </c>
      <c r="S261" s="152" t="s">
        <v>637</v>
      </c>
      <c r="T261" s="152" t="s">
        <v>701</v>
      </c>
      <c r="U261" s="152" t="s">
        <v>644</v>
      </c>
      <c r="V261" s="152" t="s">
        <v>96</v>
      </c>
      <c r="W261" s="152" t="s">
        <v>643</v>
      </c>
      <c r="Y261" s="152" t="s">
        <v>637</v>
      </c>
      <c r="Z261" s="152" t="s">
        <v>642</v>
      </c>
      <c r="AA261" s="152" t="s">
        <v>641</v>
      </c>
      <c r="AB261" s="152" t="s">
        <v>640</v>
      </c>
      <c r="AC261" s="152" t="s">
        <v>701</v>
      </c>
      <c r="AD261" s="152" t="s">
        <v>752</v>
      </c>
      <c r="AE261" s="152" t="s">
        <v>637</v>
      </c>
      <c r="AF261" s="152" t="s">
        <v>637</v>
      </c>
      <c r="AG261" s="152" t="s">
        <v>637</v>
      </c>
      <c r="AH261" s="152" t="s">
        <v>664</v>
      </c>
      <c r="AI261" s="152" t="s">
        <v>699</v>
      </c>
      <c r="AJ261" s="152" t="s">
        <v>696</v>
      </c>
      <c r="AL261" s="152" t="s">
        <v>637</v>
      </c>
      <c r="AM261" s="152" t="s">
        <v>904</v>
      </c>
      <c r="AO261" s="152" t="s">
        <v>715</v>
      </c>
      <c r="AP261" s="152" t="s">
        <v>697</v>
      </c>
      <c r="AQ261" s="152" t="s">
        <v>671</v>
      </c>
      <c r="AS261" s="152" t="s">
        <v>696</v>
      </c>
      <c r="AT261" s="152" t="s">
        <v>702</v>
      </c>
      <c r="AU261" s="152">
        <v>2018</v>
      </c>
      <c r="AV261" s="339">
        <v>7215</v>
      </c>
      <c r="AW261" s="339">
        <v>1805145</v>
      </c>
      <c r="AX261" s="152">
        <v>1</v>
      </c>
      <c r="AY261" s="152">
        <v>-1</v>
      </c>
      <c r="AZ261" s="152">
        <v>75</v>
      </c>
      <c r="BA261" s="152">
        <v>2.2853938000000001E-2</v>
      </c>
      <c r="BB261" s="152">
        <v>377</v>
      </c>
      <c r="BC261" s="152">
        <v>90</v>
      </c>
      <c r="BD261" s="152">
        <v>2.7920001000000001</v>
      </c>
    </row>
    <row r="262" spans="1:56" x14ac:dyDescent="0.25">
      <c r="A262" s="152" t="s">
        <v>1056</v>
      </c>
      <c r="B262" s="152">
        <v>43.608941000000002</v>
      </c>
      <c r="C262" s="152">
        <v>-96.907202999999996</v>
      </c>
      <c r="D262" s="152">
        <v>40</v>
      </c>
      <c r="E262" s="152" t="s">
        <v>697</v>
      </c>
      <c r="F262" s="152">
        <v>2018</v>
      </c>
      <c r="G262" s="340">
        <v>43277.916666666664</v>
      </c>
      <c r="H262" s="152" t="s">
        <v>637</v>
      </c>
      <c r="I262" s="152" t="s">
        <v>696</v>
      </c>
      <c r="J262" s="152" t="s">
        <v>697</v>
      </c>
      <c r="L262" s="152" t="s">
        <v>1055</v>
      </c>
      <c r="M262" s="152" t="s">
        <v>736</v>
      </c>
      <c r="N262" s="152" t="s">
        <v>637</v>
      </c>
      <c r="O262" s="152" t="s">
        <v>647</v>
      </c>
      <c r="P262" s="152" t="s">
        <v>696</v>
      </c>
      <c r="Q262" s="152" t="s">
        <v>637</v>
      </c>
      <c r="R262" s="152" t="s">
        <v>701</v>
      </c>
      <c r="S262" s="152" t="s">
        <v>637</v>
      </c>
      <c r="T262" s="152" t="s">
        <v>701</v>
      </c>
      <c r="U262" s="152" t="s">
        <v>644</v>
      </c>
      <c r="V262" s="152" t="s">
        <v>96</v>
      </c>
      <c r="W262" s="152" t="s">
        <v>643</v>
      </c>
      <c r="Y262" s="152" t="s">
        <v>637</v>
      </c>
      <c r="Z262" s="152" t="s">
        <v>642</v>
      </c>
      <c r="AA262" s="152" t="s">
        <v>665</v>
      </c>
      <c r="AB262" s="152" t="s">
        <v>640</v>
      </c>
      <c r="AC262" s="152" t="s">
        <v>701</v>
      </c>
      <c r="AD262" s="152" t="s">
        <v>771</v>
      </c>
      <c r="AE262" s="152" t="s">
        <v>637</v>
      </c>
      <c r="AF262" s="152" t="s">
        <v>637</v>
      </c>
      <c r="AG262" s="152" t="s">
        <v>637</v>
      </c>
      <c r="AH262" s="152" t="s">
        <v>664</v>
      </c>
      <c r="AI262" s="152" t="s">
        <v>699</v>
      </c>
      <c r="AJ262" s="152" t="s">
        <v>696</v>
      </c>
      <c r="AL262" s="152" t="s">
        <v>637</v>
      </c>
      <c r="AM262" s="152" t="s">
        <v>876</v>
      </c>
      <c r="AO262" s="152" t="s">
        <v>631</v>
      </c>
      <c r="AP262" s="152" t="s">
        <v>697</v>
      </c>
      <c r="AQ262" s="152" t="s">
        <v>671</v>
      </c>
      <c r="AS262" s="152" t="s">
        <v>696</v>
      </c>
      <c r="AT262" s="152" t="s">
        <v>702</v>
      </c>
      <c r="AU262" s="152">
        <v>2018</v>
      </c>
      <c r="AV262" s="339">
        <v>7215</v>
      </c>
      <c r="AW262" s="339">
        <v>1807416</v>
      </c>
      <c r="AX262" s="152">
        <v>26</v>
      </c>
      <c r="AY262" s="152">
        <v>-1</v>
      </c>
      <c r="AZ262" s="152">
        <v>75</v>
      </c>
      <c r="BA262" s="152">
        <v>0.23820976799999999</v>
      </c>
      <c r="BB262" s="152">
        <v>411</v>
      </c>
      <c r="BC262" s="152">
        <v>90</v>
      </c>
      <c r="BD262" s="152">
        <v>2.7920001000000001</v>
      </c>
    </row>
    <row r="263" spans="1:56" x14ac:dyDescent="0.25">
      <c r="A263" s="152" t="s">
        <v>1056</v>
      </c>
      <c r="B263" s="152">
        <v>43.608941000000002</v>
      </c>
      <c r="C263" s="152">
        <v>-96.903892999999997</v>
      </c>
      <c r="D263" s="152">
        <v>40</v>
      </c>
      <c r="E263" s="152" t="s">
        <v>759</v>
      </c>
      <c r="F263" s="152">
        <v>2018</v>
      </c>
      <c r="G263" s="340">
        <v>43189.791666666664</v>
      </c>
      <c r="H263" s="152" t="s">
        <v>637</v>
      </c>
      <c r="I263" s="152" t="s">
        <v>745</v>
      </c>
      <c r="J263" s="152" t="s">
        <v>660</v>
      </c>
      <c r="K263" s="152" t="s">
        <v>743</v>
      </c>
      <c r="L263" s="152" t="s">
        <v>1055</v>
      </c>
      <c r="M263" s="152" t="s">
        <v>648</v>
      </c>
      <c r="N263" s="152" t="s">
        <v>633</v>
      </c>
      <c r="O263" s="152" t="s">
        <v>647</v>
      </c>
      <c r="P263" s="152" t="s">
        <v>1070</v>
      </c>
      <c r="Q263" s="152" t="s">
        <v>637</v>
      </c>
      <c r="R263" s="152" t="s">
        <v>656</v>
      </c>
      <c r="S263" s="152" t="s">
        <v>637</v>
      </c>
      <c r="T263" s="152" t="s">
        <v>656</v>
      </c>
      <c r="U263" s="152" t="s">
        <v>644</v>
      </c>
      <c r="V263" s="152" t="s">
        <v>96</v>
      </c>
      <c r="W263" s="152" t="s">
        <v>643</v>
      </c>
      <c r="Y263" s="152" t="s">
        <v>637</v>
      </c>
      <c r="Z263" s="152" t="s">
        <v>642</v>
      </c>
      <c r="AA263" s="152" t="s">
        <v>856</v>
      </c>
      <c r="AB263" s="152" t="s">
        <v>740</v>
      </c>
      <c r="AC263" s="152" t="s">
        <v>656</v>
      </c>
      <c r="AD263" s="152" t="s">
        <v>691</v>
      </c>
      <c r="AE263" s="152" t="s">
        <v>637</v>
      </c>
      <c r="AF263" s="152" t="s">
        <v>637</v>
      </c>
      <c r="AG263" s="152" t="s">
        <v>637</v>
      </c>
      <c r="AH263" s="152" t="s">
        <v>664</v>
      </c>
      <c r="AI263" s="152" t="s">
        <v>628</v>
      </c>
      <c r="AJ263" s="152" t="s">
        <v>635</v>
      </c>
      <c r="AK263" s="152" t="s">
        <v>634</v>
      </c>
      <c r="AL263" s="152" t="s">
        <v>637</v>
      </c>
      <c r="AM263" s="152" t="s">
        <v>822</v>
      </c>
      <c r="AO263" s="152" t="s">
        <v>715</v>
      </c>
      <c r="AP263" s="152" t="s">
        <v>628</v>
      </c>
      <c r="AQ263" s="152" t="s">
        <v>755</v>
      </c>
      <c r="AR263" s="152" t="s">
        <v>798</v>
      </c>
      <c r="AS263" s="152" t="s">
        <v>628</v>
      </c>
      <c r="AT263" s="152" t="s">
        <v>702</v>
      </c>
      <c r="AU263" s="152">
        <v>2018</v>
      </c>
      <c r="AV263" s="339">
        <v>7215</v>
      </c>
      <c r="AW263" s="339">
        <v>1804314</v>
      </c>
      <c r="AX263" s="152">
        <v>30</v>
      </c>
      <c r="AY263" s="152">
        <v>0</v>
      </c>
      <c r="AZ263" s="152">
        <v>75</v>
      </c>
      <c r="BA263" s="152">
        <v>0.10086574800000001</v>
      </c>
      <c r="BB263" s="152">
        <v>364</v>
      </c>
      <c r="BC263" s="152">
        <v>90</v>
      </c>
      <c r="BD263" s="152">
        <v>2.7920001000000001</v>
      </c>
    </row>
    <row r="264" spans="1:56" x14ac:dyDescent="0.25">
      <c r="A264" s="152" t="s">
        <v>1056</v>
      </c>
      <c r="B264" s="152">
        <v>43.608941000000002</v>
      </c>
      <c r="C264" s="152">
        <v>-96.899279000000007</v>
      </c>
      <c r="D264" s="152">
        <v>40</v>
      </c>
      <c r="E264" s="152" t="s">
        <v>652</v>
      </c>
      <c r="F264" s="152">
        <v>2016</v>
      </c>
      <c r="G264" s="340">
        <v>42535.302083333336</v>
      </c>
      <c r="H264" s="152" t="s">
        <v>637</v>
      </c>
      <c r="I264" s="152" t="s">
        <v>669</v>
      </c>
      <c r="J264" s="152" t="s">
        <v>650</v>
      </c>
      <c r="L264" s="152" t="s">
        <v>1055</v>
      </c>
      <c r="M264" s="152" t="s">
        <v>736</v>
      </c>
      <c r="N264" s="152" t="s">
        <v>637</v>
      </c>
      <c r="O264" s="152" t="s">
        <v>647</v>
      </c>
      <c r="P264" s="152" t="s">
        <v>646</v>
      </c>
      <c r="Q264" s="152" t="s">
        <v>637</v>
      </c>
      <c r="R264" s="152" t="s">
        <v>1069</v>
      </c>
      <c r="S264" s="152" t="s">
        <v>637</v>
      </c>
      <c r="T264" s="152" t="s">
        <v>956</v>
      </c>
      <c r="U264" s="152" t="s">
        <v>644</v>
      </c>
      <c r="V264" s="152" t="s">
        <v>96</v>
      </c>
      <c r="W264" s="152" t="s">
        <v>643</v>
      </c>
      <c r="Y264" s="152" t="s">
        <v>637</v>
      </c>
      <c r="Z264" s="152" t="s">
        <v>642</v>
      </c>
      <c r="AA264" s="152" t="s">
        <v>641</v>
      </c>
      <c r="AB264" s="152" t="s">
        <v>640</v>
      </c>
      <c r="AC264" s="152" t="s">
        <v>682</v>
      </c>
      <c r="AD264" s="152" t="s">
        <v>771</v>
      </c>
      <c r="AE264" s="152" t="s">
        <v>637</v>
      </c>
      <c r="AF264" s="152" t="s">
        <v>637</v>
      </c>
      <c r="AG264" s="152" t="s">
        <v>637</v>
      </c>
      <c r="AH264" s="152" t="s">
        <v>762</v>
      </c>
      <c r="AI264" s="152" t="s">
        <v>628</v>
      </c>
      <c r="AJ264" s="152" t="s">
        <v>635</v>
      </c>
      <c r="AK264" s="152" t="s">
        <v>824</v>
      </c>
      <c r="AL264" s="152" t="s">
        <v>633</v>
      </c>
      <c r="AM264" s="152" t="s">
        <v>1068</v>
      </c>
      <c r="AO264" s="152" t="s">
        <v>715</v>
      </c>
      <c r="AP264" s="152" t="s">
        <v>628</v>
      </c>
      <c r="AQ264" s="152" t="s">
        <v>630</v>
      </c>
      <c r="AR264" s="152" t="s">
        <v>629</v>
      </c>
      <c r="AS264" s="152" t="s">
        <v>628</v>
      </c>
      <c r="AT264" s="152" t="s">
        <v>793</v>
      </c>
      <c r="AU264" s="152">
        <v>2016</v>
      </c>
      <c r="AV264" s="339">
        <v>7215</v>
      </c>
      <c r="AW264" s="339">
        <v>1606906</v>
      </c>
      <c r="AX264" s="152">
        <v>14</v>
      </c>
      <c r="AY264" s="152">
        <v>0</v>
      </c>
      <c r="AZ264" s="152">
        <v>75</v>
      </c>
      <c r="BA264" s="152">
        <v>0.84517460099999997</v>
      </c>
      <c r="BB264" s="152">
        <v>73</v>
      </c>
      <c r="BC264" s="152">
        <v>90</v>
      </c>
      <c r="BD264" s="152">
        <v>2.7920001000000001</v>
      </c>
    </row>
    <row r="265" spans="1:56" x14ac:dyDescent="0.25">
      <c r="A265" s="152" t="s">
        <v>1056</v>
      </c>
      <c r="B265" s="152">
        <v>43.608941000000002</v>
      </c>
      <c r="C265" s="152">
        <v>-96.898257000000001</v>
      </c>
      <c r="D265" s="152">
        <v>40</v>
      </c>
      <c r="E265" s="152" t="s">
        <v>652</v>
      </c>
      <c r="F265" s="152">
        <v>2020</v>
      </c>
      <c r="G265" s="340">
        <v>44101.000694444447</v>
      </c>
      <c r="H265" s="152" t="s">
        <v>633</v>
      </c>
      <c r="I265" s="152" t="s">
        <v>745</v>
      </c>
      <c r="J265" s="152" t="s">
        <v>1067</v>
      </c>
      <c r="K265" s="152" t="s">
        <v>1066</v>
      </c>
      <c r="L265" s="152" t="s">
        <v>1055</v>
      </c>
      <c r="M265" s="152" t="s">
        <v>712</v>
      </c>
      <c r="N265" s="152" t="s">
        <v>637</v>
      </c>
      <c r="O265" s="152" t="s">
        <v>647</v>
      </c>
      <c r="P265" s="152" t="s">
        <v>1065</v>
      </c>
      <c r="Q265" s="152" t="s">
        <v>637</v>
      </c>
      <c r="R265" s="152" t="s">
        <v>733</v>
      </c>
      <c r="S265" s="152" t="s">
        <v>637</v>
      </c>
      <c r="T265" s="152" t="s">
        <v>719</v>
      </c>
      <c r="U265" s="152" t="s">
        <v>644</v>
      </c>
      <c r="V265" s="152" t="s">
        <v>96</v>
      </c>
      <c r="W265" s="152" t="s">
        <v>643</v>
      </c>
      <c r="Y265" s="152" t="s">
        <v>637</v>
      </c>
      <c r="Z265" s="152" t="s">
        <v>642</v>
      </c>
      <c r="AA265" s="152" t="s">
        <v>665</v>
      </c>
      <c r="AB265" s="152" t="s">
        <v>640</v>
      </c>
      <c r="AC265" s="152" t="s">
        <v>719</v>
      </c>
      <c r="AD265" s="152" t="s">
        <v>706</v>
      </c>
      <c r="AE265" s="152" t="s">
        <v>637</v>
      </c>
      <c r="AF265" s="152" t="s">
        <v>637</v>
      </c>
      <c r="AG265" s="152" t="s">
        <v>637</v>
      </c>
      <c r="AH265" s="152" t="s">
        <v>664</v>
      </c>
      <c r="AI265" s="152" t="s">
        <v>899</v>
      </c>
      <c r="AJ265" s="152" t="s">
        <v>635</v>
      </c>
      <c r="AK265" s="152" t="s">
        <v>634</v>
      </c>
      <c r="AL265" s="152" t="s">
        <v>637</v>
      </c>
      <c r="AM265" s="152" t="s">
        <v>1064</v>
      </c>
      <c r="AO265" s="152" t="s">
        <v>715</v>
      </c>
      <c r="AP265" s="152" t="s">
        <v>628</v>
      </c>
      <c r="AQ265" s="152" t="s">
        <v>630</v>
      </c>
      <c r="AR265" s="152" t="s">
        <v>1063</v>
      </c>
      <c r="AS265" s="152" t="s">
        <v>628</v>
      </c>
      <c r="AT265" s="152" t="s">
        <v>702</v>
      </c>
      <c r="AU265" s="152">
        <v>2020</v>
      </c>
      <c r="AV265" s="339">
        <v>7215</v>
      </c>
      <c r="AW265" s="339">
        <v>2012227</v>
      </c>
      <c r="AX265" s="152">
        <v>27</v>
      </c>
      <c r="AY265" s="152">
        <v>0</v>
      </c>
      <c r="AZ265" s="152">
        <v>75</v>
      </c>
      <c r="BA265" s="152">
        <v>1.3435759979999999</v>
      </c>
      <c r="BB265" s="152">
        <v>728</v>
      </c>
      <c r="BC265" s="152">
        <v>90</v>
      </c>
      <c r="BD265" s="152">
        <v>2.7920001000000001</v>
      </c>
    </row>
    <row r="266" spans="1:56" x14ac:dyDescent="0.25">
      <c r="A266" s="152" t="s">
        <v>1056</v>
      </c>
      <c r="B266" s="152">
        <v>43.608941999999999</v>
      </c>
      <c r="C266" s="152">
        <v>-96.898909000000003</v>
      </c>
      <c r="D266" s="152">
        <v>40</v>
      </c>
      <c r="E266" s="152" t="s">
        <v>652</v>
      </c>
      <c r="F266" s="152">
        <v>2016</v>
      </c>
      <c r="G266" s="340">
        <v>42673.131249999999</v>
      </c>
      <c r="H266" s="152" t="s">
        <v>637</v>
      </c>
      <c r="I266" s="152" t="s">
        <v>713</v>
      </c>
      <c r="J266" s="152" t="s">
        <v>650</v>
      </c>
      <c r="L266" s="152" t="s">
        <v>1055</v>
      </c>
      <c r="M266" s="152" t="s">
        <v>712</v>
      </c>
      <c r="N266" s="152" t="s">
        <v>637</v>
      </c>
      <c r="O266" s="152" t="s">
        <v>647</v>
      </c>
      <c r="P266" s="152" t="s">
        <v>628</v>
      </c>
      <c r="Q266" s="152" t="s">
        <v>637</v>
      </c>
      <c r="R266" s="152" t="s">
        <v>701</v>
      </c>
      <c r="S266" s="152" t="s">
        <v>637</v>
      </c>
      <c r="T266" s="152" t="s">
        <v>701</v>
      </c>
      <c r="U266" s="152" t="s">
        <v>644</v>
      </c>
      <c r="V266" s="152" t="s">
        <v>96</v>
      </c>
      <c r="W266" s="152" t="s">
        <v>643</v>
      </c>
      <c r="Y266" s="152" t="s">
        <v>637</v>
      </c>
      <c r="Z266" s="152" t="s">
        <v>642</v>
      </c>
      <c r="AA266" s="152" t="s">
        <v>665</v>
      </c>
      <c r="AB266" s="152" t="s">
        <v>640</v>
      </c>
      <c r="AC266" s="152" t="s">
        <v>701</v>
      </c>
      <c r="AD266" s="152" t="s">
        <v>700</v>
      </c>
      <c r="AE266" s="152" t="s">
        <v>637</v>
      </c>
      <c r="AF266" s="152" t="s">
        <v>637</v>
      </c>
      <c r="AG266" s="152" t="s">
        <v>637</v>
      </c>
      <c r="AH266" s="152" t="s">
        <v>664</v>
      </c>
      <c r="AI266" s="152" t="s">
        <v>628</v>
      </c>
      <c r="AJ266" s="152" t="s">
        <v>696</v>
      </c>
      <c r="AK266" s="152" t="s">
        <v>634</v>
      </c>
      <c r="AL266" s="152" t="s">
        <v>637</v>
      </c>
      <c r="AM266" s="152" t="s">
        <v>1062</v>
      </c>
      <c r="AO266" s="152" t="s">
        <v>715</v>
      </c>
      <c r="AP266" s="152" t="s">
        <v>628</v>
      </c>
      <c r="AQ266" s="152" t="s">
        <v>671</v>
      </c>
      <c r="AR266" s="152" t="s">
        <v>629</v>
      </c>
      <c r="AS266" s="152" t="s">
        <v>628</v>
      </c>
      <c r="AT266" s="152" t="s">
        <v>702</v>
      </c>
      <c r="AU266" s="152">
        <v>2016</v>
      </c>
      <c r="AV266" s="339">
        <v>7215</v>
      </c>
      <c r="AW266" s="339">
        <v>1615838</v>
      </c>
      <c r="AX266" s="152">
        <v>30</v>
      </c>
      <c r="AY266" s="152">
        <v>-1</v>
      </c>
      <c r="AZ266" s="152">
        <v>75</v>
      </c>
      <c r="BA266" s="152">
        <v>0.66143535200000003</v>
      </c>
      <c r="BB266" s="152">
        <v>154</v>
      </c>
      <c r="BC266" s="152">
        <v>90</v>
      </c>
      <c r="BD266" s="152">
        <v>2.7920001000000001</v>
      </c>
    </row>
    <row r="267" spans="1:56" x14ac:dyDescent="0.25">
      <c r="A267" s="152" t="s">
        <v>1056</v>
      </c>
      <c r="B267" s="152">
        <v>43.608941999999999</v>
      </c>
      <c r="C267" s="152">
        <v>-96.898291</v>
      </c>
      <c r="D267" s="152">
        <v>40</v>
      </c>
      <c r="E267" s="152" t="s">
        <v>697</v>
      </c>
      <c r="F267" s="152">
        <v>2018</v>
      </c>
      <c r="G267" s="340">
        <v>43250.609027777777</v>
      </c>
      <c r="H267" s="152" t="s">
        <v>637</v>
      </c>
      <c r="I267" s="152" t="s">
        <v>696</v>
      </c>
      <c r="J267" s="152" t="s">
        <v>697</v>
      </c>
      <c r="L267" s="152" t="s">
        <v>1055</v>
      </c>
      <c r="M267" s="152" t="s">
        <v>676</v>
      </c>
      <c r="N267" s="152" t="s">
        <v>637</v>
      </c>
      <c r="O267" s="152" t="s">
        <v>647</v>
      </c>
      <c r="P267" s="152" t="s">
        <v>696</v>
      </c>
      <c r="Q267" s="152" t="s">
        <v>637</v>
      </c>
      <c r="R267" s="152" t="s">
        <v>701</v>
      </c>
      <c r="S267" s="152" t="s">
        <v>637</v>
      </c>
      <c r="T267" s="152" t="s">
        <v>701</v>
      </c>
      <c r="U267" s="152" t="s">
        <v>644</v>
      </c>
      <c r="V267" s="152" t="s">
        <v>96</v>
      </c>
      <c r="W267" s="152" t="s">
        <v>643</v>
      </c>
      <c r="Y267" s="152" t="s">
        <v>637</v>
      </c>
      <c r="Z267" s="152" t="s">
        <v>642</v>
      </c>
      <c r="AA267" s="152" t="s">
        <v>641</v>
      </c>
      <c r="AB267" s="152" t="s">
        <v>640</v>
      </c>
      <c r="AC267" s="152" t="s">
        <v>701</v>
      </c>
      <c r="AD267" s="152" t="s">
        <v>752</v>
      </c>
      <c r="AE267" s="152" t="s">
        <v>637</v>
      </c>
      <c r="AF267" s="152" t="s">
        <v>637</v>
      </c>
      <c r="AG267" s="152" t="s">
        <v>637</v>
      </c>
      <c r="AH267" s="152" t="s">
        <v>664</v>
      </c>
      <c r="AI267" s="152" t="s">
        <v>699</v>
      </c>
      <c r="AJ267" s="152" t="s">
        <v>696</v>
      </c>
      <c r="AL267" s="152" t="s">
        <v>637</v>
      </c>
      <c r="AM267" s="152" t="s">
        <v>1061</v>
      </c>
      <c r="AO267" s="152" t="s">
        <v>715</v>
      </c>
      <c r="AP267" s="152" t="s">
        <v>697</v>
      </c>
      <c r="AQ267" s="152" t="s">
        <v>703</v>
      </c>
      <c r="AS267" s="152" t="s">
        <v>696</v>
      </c>
      <c r="AT267" s="152" t="s">
        <v>702</v>
      </c>
      <c r="AU267" s="152">
        <v>2018</v>
      </c>
      <c r="AV267" s="339">
        <v>7215</v>
      </c>
      <c r="AW267" s="339">
        <v>1806129</v>
      </c>
      <c r="AX267" s="152">
        <v>30</v>
      </c>
      <c r="AY267" s="152">
        <v>-1</v>
      </c>
      <c r="AZ267" s="152">
        <v>75</v>
      </c>
      <c r="BA267" s="152">
        <v>0.96261091499999996</v>
      </c>
      <c r="BB267" s="152">
        <v>400</v>
      </c>
      <c r="BC267" s="152">
        <v>90</v>
      </c>
      <c r="BD267" s="152">
        <v>2.7920001000000001</v>
      </c>
    </row>
    <row r="268" spans="1:56" x14ac:dyDescent="0.25">
      <c r="A268" s="152" t="s">
        <v>1056</v>
      </c>
      <c r="B268" s="152">
        <v>43.608950999999998</v>
      </c>
      <c r="C268" s="152">
        <v>-96.897228999999996</v>
      </c>
      <c r="D268" s="152">
        <v>40</v>
      </c>
      <c r="E268" s="152" t="s">
        <v>697</v>
      </c>
      <c r="F268" s="152">
        <v>2020</v>
      </c>
      <c r="G268" s="340">
        <v>44126.805555555555</v>
      </c>
      <c r="H268" s="152" t="s">
        <v>637</v>
      </c>
      <c r="I268" s="152" t="s">
        <v>696</v>
      </c>
      <c r="J268" s="152" t="s">
        <v>697</v>
      </c>
      <c r="L268" s="152" t="s">
        <v>1055</v>
      </c>
      <c r="M268" s="152" t="s">
        <v>668</v>
      </c>
      <c r="N268" s="152" t="s">
        <v>637</v>
      </c>
      <c r="O268" s="152" t="s">
        <v>647</v>
      </c>
      <c r="P268" s="152" t="s">
        <v>696</v>
      </c>
      <c r="Q268" s="152" t="s">
        <v>637</v>
      </c>
      <c r="R268" s="152" t="s">
        <v>701</v>
      </c>
      <c r="S268" s="152" t="s">
        <v>637</v>
      </c>
      <c r="T268" s="152" t="s">
        <v>701</v>
      </c>
      <c r="U268" s="152" t="s">
        <v>644</v>
      </c>
      <c r="V268" s="152" t="s">
        <v>96</v>
      </c>
      <c r="W268" s="152" t="s">
        <v>643</v>
      </c>
      <c r="Y268" s="152" t="s">
        <v>637</v>
      </c>
      <c r="Z268" s="152" t="s">
        <v>696</v>
      </c>
      <c r="AA268" s="152" t="s">
        <v>665</v>
      </c>
      <c r="AB268" s="152" t="s">
        <v>640</v>
      </c>
      <c r="AC268" s="152" t="s">
        <v>701</v>
      </c>
      <c r="AD268" s="152" t="s">
        <v>700</v>
      </c>
      <c r="AE268" s="152" t="s">
        <v>637</v>
      </c>
      <c r="AF268" s="152" t="s">
        <v>637</v>
      </c>
      <c r="AG268" s="152" t="s">
        <v>637</v>
      </c>
      <c r="AH268" s="152" t="s">
        <v>664</v>
      </c>
      <c r="AI268" s="152" t="s">
        <v>699</v>
      </c>
      <c r="AJ268" s="152" t="s">
        <v>696</v>
      </c>
      <c r="AL268" s="152" t="s">
        <v>637</v>
      </c>
      <c r="AM268" s="152" t="s">
        <v>1060</v>
      </c>
      <c r="AO268" s="152" t="s">
        <v>715</v>
      </c>
      <c r="AP268" s="152" t="s">
        <v>697</v>
      </c>
      <c r="AQ268" s="152" t="s">
        <v>630</v>
      </c>
      <c r="AS268" s="152" t="s">
        <v>696</v>
      </c>
      <c r="AT268" s="152" t="s">
        <v>702</v>
      </c>
      <c r="AU268" s="152">
        <v>2020</v>
      </c>
      <c r="AV268" s="339">
        <v>7215</v>
      </c>
      <c r="AW268" s="339">
        <v>2013032</v>
      </c>
      <c r="AX268" s="152">
        <v>22</v>
      </c>
      <c r="AY268" s="152">
        <v>-1</v>
      </c>
      <c r="AZ268" s="152">
        <v>75</v>
      </c>
      <c r="BA268" s="152">
        <v>1.8028179070000001</v>
      </c>
      <c r="BB268" s="152">
        <v>735</v>
      </c>
      <c r="BC268" s="152">
        <v>90</v>
      </c>
      <c r="BD268" s="152">
        <v>2.7920001000000001</v>
      </c>
    </row>
    <row r="269" spans="1:56" x14ac:dyDescent="0.25">
      <c r="A269" s="152" t="s">
        <v>1056</v>
      </c>
      <c r="B269" s="152">
        <v>43.608955999999999</v>
      </c>
      <c r="C269" s="152">
        <v>-96.896947999999995</v>
      </c>
      <c r="D269" s="152">
        <v>40</v>
      </c>
      <c r="E269" s="152" t="s">
        <v>652</v>
      </c>
      <c r="F269" s="152">
        <v>2020</v>
      </c>
      <c r="G269" s="340">
        <v>43848.707638888889</v>
      </c>
      <c r="H269" s="152" t="s">
        <v>637</v>
      </c>
      <c r="I269" s="152" t="s">
        <v>669</v>
      </c>
      <c r="J269" s="152" t="s">
        <v>650</v>
      </c>
      <c r="L269" s="152" t="s">
        <v>1055</v>
      </c>
      <c r="M269" s="152" t="s">
        <v>693</v>
      </c>
      <c r="N269" s="152" t="s">
        <v>637</v>
      </c>
      <c r="O269" s="152" t="s">
        <v>647</v>
      </c>
      <c r="P269" s="152" t="s">
        <v>1059</v>
      </c>
      <c r="Q269" s="152" t="s">
        <v>637</v>
      </c>
      <c r="R269" s="152" t="s">
        <v>892</v>
      </c>
      <c r="S269" s="152" t="s">
        <v>637</v>
      </c>
      <c r="T269" s="152" t="s">
        <v>777</v>
      </c>
      <c r="U269" s="152" t="s">
        <v>644</v>
      </c>
      <c r="V269" s="152" t="s">
        <v>96</v>
      </c>
      <c r="W269" s="152" t="s">
        <v>643</v>
      </c>
      <c r="Y269" s="152" t="s">
        <v>637</v>
      </c>
      <c r="Z269" s="152" t="s">
        <v>642</v>
      </c>
      <c r="AA269" s="152" t="s">
        <v>641</v>
      </c>
      <c r="AB269" s="152" t="s">
        <v>640</v>
      </c>
      <c r="AC269" s="152" t="s">
        <v>777</v>
      </c>
      <c r="AD269" s="152" t="s">
        <v>638</v>
      </c>
      <c r="AE269" s="152" t="s">
        <v>637</v>
      </c>
      <c r="AF269" s="152" t="s">
        <v>633</v>
      </c>
      <c r="AG269" s="152" t="s">
        <v>637</v>
      </c>
      <c r="AH269" s="152" t="s">
        <v>636</v>
      </c>
      <c r="AI269" s="152" t="s">
        <v>628</v>
      </c>
      <c r="AJ269" s="152" t="s">
        <v>680</v>
      </c>
      <c r="AK269" s="152" t="s">
        <v>634</v>
      </c>
      <c r="AL269" s="152" t="s">
        <v>633</v>
      </c>
      <c r="AM269" s="152" t="s">
        <v>1058</v>
      </c>
      <c r="AO269" s="152" t="s">
        <v>715</v>
      </c>
      <c r="AP269" s="152" t="s">
        <v>628</v>
      </c>
      <c r="AQ269" s="152" t="s">
        <v>769</v>
      </c>
      <c r="AR269" s="152" t="s">
        <v>629</v>
      </c>
      <c r="AS269" s="152" t="s">
        <v>678</v>
      </c>
      <c r="AT269" s="152" t="s">
        <v>689</v>
      </c>
      <c r="AU269" s="152">
        <v>2020</v>
      </c>
      <c r="AV269" s="339">
        <v>7215</v>
      </c>
      <c r="AW269" s="339">
        <v>2001000</v>
      </c>
      <c r="AX269" s="152">
        <v>18</v>
      </c>
      <c r="AY269" s="152">
        <v>0</v>
      </c>
      <c r="AZ269" s="152">
        <v>75</v>
      </c>
      <c r="BA269" s="152">
        <v>3.4895872080000001</v>
      </c>
      <c r="BB269" s="152">
        <v>653</v>
      </c>
      <c r="BC269" s="152">
        <v>90</v>
      </c>
      <c r="BD269" s="152">
        <v>2.7920001000000001</v>
      </c>
    </row>
    <row r="270" spans="1:56" x14ac:dyDescent="0.25">
      <c r="A270" s="152" t="s">
        <v>1056</v>
      </c>
      <c r="B270" s="152">
        <v>43.608956999999997</v>
      </c>
      <c r="C270" s="152">
        <v>-96.896569999999997</v>
      </c>
      <c r="D270" s="152">
        <v>40</v>
      </c>
      <c r="E270" s="152" t="s">
        <v>652</v>
      </c>
      <c r="F270" s="152">
        <v>2018</v>
      </c>
      <c r="G270" s="340">
        <v>43460.63958333333</v>
      </c>
      <c r="H270" s="152" t="s">
        <v>637</v>
      </c>
      <c r="I270" s="152" t="s">
        <v>713</v>
      </c>
      <c r="J270" s="152" t="s">
        <v>650</v>
      </c>
      <c r="L270" s="152" t="s">
        <v>1055</v>
      </c>
      <c r="M270" s="152" t="s">
        <v>676</v>
      </c>
      <c r="N270" s="152" t="s">
        <v>637</v>
      </c>
      <c r="O270" s="152" t="s">
        <v>647</v>
      </c>
      <c r="P270" s="152" t="s">
        <v>820</v>
      </c>
      <c r="Q270" s="152" t="s">
        <v>637</v>
      </c>
      <c r="R270" s="152" t="s">
        <v>1020</v>
      </c>
      <c r="S270" s="152" t="s">
        <v>637</v>
      </c>
      <c r="T270" s="152" t="s">
        <v>682</v>
      </c>
      <c r="U270" s="152" t="s">
        <v>644</v>
      </c>
      <c r="V270" s="152" t="s">
        <v>96</v>
      </c>
      <c r="W270" s="152" t="s">
        <v>643</v>
      </c>
      <c r="Y270" s="152" t="s">
        <v>637</v>
      </c>
      <c r="Z270" s="152" t="s">
        <v>642</v>
      </c>
      <c r="AA270" s="152" t="s">
        <v>641</v>
      </c>
      <c r="AB270" s="152" t="s">
        <v>640</v>
      </c>
      <c r="AC270" s="152" t="s">
        <v>682</v>
      </c>
      <c r="AD270" s="152" t="s">
        <v>681</v>
      </c>
      <c r="AE270" s="152" t="s">
        <v>637</v>
      </c>
      <c r="AF270" s="152" t="s">
        <v>637</v>
      </c>
      <c r="AG270" s="152" t="s">
        <v>637</v>
      </c>
      <c r="AH270" s="152" t="s">
        <v>808</v>
      </c>
      <c r="AI270" s="152" t="s">
        <v>628</v>
      </c>
      <c r="AJ270" s="152" t="s">
        <v>635</v>
      </c>
      <c r="AK270" s="152" t="s">
        <v>634</v>
      </c>
      <c r="AL270" s="152" t="s">
        <v>633</v>
      </c>
      <c r="AM270" s="152" t="s">
        <v>1057</v>
      </c>
      <c r="AO270" s="152" t="s">
        <v>715</v>
      </c>
      <c r="AP270" s="152" t="s">
        <v>628</v>
      </c>
      <c r="AQ270" s="152" t="s">
        <v>630</v>
      </c>
      <c r="AR270" s="152" t="s">
        <v>629</v>
      </c>
      <c r="AS270" s="152" t="s">
        <v>628</v>
      </c>
      <c r="AT270" s="152" t="s">
        <v>797</v>
      </c>
      <c r="AU270" s="152">
        <v>2018</v>
      </c>
      <c r="AV270" s="339">
        <v>7215</v>
      </c>
      <c r="AW270" s="339">
        <v>1817249</v>
      </c>
      <c r="AX270" s="152">
        <v>26</v>
      </c>
      <c r="AY270" s="152">
        <v>0</v>
      </c>
      <c r="AZ270" s="152">
        <v>75</v>
      </c>
      <c r="BA270" s="152">
        <v>3.6720582880000001</v>
      </c>
      <c r="BB270" s="152">
        <v>500</v>
      </c>
      <c r="BC270" s="152">
        <v>90</v>
      </c>
      <c r="BD270" s="152">
        <v>2.7920001000000001</v>
      </c>
    </row>
    <row r="271" spans="1:56" x14ac:dyDescent="0.25">
      <c r="A271" s="152" t="s">
        <v>1056</v>
      </c>
      <c r="B271" s="152">
        <v>43.608964</v>
      </c>
      <c r="C271" s="152">
        <v>-96.895026999999999</v>
      </c>
      <c r="D271" s="152">
        <v>40</v>
      </c>
      <c r="E271" s="152" t="s">
        <v>759</v>
      </c>
      <c r="F271" s="152">
        <v>2016</v>
      </c>
      <c r="G271" s="340">
        <v>42714.792361111111</v>
      </c>
      <c r="H271" s="152" t="s">
        <v>637</v>
      </c>
      <c r="I271" s="152" t="s">
        <v>713</v>
      </c>
      <c r="J271" s="152" t="s">
        <v>660</v>
      </c>
      <c r="K271" s="152" t="s">
        <v>659</v>
      </c>
      <c r="L271" s="152" t="s">
        <v>1055</v>
      </c>
      <c r="M271" s="152" t="s">
        <v>693</v>
      </c>
      <c r="N271" s="152" t="s">
        <v>637</v>
      </c>
      <c r="O271" s="152" t="s">
        <v>647</v>
      </c>
      <c r="P271" s="152" t="s">
        <v>646</v>
      </c>
      <c r="Q271" s="152" t="s">
        <v>637</v>
      </c>
      <c r="R271" s="152" t="s">
        <v>1054</v>
      </c>
      <c r="S271" s="152" t="s">
        <v>637</v>
      </c>
      <c r="T271" s="152" t="s">
        <v>723</v>
      </c>
      <c r="U271" s="152" t="s">
        <v>644</v>
      </c>
      <c r="V271" s="152" t="s">
        <v>96</v>
      </c>
      <c r="W271" s="152" t="s">
        <v>643</v>
      </c>
      <c r="Y271" s="152" t="s">
        <v>637</v>
      </c>
      <c r="Z271" s="152" t="s">
        <v>642</v>
      </c>
      <c r="AA271" s="152" t="s">
        <v>665</v>
      </c>
      <c r="AB271" s="152" t="s">
        <v>640</v>
      </c>
      <c r="AC271" s="152" t="s">
        <v>656</v>
      </c>
      <c r="AD271" s="152" t="s">
        <v>681</v>
      </c>
      <c r="AE271" s="152" t="s">
        <v>637</v>
      </c>
      <c r="AF271" s="152" t="s">
        <v>637</v>
      </c>
      <c r="AG271" s="152" t="s">
        <v>637</v>
      </c>
      <c r="AH271" s="152" t="s">
        <v>636</v>
      </c>
      <c r="AI271" s="152" t="s">
        <v>655</v>
      </c>
      <c r="AJ271" s="152" t="s">
        <v>635</v>
      </c>
      <c r="AK271" s="152" t="s">
        <v>634</v>
      </c>
      <c r="AL271" s="152" t="s">
        <v>633</v>
      </c>
      <c r="AM271" s="152" t="s">
        <v>1053</v>
      </c>
      <c r="AO271" s="152" t="s">
        <v>715</v>
      </c>
      <c r="AP271" s="152" t="s">
        <v>628</v>
      </c>
      <c r="AQ271" s="152" t="s">
        <v>671</v>
      </c>
      <c r="AR271" s="152" t="s">
        <v>629</v>
      </c>
      <c r="AS271" s="152" t="s">
        <v>758</v>
      </c>
      <c r="AT271" s="152" t="s">
        <v>702</v>
      </c>
      <c r="AU271" s="152">
        <v>2016</v>
      </c>
      <c r="AV271" s="339">
        <v>7215</v>
      </c>
      <c r="AW271" s="339">
        <v>1616797</v>
      </c>
      <c r="AX271" s="152">
        <v>10</v>
      </c>
      <c r="AY271" s="152">
        <v>0</v>
      </c>
      <c r="AZ271" s="152">
        <v>75</v>
      </c>
      <c r="BA271" s="152">
        <v>5.4853533309999998</v>
      </c>
      <c r="BB271" s="152">
        <v>169</v>
      </c>
      <c r="BC271" s="152">
        <v>90</v>
      </c>
      <c r="BD271" s="152">
        <v>2.7920001000000001</v>
      </c>
    </row>
    <row r="272" spans="1:56" x14ac:dyDescent="0.25">
      <c r="A272" s="152" t="s">
        <v>922</v>
      </c>
      <c r="B272" s="152">
        <v>43.665914000000001</v>
      </c>
      <c r="C272" s="152">
        <v>-97.229164999999995</v>
      </c>
      <c r="D272" s="152">
        <v>4</v>
      </c>
      <c r="E272" s="152" t="s">
        <v>697</v>
      </c>
      <c r="F272" s="152">
        <v>2016</v>
      </c>
      <c r="G272" s="340">
        <v>42665.90625</v>
      </c>
      <c r="H272" s="152" t="s">
        <v>637</v>
      </c>
      <c r="I272" s="152" t="s">
        <v>696</v>
      </c>
      <c r="J272" s="152" t="s">
        <v>697</v>
      </c>
      <c r="L272" s="152" t="s">
        <v>649</v>
      </c>
      <c r="M272" s="152" t="s">
        <v>693</v>
      </c>
      <c r="N272" s="152" t="s">
        <v>637</v>
      </c>
      <c r="O272" s="152" t="s">
        <v>647</v>
      </c>
      <c r="P272" s="152" t="s">
        <v>696</v>
      </c>
      <c r="Q272" s="152" t="s">
        <v>637</v>
      </c>
      <c r="R272" s="152" t="s">
        <v>701</v>
      </c>
      <c r="S272" s="152" t="s">
        <v>637</v>
      </c>
      <c r="T272" s="152" t="s">
        <v>701</v>
      </c>
      <c r="U272" s="152" t="s">
        <v>644</v>
      </c>
      <c r="V272" s="152" t="s">
        <v>96</v>
      </c>
      <c r="W272" s="152" t="s">
        <v>643</v>
      </c>
      <c r="Y272" s="152" t="s">
        <v>637</v>
      </c>
      <c r="Z272" s="152" t="s">
        <v>642</v>
      </c>
      <c r="AA272" s="152" t="s">
        <v>665</v>
      </c>
      <c r="AB272" s="152" t="s">
        <v>640</v>
      </c>
      <c r="AC272" s="152" t="s">
        <v>701</v>
      </c>
      <c r="AD272" s="152" t="s">
        <v>700</v>
      </c>
      <c r="AE272" s="152" t="s">
        <v>637</v>
      </c>
      <c r="AF272" s="152" t="s">
        <v>637</v>
      </c>
      <c r="AG272" s="152" t="s">
        <v>637</v>
      </c>
      <c r="AH272" s="152" t="s">
        <v>664</v>
      </c>
      <c r="AI272" s="152" t="s">
        <v>699</v>
      </c>
      <c r="AJ272" s="152" t="s">
        <v>696</v>
      </c>
      <c r="AL272" s="152" t="s">
        <v>637</v>
      </c>
      <c r="AM272" s="152" t="s">
        <v>999</v>
      </c>
      <c r="AO272" s="152" t="s">
        <v>715</v>
      </c>
      <c r="AP272" s="152" t="s">
        <v>697</v>
      </c>
      <c r="AQ272" s="152" t="s">
        <v>908</v>
      </c>
      <c r="AS272" s="152" t="s">
        <v>696</v>
      </c>
      <c r="AT272" s="152" t="s">
        <v>702</v>
      </c>
      <c r="AU272" s="152">
        <v>2016</v>
      </c>
      <c r="AV272" s="339">
        <v>5615</v>
      </c>
      <c r="AW272" s="339">
        <v>1613155</v>
      </c>
      <c r="AX272" s="152">
        <v>22</v>
      </c>
      <c r="AY272" s="152">
        <v>-1</v>
      </c>
      <c r="AZ272" s="152">
        <v>75</v>
      </c>
      <c r="BA272" s="152">
        <v>0.17502764000000001</v>
      </c>
      <c r="BB272" s="152">
        <v>114</v>
      </c>
      <c r="BC272" s="152">
        <v>90</v>
      </c>
      <c r="BD272" s="152">
        <v>5.9710001999999998</v>
      </c>
    </row>
    <row r="273" spans="1:56" x14ac:dyDescent="0.25">
      <c r="A273" s="152" t="s">
        <v>922</v>
      </c>
      <c r="B273" s="152">
        <v>43.665916000000003</v>
      </c>
      <c r="C273" s="152">
        <v>-97.229265999999996</v>
      </c>
      <c r="D273" s="152">
        <v>4</v>
      </c>
      <c r="E273" s="152" t="s">
        <v>821</v>
      </c>
      <c r="F273" s="152">
        <v>2019</v>
      </c>
      <c r="G273" s="340">
        <v>43710.879166666666</v>
      </c>
      <c r="H273" s="152" t="s">
        <v>637</v>
      </c>
      <c r="I273" s="152" t="s">
        <v>669</v>
      </c>
      <c r="J273" s="152" t="s">
        <v>975</v>
      </c>
      <c r="K273" s="152" t="s">
        <v>743</v>
      </c>
      <c r="L273" s="152" t="s">
        <v>649</v>
      </c>
      <c r="M273" s="152" t="s">
        <v>685</v>
      </c>
      <c r="N273" s="152" t="s">
        <v>637</v>
      </c>
      <c r="O273" s="152" t="s">
        <v>647</v>
      </c>
      <c r="P273" s="152" t="s">
        <v>1052</v>
      </c>
      <c r="Q273" s="152" t="s">
        <v>637</v>
      </c>
      <c r="R273" s="152" t="s">
        <v>1051</v>
      </c>
      <c r="S273" s="152" t="s">
        <v>637</v>
      </c>
      <c r="T273" s="152" t="s">
        <v>708</v>
      </c>
      <c r="U273" s="152" t="s">
        <v>644</v>
      </c>
      <c r="V273" s="152" t="s">
        <v>96</v>
      </c>
      <c r="W273" s="152" t="s">
        <v>643</v>
      </c>
      <c r="Y273" s="152" t="s">
        <v>637</v>
      </c>
      <c r="Z273" s="152" t="s">
        <v>642</v>
      </c>
      <c r="AA273" s="152" t="s">
        <v>665</v>
      </c>
      <c r="AB273" s="152" t="s">
        <v>640</v>
      </c>
      <c r="AC273" s="152" t="s">
        <v>708</v>
      </c>
      <c r="AD273" s="152" t="s">
        <v>706</v>
      </c>
      <c r="AE273" s="152" t="s">
        <v>637</v>
      </c>
      <c r="AF273" s="152" t="s">
        <v>637</v>
      </c>
      <c r="AG273" s="152" t="s">
        <v>637</v>
      </c>
      <c r="AH273" s="152" t="s">
        <v>664</v>
      </c>
      <c r="AI273" s="152" t="s">
        <v>628</v>
      </c>
      <c r="AJ273" s="152" t="s">
        <v>635</v>
      </c>
      <c r="AK273" s="152" t="s">
        <v>634</v>
      </c>
      <c r="AL273" s="152" t="s">
        <v>637</v>
      </c>
      <c r="AM273" s="152" t="s">
        <v>1050</v>
      </c>
      <c r="AO273" s="152" t="s">
        <v>631</v>
      </c>
      <c r="AP273" s="152" t="s">
        <v>628</v>
      </c>
      <c r="AQ273" s="152" t="s">
        <v>671</v>
      </c>
      <c r="AR273" s="152" t="s">
        <v>629</v>
      </c>
      <c r="AS273" s="152" t="s">
        <v>628</v>
      </c>
      <c r="AT273" s="152" t="s">
        <v>702</v>
      </c>
      <c r="AU273" s="152">
        <v>2019</v>
      </c>
      <c r="AV273" s="339">
        <v>5615</v>
      </c>
      <c r="AW273" s="339">
        <v>1912517</v>
      </c>
      <c r="AX273" s="152">
        <v>2</v>
      </c>
      <c r="AY273" s="152">
        <v>0</v>
      </c>
      <c r="AZ273" s="152">
        <v>75</v>
      </c>
      <c r="BA273" s="152">
        <v>0.60994765500000003</v>
      </c>
      <c r="BB273" s="152">
        <v>584</v>
      </c>
      <c r="BC273" s="152">
        <v>90</v>
      </c>
      <c r="BD273" s="152">
        <v>5.9710001999999998</v>
      </c>
    </row>
    <row r="274" spans="1:56" x14ac:dyDescent="0.25">
      <c r="A274" s="152" t="s">
        <v>922</v>
      </c>
      <c r="B274" s="152">
        <v>43.665939999999999</v>
      </c>
      <c r="C274" s="152">
        <v>-97.233714000000006</v>
      </c>
      <c r="D274" s="152">
        <v>4</v>
      </c>
      <c r="E274" s="152" t="s">
        <v>652</v>
      </c>
      <c r="F274" s="152">
        <v>2019</v>
      </c>
      <c r="G274" s="340">
        <v>43507.833333333336</v>
      </c>
      <c r="H274" s="152" t="s">
        <v>637</v>
      </c>
      <c r="I274" s="152" t="s">
        <v>669</v>
      </c>
      <c r="J274" s="152" t="s">
        <v>650</v>
      </c>
      <c r="L274" s="152" t="s">
        <v>649</v>
      </c>
      <c r="M274" s="152" t="s">
        <v>685</v>
      </c>
      <c r="N274" s="152" t="s">
        <v>637</v>
      </c>
      <c r="O274" s="152" t="s">
        <v>647</v>
      </c>
      <c r="P274" s="152" t="s">
        <v>646</v>
      </c>
      <c r="Q274" s="152" t="s">
        <v>637</v>
      </c>
      <c r="R274" s="152" t="s">
        <v>688</v>
      </c>
      <c r="S274" s="152" t="s">
        <v>637</v>
      </c>
      <c r="T274" s="152" t="s">
        <v>687</v>
      </c>
      <c r="U274" s="152" t="s">
        <v>644</v>
      </c>
      <c r="V274" s="152" t="s">
        <v>96</v>
      </c>
      <c r="W274" s="152" t="s">
        <v>643</v>
      </c>
      <c r="Y274" s="152" t="s">
        <v>637</v>
      </c>
      <c r="Z274" s="152" t="s">
        <v>642</v>
      </c>
      <c r="AA274" s="152" t="s">
        <v>665</v>
      </c>
      <c r="AB274" s="152" t="s">
        <v>640</v>
      </c>
      <c r="AC274" s="152" t="s">
        <v>687</v>
      </c>
      <c r="AD274" s="152" t="s">
        <v>718</v>
      </c>
      <c r="AE274" s="152" t="s">
        <v>637</v>
      </c>
      <c r="AF274" s="152" t="s">
        <v>637</v>
      </c>
      <c r="AG274" s="152" t="s">
        <v>637</v>
      </c>
      <c r="AH274" s="152" t="s">
        <v>636</v>
      </c>
      <c r="AI274" s="152" t="s">
        <v>655</v>
      </c>
      <c r="AJ274" s="152" t="s">
        <v>635</v>
      </c>
      <c r="AK274" s="152" t="s">
        <v>634</v>
      </c>
      <c r="AL274" s="152" t="s">
        <v>633</v>
      </c>
      <c r="AM274" s="152" t="s">
        <v>767</v>
      </c>
      <c r="AO274" s="152" t="s">
        <v>715</v>
      </c>
      <c r="AP274" s="152" t="s">
        <v>628</v>
      </c>
      <c r="AQ274" s="152" t="s">
        <v>826</v>
      </c>
      <c r="AR274" s="152" t="s">
        <v>629</v>
      </c>
      <c r="AS274" s="152" t="s">
        <v>628</v>
      </c>
      <c r="AT274" s="152" t="s">
        <v>627</v>
      </c>
      <c r="AU274" s="152">
        <v>2019</v>
      </c>
      <c r="AV274" s="339">
        <v>5615</v>
      </c>
      <c r="AW274" s="339">
        <v>1901756</v>
      </c>
      <c r="AX274" s="152">
        <v>11</v>
      </c>
      <c r="AY274" s="152">
        <v>0</v>
      </c>
      <c r="AZ274" s="152">
        <v>75</v>
      </c>
      <c r="BA274" s="152">
        <v>7.6834031999999997E-2</v>
      </c>
      <c r="BB274" s="152">
        <v>516</v>
      </c>
      <c r="BC274" s="152">
        <v>90</v>
      </c>
      <c r="BD274" s="152">
        <v>5.9710001999999998</v>
      </c>
    </row>
    <row r="275" spans="1:56" x14ac:dyDescent="0.25">
      <c r="A275" s="152" t="s">
        <v>922</v>
      </c>
      <c r="B275" s="152">
        <v>43.665956000000001</v>
      </c>
      <c r="C275" s="152">
        <v>-97.234831999999997</v>
      </c>
      <c r="D275" s="152">
        <v>4</v>
      </c>
      <c r="E275" s="152" t="s">
        <v>759</v>
      </c>
      <c r="F275" s="152">
        <v>2017</v>
      </c>
      <c r="G275" s="340">
        <v>42971.586805555555</v>
      </c>
      <c r="H275" s="152" t="s">
        <v>637</v>
      </c>
      <c r="I275" s="152" t="s">
        <v>669</v>
      </c>
      <c r="J275" s="152" t="s">
        <v>650</v>
      </c>
      <c r="L275" s="152" t="s">
        <v>649</v>
      </c>
      <c r="M275" s="152" t="s">
        <v>668</v>
      </c>
      <c r="N275" s="152" t="s">
        <v>637</v>
      </c>
      <c r="O275" s="152" t="s">
        <v>647</v>
      </c>
      <c r="P275" s="152" t="s">
        <v>684</v>
      </c>
      <c r="Q275" s="152" t="s">
        <v>637</v>
      </c>
      <c r="R275" s="152" t="s">
        <v>1049</v>
      </c>
      <c r="S275" s="152" t="s">
        <v>637</v>
      </c>
      <c r="T275" s="152" t="s">
        <v>956</v>
      </c>
      <c r="U275" s="152" t="s">
        <v>644</v>
      </c>
      <c r="V275" s="152" t="s">
        <v>96</v>
      </c>
      <c r="W275" s="152" t="s">
        <v>643</v>
      </c>
      <c r="Y275" s="152" t="s">
        <v>637</v>
      </c>
      <c r="Z275" s="152" t="s">
        <v>642</v>
      </c>
      <c r="AA275" s="152" t="s">
        <v>641</v>
      </c>
      <c r="AB275" s="152" t="s">
        <v>640</v>
      </c>
      <c r="AC275" s="152" t="s">
        <v>708</v>
      </c>
      <c r="AD275" s="152" t="s">
        <v>738</v>
      </c>
      <c r="AE275" s="152" t="s">
        <v>637</v>
      </c>
      <c r="AF275" s="152" t="s">
        <v>637</v>
      </c>
      <c r="AG275" s="152" t="s">
        <v>637</v>
      </c>
      <c r="AH275" s="152" t="s">
        <v>664</v>
      </c>
      <c r="AI275" s="152" t="s">
        <v>628</v>
      </c>
      <c r="AJ275" s="152" t="s">
        <v>635</v>
      </c>
      <c r="AK275" s="152" t="s">
        <v>634</v>
      </c>
      <c r="AL275" s="152" t="s">
        <v>637</v>
      </c>
      <c r="AM275" s="152" t="s">
        <v>837</v>
      </c>
      <c r="AO275" s="152" t="s">
        <v>715</v>
      </c>
      <c r="AP275" s="152" t="s">
        <v>628</v>
      </c>
      <c r="AQ275" s="152" t="s">
        <v>671</v>
      </c>
      <c r="AR275" s="152" t="s">
        <v>629</v>
      </c>
      <c r="AS275" s="152" t="s">
        <v>628</v>
      </c>
      <c r="AT275" s="152" t="s">
        <v>702</v>
      </c>
      <c r="AU275" s="152">
        <v>2017</v>
      </c>
      <c r="AV275" s="339">
        <v>5615</v>
      </c>
      <c r="AW275" s="339">
        <v>1710817</v>
      </c>
      <c r="AX275" s="152">
        <v>24</v>
      </c>
      <c r="AY275" s="152">
        <v>0</v>
      </c>
      <c r="AZ275" s="152">
        <v>75</v>
      </c>
      <c r="BA275" s="152">
        <v>3.2386429999999998E-3</v>
      </c>
      <c r="BB275" s="152">
        <v>275</v>
      </c>
      <c r="BC275" s="152">
        <v>90</v>
      </c>
      <c r="BD275" s="152">
        <v>5.9710001999999998</v>
      </c>
    </row>
    <row r="276" spans="1:56" x14ac:dyDescent="0.25">
      <c r="A276" s="152" t="s">
        <v>922</v>
      </c>
      <c r="B276" s="152">
        <v>43.665982</v>
      </c>
      <c r="C276" s="152">
        <v>-97.219160000000002</v>
      </c>
      <c r="D276" s="152">
        <v>4</v>
      </c>
      <c r="E276" s="152" t="s">
        <v>652</v>
      </c>
      <c r="F276" s="152">
        <v>2016</v>
      </c>
      <c r="G276" s="340">
        <v>42692.327777777777</v>
      </c>
      <c r="H276" s="152" t="s">
        <v>637</v>
      </c>
      <c r="I276" s="152" t="s">
        <v>669</v>
      </c>
      <c r="J276" s="152" t="s">
        <v>650</v>
      </c>
      <c r="L276" s="152" t="s">
        <v>649</v>
      </c>
      <c r="M276" s="152" t="s">
        <v>648</v>
      </c>
      <c r="N276" s="152" t="s">
        <v>637</v>
      </c>
      <c r="O276" s="152" t="s">
        <v>647</v>
      </c>
      <c r="P276" s="152" t="s">
        <v>628</v>
      </c>
      <c r="Q276" s="152" t="s">
        <v>637</v>
      </c>
      <c r="R276" s="152" t="s">
        <v>1048</v>
      </c>
      <c r="S276" s="152" t="s">
        <v>637</v>
      </c>
      <c r="T276" s="152" t="s">
        <v>639</v>
      </c>
      <c r="U276" s="152" t="s">
        <v>644</v>
      </c>
      <c r="V276" s="152" t="s">
        <v>96</v>
      </c>
      <c r="W276" s="152" t="s">
        <v>643</v>
      </c>
      <c r="Y276" s="152" t="s">
        <v>637</v>
      </c>
      <c r="Z276" s="152" t="s">
        <v>642</v>
      </c>
      <c r="AA276" s="152" t="s">
        <v>641</v>
      </c>
      <c r="AB276" s="152" t="s">
        <v>640</v>
      </c>
      <c r="AC276" s="152" t="s">
        <v>639</v>
      </c>
      <c r="AD276" s="152" t="s">
        <v>673</v>
      </c>
      <c r="AE276" s="152" t="s">
        <v>637</v>
      </c>
      <c r="AF276" s="152" t="s">
        <v>637</v>
      </c>
      <c r="AG276" s="152" t="s">
        <v>637</v>
      </c>
      <c r="AH276" s="152" t="s">
        <v>636</v>
      </c>
      <c r="AI276" s="152" t="s">
        <v>655</v>
      </c>
      <c r="AJ276" s="152" t="s">
        <v>635</v>
      </c>
      <c r="AK276" s="152" t="s">
        <v>634</v>
      </c>
      <c r="AL276" s="152" t="s">
        <v>637</v>
      </c>
      <c r="AM276" s="152" t="s">
        <v>1047</v>
      </c>
      <c r="AO276" s="152" t="s">
        <v>715</v>
      </c>
      <c r="AP276" s="152" t="s">
        <v>628</v>
      </c>
      <c r="AQ276" s="152" t="s">
        <v>630</v>
      </c>
      <c r="AR276" s="152" t="s">
        <v>629</v>
      </c>
      <c r="AS276" s="152" t="s">
        <v>678</v>
      </c>
      <c r="AT276" s="152" t="s">
        <v>766</v>
      </c>
      <c r="AU276" s="152">
        <v>2016</v>
      </c>
      <c r="AV276" s="339">
        <v>5615</v>
      </c>
      <c r="AW276" s="339">
        <v>1615508</v>
      </c>
      <c r="AX276" s="152">
        <v>18</v>
      </c>
      <c r="AY276" s="152">
        <v>0</v>
      </c>
      <c r="AZ276" s="152">
        <v>75</v>
      </c>
      <c r="BA276" s="152">
        <v>0.52250034099999998</v>
      </c>
      <c r="BB276" s="152">
        <v>146</v>
      </c>
      <c r="BC276" s="152">
        <v>90</v>
      </c>
      <c r="BD276" s="152">
        <v>5.9710001999999998</v>
      </c>
    </row>
    <row r="277" spans="1:56" x14ac:dyDescent="0.25">
      <c r="A277" s="152" t="s">
        <v>922</v>
      </c>
      <c r="B277" s="152">
        <v>43.665993</v>
      </c>
      <c r="C277" s="152">
        <v>-97.237431000000001</v>
      </c>
      <c r="D277" s="152">
        <v>4</v>
      </c>
      <c r="E277" s="152" t="s">
        <v>652</v>
      </c>
      <c r="F277" s="152">
        <v>2018</v>
      </c>
      <c r="G277" s="340">
        <v>43117.584722222222</v>
      </c>
      <c r="H277" s="152" t="s">
        <v>637</v>
      </c>
      <c r="I277" s="152" t="s">
        <v>669</v>
      </c>
      <c r="J277" s="152" t="s">
        <v>660</v>
      </c>
      <c r="K277" s="152" t="s">
        <v>743</v>
      </c>
      <c r="L277" s="152" t="s">
        <v>649</v>
      </c>
      <c r="M277" s="152" t="s">
        <v>676</v>
      </c>
      <c r="N277" s="152" t="s">
        <v>637</v>
      </c>
      <c r="O277" s="152" t="s">
        <v>647</v>
      </c>
      <c r="P277" s="152" t="s">
        <v>803</v>
      </c>
      <c r="Q277" s="152" t="s">
        <v>637</v>
      </c>
      <c r="R277" s="152" t="s">
        <v>656</v>
      </c>
      <c r="S277" s="152" t="s">
        <v>633</v>
      </c>
      <c r="T277" s="152" t="s">
        <v>656</v>
      </c>
      <c r="U277" s="152" t="s">
        <v>644</v>
      </c>
      <c r="V277" s="152" t="s">
        <v>96</v>
      </c>
      <c r="W277" s="152" t="s">
        <v>643</v>
      </c>
      <c r="Y277" s="152" t="s">
        <v>637</v>
      </c>
      <c r="Z277" s="152" t="s">
        <v>642</v>
      </c>
      <c r="AA277" s="152" t="s">
        <v>641</v>
      </c>
      <c r="AB277" s="152" t="s">
        <v>728</v>
      </c>
      <c r="AC277" s="152" t="s">
        <v>656</v>
      </c>
      <c r="AD277" s="152" t="s">
        <v>638</v>
      </c>
      <c r="AE277" s="152" t="s">
        <v>637</v>
      </c>
      <c r="AF277" s="152" t="s">
        <v>637</v>
      </c>
      <c r="AG277" s="152" t="s">
        <v>637</v>
      </c>
      <c r="AH277" s="152" t="s">
        <v>664</v>
      </c>
      <c r="AI277" s="152" t="s">
        <v>628</v>
      </c>
      <c r="AJ277" s="152" t="s">
        <v>635</v>
      </c>
      <c r="AK277" s="152" t="s">
        <v>634</v>
      </c>
      <c r="AL277" s="152" t="s">
        <v>637</v>
      </c>
      <c r="AM277" s="152" t="s">
        <v>1046</v>
      </c>
      <c r="AO277" s="152" t="s">
        <v>715</v>
      </c>
      <c r="AP277" s="152" t="s">
        <v>628</v>
      </c>
      <c r="AQ277" s="152" t="s">
        <v>920</v>
      </c>
      <c r="AR277" s="152" t="s">
        <v>629</v>
      </c>
      <c r="AS277" s="152" t="s">
        <v>628</v>
      </c>
      <c r="AT277" s="152" t="s">
        <v>702</v>
      </c>
      <c r="AU277" s="152">
        <v>2018</v>
      </c>
      <c r="AV277" s="339">
        <v>5615</v>
      </c>
      <c r="AW277" s="339">
        <v>1801689</v>
      </c>
      <c r="AX277" s="152">
        <v>17</v>
      </c>
      <c r="AY277" s="152">
        <v>0</v>
      </c>
      <c r="AZ277" s="152">
        <v>75</v>
      </c>
      <c r="BA277" s="152">
        <v>0.10885826999999999</v>
      </c>
      <c r="BB277" s="152">
        <v>332</v>
      </c>
      <c r="BC277" s="152">
        <v>90</v>
      </c>
      <c r="BD277" s="152">
        <v>5.9710001999999998</v>
      </c>
    </row>
    <row r="278" spans="1:56" x14ac:dyDescent="0.25">
      <c r="A278" s="152" t="s">
        <v>922</v>
      </c>
      <c r="B278" s="152">
        <v>43.666012000000002</v>
      </c>
      <c r="C278" s="152">
        <v>-97.239176</v>
      </c>
      <c r="D278" s="152">
        <v>4</v>
      </c>
      <c r="E278" s="152" t="s">
        <v>652</v>
      </c>
      <c r="F278" s="152">
        <v>2019</v>
      </c>
      <c r="G278" s="340">
        <v>43821.583333333336</v>
      </c>
      <c r="H278" s="152" t="s">
        <v>637</v>
      </c>
      <c r="I278" s="152" t="s">
        <v>669</v>
      </c>
      <c r="J278" s="152" t="s">
        <v>660</v>
      </c>
      <c r="K278" s="152" t="s">
        <v>1045</v>
      </c>
      <c r="L278" s="152" t="s">
        <v>649</v>
      </c>
      <c r="M278" s="152" t="s">
        <v>712</v>
      </c>
      <c r="N278" s="152" t="s">
        <v>637</v>
      </c>
      <c r="O278" s="152" t="s">
        <v>647</v>
      </c>
      <c r="P278" s="152" t="s">
        <v>1044</v>
      </c>
      <c r="Q278" s="152" t="s">
        <v>637</v>
      </c>
      <c r="R278" s="152" t="s">
        <v>729</v>
      </c>
      <c r="S278" s="152" t="s">
        <v>637</v>
      </c>
      <c r="T278" s="152" t="s">
        <v>656</v>
      </c>
      <c r="U278" s="152" t="s">
        <v>644</v>
      </c>
      <c r="V278" s="152" t="s">
        <v>96</v>
      </c>
      <c r="W278" s="152" t="s">
        <v>643</v>
      </c>
      <c r="Y278" s="152" t="s">
        <v>637</v>
      </c>
      <c r="Z278" s="152" t="s">
        <v>1043</v>
      </c>
      <c r="AA278" s="152" t="s">
        <v>641</v>
      </c>
      <c r="AB278" s="152" t="s">
        <v>740</v>
      </c>
      <c r="AC278" s="152" t="s">
        <v>656</v>
      </c>
      <c r="AD278" s="152" t="s">
        <v>681</v>
      </c>
      <c r="AE278" s="152" t="s">
        <v>637</v>
      </c>
      <c r="AF278" s="152" t="s">
        <v>637</v>
      </c>
      <c r="AG278" s="152" t="s">
        <v>637</v>
      </c>
      <c r="AH278" s="152" t="s">
        <v>664</v>
      </c>
      <c r="AI278" s="152" t="s">
        <v>628</v>
      </c>
      <c r="AJ278" s="152" t="s">
        <v>680</v>
      </c>
      <c r="AK278" s="152" t="s">
        <v>634</v>
      </c>
      <c r="AL278" s="152" t="s">
        <v>637</v>
      </c>
      <c r="AM278" s="152" t="s">
        <v>815</v>
      </c>
      <c r="AO278" s="152" t="s">
        <v>715</v>
      </c>
      <c r="AP278" s="152" t="s">
        <v>628</v>
      </c>
      <c r="AQ278" s="152" t="s">
        <v>755</v>
      </c>
      <c r="AR278" s="152" t="s">
        <v>932</v>
      </c>
      <c r="AS278" s="152" t="s">
        <v>628</v>
      </c>
      <c r="AT278" s="152" t="s">
        <v>702</v>
      </c>
      <c r="AU278" s="152">
        <v>2019</v>
      </c>
      <c r="AV278" s="339">
        <v>5615</v>
      </c>
      <c r="AW278" s="339">
        <v>1919866</v>
      </c>
      <c r="AX278" s="152">
        <v>22</v>
      </c>
      <c r="AY278" s="152">
        <v>0</v>
      </c>
      <c r="AZ278" s="152">
        <v>75</v>
      </c>
      <c r="BA278" s="152">
        <v>4.8759761999999998E-2</v>
      </c>
      <c r="BB278" s="152">
        <v>632</v>
      </c>
      <c r="BC278" s="152">
        <v>90</v>
      </c>
      <c r="BD278" s="152">
        <v>5.9710001999999998</v>
      </c>
    </row>
    <row r="279" spans="1:56" x14ac:dyDescent="0.25">
      <c r="A279" s="152" t="s">
        <v>922</v>
      </c>
      <c r="B279" s="152">
        <v>43.666016999999997</v>
      </c>
      <c r="C279" s="152">
        <v>-97.239812999999998</v>
      </c>
      <c r="D279" s="152">
        <v>4</v>
      </c>
      <c r="E279" s="152" t="s">
        <v>652</v>
      </c>
      <c r="F279" s="152">
        <v>2016</v>
      </c>
      <c r="G279" s="340">
        <v>42693.40625</v>
      </c>
      <c r="H279" s="152" t="s">
        <v>637</v>
      </c>
      <c r="I279" s="152" t="s">
        <v>745</v>
      </c>
      <c r="J279" s="152" t="s">
        <v>1042</v>
      </c>
      <c r="L279" s="152" t="s">
        <v>649</v>
      </c>
      <c r="M279" s="152" t="s">
        <v>693</v>
      </c>
      <c r="N279" s="152" t="s">
        <v>637</v>
      </c>
      <c r="O279" s="152" t="s">
        <v>647</v>
      </c>
      <c r="P279" s="152" t="s">
        <v>646</v>
      </c>
      <c r="Q279" s="152" t="s">
        <v>637</v>
      </c>
      <c r="R279" s="152" t="s">
        <v>656</v>
      </c>
      <c r="S279" s="152" t="s">
        <v>637</v>
      </c>
      <c r="T279" s="152" t="s">
        <v>656</v>
      </c>
      <c r="U279" s="152" t="s">
        <v>644</v>
      </c>
      <c r="V279" s="152" t="s">
        <v>96</v>
      </c>
      <c r="W279" s="152" t="s">
        <v>643</v>
      </c>
      <c r="Y279" s="152" t="s">
        <v>637</v>
      </c>
      <c r="Z279" s="152" t="s">
        <v>642</v>
      </c>
      <c r="AA279" s="152" t="s">
        <v>641</v>
      </c>
      <c r="AB279" s="152" t="s">
        <v>740</v>
      </c>
      <c r="AC279" s="152" t="s">
        <v>656</v>
      </c>
      <c r="AD279" s="152" t="s">
        <v>673</v>
      </c>
      <c r="AE279" s="152" t="s">
        <v>637</v>
      </c>
      <c r="AF279" s="152" t="s">
        <v>637</v>
      </c>
      <c r="AG279" s="152" t="s">
        <v>637</v>
      </c>
      <c r="AH279" s="152" t="s">
        <v>636</v>
      </c>
      <c r="AI279" s="152" t="s">
        <v>655</v>
      </c>
      <c r="AJ279" s="152" t="s">
        <v>635</v>
      </c>
      <c r="AK279" s="152" t="s">
        <v>634</v>
      </c>
      <c r="AL279" s="152" t="s">
        <v>633</v>
      </c>
      <c r="AM279" s="152" t="s">
        <v>1041</v>
      </c>
      <c r="AO279" s="152" t="s">
        <v>715</v>
      </c>
      <c r="AP279" s="152" t="s">
        <v>628</v>
      </c>
      <c r="AQ279" s="152" t="s">
        <v>755</v>
      </c>
      <c r="AR279" s="152" t="s">
        <v>1040</v>
      </c>
      <c r="AS279" s="152" t="s">
        <v>628</v>
      </c>
      <c r="AT279" s="152" t="s">
        <v>702</v>
      </c>
      <c r="AU279" s="152">
        <v>2016</v>
      </c>
      <c r="AV279" s="339">
        <v>5615</v>
      </c>
      <c r="AW279" s="339">
        <v>1615512</v>
      </c>
      <c r="AX279" s="152">
        <v>19</v>
      </c>
      <c r="AY279" s="152">
        <v>0</v>
      </c>
      <c r="AZ279" s="152">
        <v>75</v>
      </c>
      <c r="BA279" s="152">
        <v>5.8825429999999996E-3</v>
      </c>
      <c r="BB279" s="152">
        <v>147</v>
      </c>
      <c r="BC279" s="152">
        <v>90</v>
      </c>
      <c r="BD279" s="152">
        <v>5.9710001999999998</v>
      </c>
    </row>
    <row r="280" spans="1:56" x14ac:dyDescent="0.25">
      <c r="A280" s="152" t="s">
        <v>922</v>
      </c>
      <c r="B280" s="152">
        <v>43.666060999999999</v>
      </c>
      <c r="C280" s="152">
        <v>-97.209148999999996</v>
      </c>
      <c r="D280" s="152">
        <v>4</v>
      </c>
      <c r="E280" s="152" t="s">
        <v>697</v>
      </c>
      <c r="F280" s="152">
        <v>2018</v>
      </c>
      <c r="G280" s="340">
        <v>43233.378472222219</v>
      </c>
      <c r="H280" s="152" t="s">
        <v>637</v>
      </c>
      <c r="I280" s="152" t="s">
        <v>696</v>
      </c>
      <c r="J280" s="152" t="s">
        <v>697</v>
      </c>
      <c r="L280" s="152" t="s">
        <v>649</v>
      </c>
      <c r="M280" s="152" t="s">
        <v>712</v>
      </c>
      <c r="N280" s="152" t="s">
        <v>637</v>
      </c>
      <c r="O280" s="152" t="s">
        <v>647</v>
      </c>
      <c r="P280" s="152" t="s">
        <v>696</v>
      </c>
      <c r="Q280" s="152" t="s">
        <v>637</v>
      </c>
      <c r="R280" s="152" t="s">
        <v>701</v>
      </c>
      <c r="S280" s="152" t="s">
        <v>637</v>
      </c>
      <c r="T280" s="152" t="s">
        <v>701</v>
      </c>
      <c r="U280" s="152" t="s">
        <v>644</v>
      </c>
      <c r="V280" s="152" t="s">
        <v>96</v>
      </c>
      <c r="W280" s="152" t="s">
        <v>643</v>
      </c>
      <c r="Y280" s="152" t="s">
        <v>637</v>
      </c>
      <c r="Z280" s="152" t="s">
        <v>642</v>
      </c>
      <c r="AA280" s="152" t="s">
        <v>641</v>
      </c>
      <c r="AB280" s="152" t="s">
        <v>640</v>
      </c>
      <c r="AC280" s="152" t="s">
        <v>701</v>
      </c>
      <c r="AD280" s="152" t="s">
        <v>752</v>
      </c>
      <c r="AE280" s="152" t="s">
        <v>637</v>
      </c>
      <c r="AF280" s="152" t="s">
        <v>637</v>
      </c>
      <c r="AG280" s="152" t="s">
        <v>637</v>
      </c>
      <c r="AH280" s="152" t="s">
        <v>664</v>
      </c>
      <c r="AI280" s="152" t="s">
        <v>699</v>
      </c>
      <c r="AJ280" s="152" t="s">
        <v>696</v>
      </c>
      <c r="AL280" s="152" t="s">
        <v>637</v>
      </c>
      <c r="AM280" s="152" t="s">
        <v>998</v>
      </c>
      <c r="AO280" s="152" t="s">
        <v>715</v>
      </c>
      <c r="AP280" s="152" t="s">
        <v>697</v>
      </c>
      <c r="AQ280" s="152" t="s">
        <v>703</v>
      </c>
      <c r="AS280" s="152" t="s">
        <v>696</v>
      </c>
      <c r="AT280" s="152" t="s">
        <v>702</v>
      </c>
      <c r="AU280" s="152">
        <v>2018</v>
      </c>
      <c r="AV280" s="339">
        <v>5615</v>
      </c>
      <c r="AW280" s="339">
        <v>1805837</v>
      </c>
      <c r="AX280" s="152">
        <v>13</v>
      </c>
      <c r="AY280" s="152">
        <v>-1</v>
      </c>
      <c r="AZ280" s="152">
        <v>75</v>
      </c>
      <c r="BA280" s="152">
        <v>6.4295321000000002E-2</v>
      </c>
      <c r="BB280" s="152">
        <v>394</v>
      </c>
      <c r="BC280" s="152">
        <v>90</v>
      </c>
      <c r="BD280" s="152">
        <v>5.9710001999999998</v>
      </c>
    </row>
    <row r="281" spans="1:56" x14ac:dyDescent="0.25">
      <c r="A281" s="152" t="s">
        <v>922</v>
      </c>
      <c r="B281" s="152">
        <v>43.666060999999999</v>
      </c>
      <c r="C281" s="152">
        <v>-97.209148999999996</v>
      </c>
      <c r="D281" s="152">
        <v>4</v>
      </c>
      <c r="E281" s="152" t="s">
        <v>652</v>
      </c>
      <c r="F281" s="152">
        <v>2018</v>
      </c>
      <c r="G281" s="340">
        <v>43418.020833333336</v>
      </c>
      <c r="H281" s="152" t="s">
        <v>637</v>
      </c>
      <c r="I281" s="152" t="s">
        <v>669</v>
      </c>
      <c r="J281" s="152" t="s">
        <v>650</v>
      </c>
      <c r="L281" s="152" t="s">
        <v>649</v>
      </c>
      <c r="M281" s="152" t="s">
        <v>676</v>
      </c>
      <c r="N281" s="152" t="s">
        <v>637</v>
      </c>
      <c r="O281" s="152" t="s">
        <v>647</v>
      </c>
      <c r="P281" s="152" t="s">
        <v>684</v>
      </c>
      <c r="Q281" s="152" t="s">
        <v>637</v>
      </c>
      <c r="R281" s="152" t="s">
        <v>1039</v>
      </c>
      <c r="S281" s="152" t="s">
        <v>637</v>
      </c>
      <c r="T281" s="152" t="s">
        <v>687</v>
      </c>
      <c r="U281" s="152" t="s">
        <v>644</v>
      </c>
      <c r="V281" s="152" t="s">
        <v>96</v>
      </c>
      <c r="W281" s="152" t="s">
        <v>643</v>
      </c>
      <c r="Y281" s="152" t="s">
        <v>637</v>
      </c>
      <c r="Z281" s="152" t="s">
        <v>642</v>
      </c>
      <c r="AA281" s="152" t="s">
        <v>665</v>
      </c>
      <c r="AB281" s="152" t="s">
        <v>640</v>
      </c>
      <c r="AC281" s="152" t="s">
        <v>708</v>
      </c>
      <c r="AD281" s="152" t="s">
        <v>673</v>
      </c>
      <c r="AE281" s="152" t="s">
        <v>637</v>
      </c>
      <c r="AF281" s="152" t="s">
        <v>637</v>
      </c>
      <c r="AG281" s="152" t="s">
        <v>637</v>
      </c>
      <c r="AH281" s="152" t="s">
        <v>664</v>
      </c>
      <c r="AI281" s="152" t="s">
        <v>628</v>
      </c>
      <c r="AJ281" s="152" t="s">
        <v>635</v>
      </c>
      <c r="AK281" s="152" t="s">
        <v>634</v>
      </c>
      <c r="AL281" s="152" t="s">
        <v>637</v>
      </c>
      <c r="AM281" s="152" t="s">
        <v>934</v>
      </c>
      <c r="AO281" s="152" t="s">
        <v>715</v>
      </c>
      <c r="AP281" s="152" t="s">
        <v>628</v>
      </c>
      <c r="AQ281" s="152" t="s">
        <v>662</v>
      </c>
      <c r="AR281" s="152" t="s">
        <v>629</v>
      </c>
      <c r="AS281" s="152" t="s">
        <v>628</v>
      </c>
      <c r="AT281" s="152" t="s">
        <v>702</v>
      </c>
      <c r="AU281" s="152">
        <v>2018</v>
      </c>
      <c r="AV281" s="339">
        <v>5615</v>
      </c>
      <c r="AW281" s="339">
        <v>1814833</v>
      </c>
      <c r="AX281" s="152">
        <v>14</v>
      </c>
      <c r="AY281" s="152">
        <v>0</v>
      </c>
      <c r="AZ281" s="152">
        <v>75</v>
      </c>
      <c r="BA281" s="152">
        <v>6.4295321000000002E-2</v>
      </c>
      <c r="BB281" s="152">
        <v>479</v>
      </c>
      <c r="BC281" s="152">
        <v>90</v>
      </c>
      <c r="BD281" s="152">
        <v>5.9710001999999998</v>
      </c>
    </row>
    <row r="282" spans="1:56" x14ac:dyDescent="0.25">
      <c r="A282" s="152" t="s">
        <v>922</v>
      </c>
      <c r="B282" s="152">
        <v>43.666065000000003</v>
      </c>
      <c r="C282" s="152">
        <v>-97.209089000000006</v>
      </c>
      <c r="D282" s="152">
        <v>4</v>
      </c>
      <c r="E282" s="152" t="s">
        <v>697</v>
      </c>
      <c r="F282" s="152">
        <v>2017</v>
      </c>
      <c r="G282" s="340">
        <v>42850.234027777777</v>
      </c>
      <c r="H282" s="152" t="s">
        <v>637</v>
      </c>
      <c r="I282" s="152" t="s">
        <v>696</v>
      </c>
      <c r="J282" s="152" t="s">
        <v>697</v>
      </c>
      <c r="L282" s="152" t="s">
        <v>649</v>
      </c>
      <c r="M282" s="152" t="s">
        <v>736</v>
      </c>
      <c r="N282" s="152" t="s">
        <v>637</v>
      </c>
      <c r="O282" s="152" t="s">
        <v>647</v>
      </c>
      <c r="P282" s="152" t="s">
        <v>696</v>
      </c>
      <c r="Q282" s="152" t="s">
        <v>637</v>
      </c>
      <c r="R282" s="152" t="s">
        <v>701</v>
      </c>
      <c r="S282" s="152" t="s">
        <v>637</v>
      </c>
      <c r="T282" s="152" t="s">
        <v>701</v>
      </c>
      <c r="U282" s="152" t="s">
        <v>644</v>
      </c>
      <c r="V282" s="152" t="s">
        <v>96</v>
      </c>
      <c r="W282" s="152" t="s">
        <v>643</v>
      </c>
      <c r="Y282" s="152" t="s">
        <v>637</v>
      </c>
      <c r="Z282" s="152" t="s">
        <v>642</v>
      </c>
      <c r="AA282" s="152" t="s">
        <v>665</v>
      </c>
      <c r="AB282" s="152" t="s">
        <v>640</v>
      </c>
      <c r="AC282" s="152" t="s">
        <v>701</v>
      </c>
      <c r="AD282" s="152" t="s">
        <v>787</v>
      </c>
      <c r="AE282" s="152" t="s">
        <v>637</v>
      </c>
      <c r="AF282" s="152" t="s">
        <v>637</v>
      </c>
      <c r="AG282" s="152" t="s">
        <v>637</v>
      </c>
      <c r="AH282" s="152" t="s">
        <v>664</v>
      </c>
      <c r="AI282" s="152" t="s">
        <v>699</v>
      </c>
      <c r="AJ282" s="152" t="s">
        <v>696</v>
      </c>
      <c r="AL282" s="152" t="s">
        <v>637</v>
      </c>
      <c r="AM282" s="152" t="s">
        <v>1038</v>
      </c>
      <c r="AO282" s="152" t="s">
        <v>715</v>
      </c>
      <c r="AP282" s="152" t="s">
        <v>697</v>
      </c>
      <c r="AQ282" s="152" t="s">
        <v>671</v>
      </c>
      <c r="AS282" s="152" t="s">
        <v>696</v>
      </c>
      <c r="AT282" s="152" t="s">
        <v>702</v>
      </c>
      <c r="AU282" s="152">
        <v>2017</v>
      </c>
      <c r="AV282" s="339">
        <v>5615</v>
      </c>
      <c r="AW282" s="339">
        <v>1705020</v>
      </c>
      <c r="AX282" s="152">
        <v>25</v>
      </c>
      <c r="AY282" s="152">
        <v>-1</v>
      </c>
      <c r="AZ282" s="152">
        <v>75</v>
      </c>
      <c r="BA282" s="152">
        <v>1.218332229</v>
      </c>
      <c r="BB282" s="152">
        <v>213</v>
      </c>
      <c r="BC282" s="152">
        <v>90</v>
      </c>
      <c r="BD282" s="152">
        <v>5.9710001999999998</v>
      </c>
    </row>
    <row r="283" spans="1:56" x14ac:dyDescent="0.25">
      <c r="A283" s="152" t="s">
        <v>922</v>
      </c>
      <c r="B283" s="152">
        <v>43.666097000000001</v>
      </c>
      <c r="C283" s="152">
        <v>-97.248987999999997</v>
      </c>
      <c r="D283" s="152">
        <v>4</v>
      </c>
      <c r="E283" s="152" t="s">
        <v>652</v>
      </c>
      <c r="F283" s="152">
        <v>2018</v>
      </c>
      <c r="G283" s="340">
        <v>43400.229166666664</v>
      </c>
      <c r="H283" s="152" t="s">
        <v>637</v>
      </c>
      <c r="I283" s="152" t="s">
        <v>669</v>
      </c>
      <c r="J283" s="152" t="s">
        <v>650</v>
      </c>
      <c r="L283" s="152" t="s">
        <v>649</v>
      </c>
      <c r="M283" s="152" t="s">
        <v>693</v>
      </c>
      <c r="N283" s="152" t="s">
        <v>637</v>
      </c>
      <c r="O283" s="152" t="s">
        <v>647</v>
      </c>
      <c r="P283" s="152" t="s">
        <v>628</v>
      </c>
      <c r="Q283" s="152" t="s">
        <v>637</v>
      </c>
      <c r="R283" s="152" t="s">
        <v>701</v>
      </c>
      <c r="S283" s="152" t="s">
        <v>637</v>
      </c>
      <c r="T283" s="152" t="s">
        <v>701</v>
      </c>
      <c r="U283" s="152" t="s">
        <v>644</v>
      </c>
      <c r="V283" s="152" t="s">
        <v>96</v>
      </c>
      <c r="W283" s="152" t="s">
        <v>643</v>
      </c>
      <c r="Y283" s="152" t="s">
        <v>637</v>
      </c>
      <c r="Z283" s="152" t="s">
        <v>642</v>
      </c>
      <c r="AA283" s="152" t="s">
        <v>665</v>
      </c>
      <c r="AB283" s="152" t="s">
        <v>640</v>
      </c>
      <c r="AC283" s="152" t="s">
        <v>701</v>
      </c>
      <c r="AD283" s="152" t="s">
        <v>700</v>
      </c>
      <c r="AE283" s="152" t="s">
        <v>637</v>
      </c>
      <c r="AF283" s="152" t="s">
        <v>637</v>
      </c>
      <c r="AG283" s="152" t="s">
        <v>637</v>
      </c>
      <c r="AH283" s="152" t="s">
        <v>664</v>
      </c>
      <c r="AI283" s="152" t="s">
        <v>699</v>
      </c>
      <c r="AJ283" s="152" t="s">
        <v>680</v>
      </c>
      <c r="AK283" s="152" t="s">
        <v>634</v>
      </c>
      <c r="AL283" s="152" t="s">
        <v>637</v>
      </c>
      <c r="AM283" s="152" t="s">
        <v>994</v>
      </c>
      <c r="AO283" s="152" t="s">
        <v>715</v>
      </c>
      <c r="AP283" s="152" t="s">
        <v>628</v>
      </c>
      <c r="AQ283" s="152" t="s">
        <v>630</v>
      </c>
      <c r="AR283" s="152" t="s">
        <v>629</v>
      </c>
      <c r="AS283" s="152" t="s">
        <v>628</v>
      </c>
      <c r="AT283" s="152" t="s">
        <v>702</v>
      </c>
      <c r="AU283" s="152">
        <v>2018</v>
      </c>
      <c r="AV283" s="339">
        <v>5615</v>
      </c>
      <c r="AW283" s="339">
        <v>1813616</v>
      </c>
      <c r="AX283" s="152">
        <v>27</v>
      </c>
      <c r="AY283" s="152">
        <v>0</v>
      </c>
      <c r="AZ283" s="152">
        <v>75</v>
      </c>
      <c r="BA283" s="152">
        <v>5.1716026999999998E-2</v>
      </c>
      <c r="BB283" s="152">
        <v>460</v>
      </c>
      <c r="BC283" s="152">
        <v>90</v>
      </c>
      <c r="BD283" s="152">
        <v>5.9710001999999998</v>
      </c>
    </row>
    <row r="284" spans="1:56" x14ac:dyDescent="0.25">
      <c r="A284" s="152" t="s">
        <v>922</v>
      </c>
      <c r="B284" s="152">
        <v>43.666181999999999</v>
      </c>
      <c r="C284" s="152">
        <v>-97.259164999999996</v>
      </c>
      <c r="D284" s="152">
        <v>4</v>
      </c>
      <c r="E284" s="152" t="s">
        <v>697</v>
      </c>
      <c r="F284" s="152">
        <v>2016</v>
      </c>
      <c r="G284" s="340">
        <v>42544.114583333336</v>
      </c>
      <c r="H284" s="152" t="s">
        <v>637</v>
      </c>
      <c r="I284" s="152" t="s">
        <v>696</v>
      </c>
      <c r="J284" s="152" t="s">
        <v>697</v>
      </c>
      <c r="L284" s="152" t="s">
        <v>649</v>
      </c>
      <c r="M284" s="152" t="s">
        <v>668</v>
      </c>
      <c r="N284" s="152" t="s">
        <v>637</v>
      </c>
      <c r="O284" s="152" t="s">
        <v>647</v>
      </c>
      <c r="P284" s="152" t="s">
        <v>696</v>
      </c>
      <c r="Q284" s="152" t="s">
        <v>637</v>
      </c>
      <c r="R284" s="152" t="s">
        <v>701</v>
      </c>
      <c r="S284" s="152" t="s">
        <v>637</v>
      </c>
      <c r="T284" s="152" t="s">
        <v>701</v>
      </c>
      <c r="U284" s="152" t="s">
        <v>644</v>
      </c>
      <c r="V284" s="152" t="s">
        <v>96</v>
      </c>
      <c r="W284" s="152" t="s">
        <v>643</v>
      </c>
      <c r="Y284" s="152" t="s">
        <v>637</v>
      </c>
      <c r="Z284" s="152" t="s">
        <v>642</v>
      </c>
      <c r="AA284" s="152" t="s">
        <v>665</v>
      </c>
      <c r="AB284" s="152" t="s">
        <v>640</v>
      </c>
      <c r="AC284" s="152" t="s">
        <v>701</v>
      </c>
      <c r="AD284" s="152" t="s">
        <v>771</v>
      </c>
      <c r="AE284" s="152" t="s">
        <v>637</v>
      </c>
      <c r="AF284" s="152" t="s">
        <v>637</v>
      </c>
      <c r="AG284" s="152" t="s">
        <v>637</v>
      </c>
      <c r="AH284" s="152" t="s">
        <v>664</v>
      </c>
      <c r="AI284" s="152" t="s">
        <v>699</v>
      </c>
      <c r="AJ284" s="152" t="s">
        <v>696</v>
      </c>
      <c r="AL284" s="152" t="s">
        <v>637</v>
      </c>
      <c r="AM284" s="152" t="s">
        <v>1037</v>
      </c>
      <c r="AO284" s="152" t="s">
        <v>715</v>
      </c>
      <c r="AP284" s="152" t="s">
        <v>697</v>
      </c>
      <c r="AQ284" s="152" t="s">
        <v>630</v>
      </c>
      <c r="AS284" s="152" t="s">
        <v>696</v>
      </c>
      <c r="AT284" s="152" t="s">
        <v>702</v>
      </c>
      <c r="AU284" s="152">
        <v>2016</v>
      </c>
      <c r="AV284" s="339">
        <v>5615</v>
      </c>
      <c r="AW284" s="339">
        <v>1607590</v>
      </c>
      <c r="AX284" s="152">
        <v>23</v>
      </c>
      <c r="AY284" s="152">
        <v>-1</v>
      </c>
      <c r="AZ284" s="152">
        <v>75</v>
      </c>
      <c r="BA284" s="152">
        <v>1.7507301099999999</v>
      </c>
      <c r="BB284" s="152">
        <v>80</v>
      </c>
      <c r="BC284" s="152">
        <v>90</v>
      </c>
      <c r="BD284" s="152">
        <v>5.9710001999999998</v>
      </c>
    </row>
    <row r="285" spans="1:56" x14ac:dyDescent="0.25">
      <c r="A285" s="152" t="s">
        <v>922</v>
      </c>
      <c r="B285" s="152">
        <v>43.666195000000002</v>
      </c>
      <c r="C285" s="152">
        <v>-97.259951999999998</v>
      </c>
      <c r="D285" s="152">
        <v>4</v>
      </c>
      <c r="E285" s="152" t="s">
        <v>652</v>
      </c>
      <c r="F285" s="152">
        <v>2016</v>
      </c>
      <c r="G285" s="340">
        <v>42563.53125</v>
      </c>
      <c r="H285" s="152" t="s">
        <v>637</v>
      </c>
      <c r="I285" s="152" t="s">
        <v>669</v>
      </c>
      <c r="J285" s="152" t="s">
        <v>935</v>
      </c>
      <c r="K285" s="152" t="s">
        <v>743</v>
      </c>
      <c r="L285" s="152" t="s">
        <v>649</v>
      </c>
      <c r="M285" s="152" t="s">
        <v>736</v>
      </c>
      <c r="N285" s="152" t="s">
        <v>637</v>
      </c>
      <c r="O285" s="152" t="s">
        <v>647</v>
      </c>
      <c r="P285" s="152" t="s">
        <v>887</v>
      </c>
      <c r="Q285" s="152" t="s">
        <v>637</v>
      </c>
      <c r="R285" s="152" t="s">
        <v>656</v>
      </c>
      <c r="S285" s="152" t="s">
        <v>637</v>
      </c>
      <c r="T285" s="152" t="s">
        <v>656</v>
      </c>
      <c r="U285" s="152" t="s">
        <v>644</v>
      </c>
      <c r="V285" s="152" t="s">
        <v>96</v>
      </c>
      <c r="W285" s="152" t="s">
        <v>643</v>
      </c>
      <c r="Y285" s="152" t="s">
        <v>637</v>
      </c>
      <c r="Z285" s="152" t="s">
        <v>642</v>
      </c>
      <c r="AA285" s="152" t="s">
        <v>641</v>
      </c>
      <c r="AB285" s="152" t="s">
        <v>740</v>
      </c>
      <c r="AC285" s="152" t="s">
        <v>656</v>
      </c>
      <c r="AD285" s="152" t="s">
        <v>805</v>
      </c>
      <c r="AE285" s="152" t="s">
        <v>637</v>
      </c>
      <c r="AF285" s="152" t="s">
        <v>637</v>
      </c>
      <c r="AG285" s="152" t="s">
        <v>637</v>
      </c>
      <c r="AH285" s="152" t="s">
        <v>664</v>
      </c>
      <c r="AI285" s="152" t="s">
        <v>628</v>
      </c>
      <c r="AJ285" s="152" t="s">
        <v>680</v>
      </c>
      <c r="AK285" s="152" t="s">
        <v>634</v>
      </c>
      <c r="AL285" s="152" t="s">
        <v>637</v>
      </c>
      <c r="AM285" s="152" t="s">
        <v>1036</v>
      </c>
      <c r="AO285" s="152" t="s">
        <v>715</v>
      </c>
      <c r="AP285" s="152" t="s">
        <v>628</v>
      </c>
      <c r="AQ285" s="152" t="s">
        <v>662</v>
      </c>
      <c r="AR285" s="152" t="s">
        <v>629</v>
      </c>
      <c r="AS285" s="152" t="s">
        <v>628</v>
      </c>
      <c r="AT285" s="152" t="s">
        <v>702</v>
      </c>
      <c r="AU285" s="152">
        <v>2016</v>
      </c>
      <c r="AV285" s="339">
        <v>5615</v>
      </c>
      <c r="AW285" s="339">
        <v>1608352</v>
      </c>
      <c r="AX285" s="152">
        <v>12</v>
      </c>
      <c r="AY285" s="152">
        <v>0</v>
      </c>
      <c r="AZ285" s="152">
        <v>75</v>
      </c>
      <c r="BA285" s="152">
        <v>0.47372382299999999</v>
      </c>
      <c r="BB285" s="152">
        <v>89</v>
      </c>
      <c r="BC285" s="152">
        <v>90</v>
      </c>
      <c r="BD285" s="152">
        <v>5.9710001999999998</v>
      </c>
    </row>
    <row r="286" spans="1:56" x14ac:dyDescent="0.25">
      <c r="A286" s="152" t="s">
        <v>922</v>
      </c>
      <c r="B286" s="152">
        <v>43.666201000000001</v>
      </c>
      <c r="C286" s="152">
        <v>-97.191877000000005</v>
      </c>
      <c r="D286" s="152">
        <v>4</v>
      </c>
      <c r="E286" s="152" t="s">
        <v>759</v>
      </c>
      <c r="F286" s="152">
        <v>2017</v>
      </c>
      <c r="G286" s="340">
        <v>43054</v>
      </c>
      <c r="H286" s="152" t="s">
        <v>637</v>
      </c>
      <c r="I286" s="152" t="s">
        <v>669</v>
      </c>
      <c r="J286" s="152" t="s">
        <v>879</v>
      </c>
      <c r="L286" s="152" t="s">
        <v>649</v>
      </c>
      <c r="M286" s="152" t="s">
        <v>676</v>
      </c>
      <c r="N286" s="152" t="s">
        <v>637</v>
      </c>
      <c r="O286" s="152" t="s">
        <v>647</v>
      </c>
      <c r="P286" s="152" t="s">
        <v>628</v>
      </c>
      <c r="Q286" s="152" t="s">
        <v>637</v>
      </c>
      <c r="R286" s="152" t="s">
        <v>1035</v>
      </c>
      <c r="S286" s="152" t="s">
        <v>637</v>
      </c>
      <c r="T286" s="152" t="s">
        <v>701</v>
      </c>
      <c r="U286" s="152" t="s">
        <v>644</v>
      </c>
      <c r="V286" s="152" t="s">
        <v>96</v>
      </c>
      <c r="W286" s="152" t="s">
        <v>643</v>
      </c>
      <c r="Y286" s="152" t="s">
        <v>637</v>
      </c>
      <c r="Z286" s="152" t="s">
        <v>642</v>
      </c>
      <c r="AA286" s="152" t="s">
        <v>665</v>
      </c>
      <c r="AB286" s="152" t="s">
        <v>640</v>
      </c>
      <c r="AC286" s="152" t="s">
        <v>708</v>
      </c>
      <c r="AD286" s="152" t="s">
        <v>673</v>
      </c>
      <c r="AE286" s="152" t="s">
        <v>637</v>
      </c>
      <c r="AF286" s="152" t="s">
        <v>637</v>
      </c>
      <c r="AG286" s="152" t="s">
        <v>637</v>
      </c>
      <c r="AH286" s="152" t="s">
        <v>664</v>
      </c>
      <c r="AI286" s="152" t="s">
        <v>699</v>
      </c>
      <c r="AJ286" s="152" t="s">
        <v>680</v>
      </c>
      <c r="AK286" s="152" t="s">
        <v>981</v>
      </c>
      <c r="AL286" s="152" t="s">
        <v>637</v>
      </c>
      <c r="AM286" s="152" t="s">
        <v>1034</v>
      </c>
      <c r="AO286" s="152" t="s">
        <v>715</v>
      </c>
      <c r="AP286" s="152" t="s">
        <v>628</v>
      </c>
      <c r="AQ286" s="152" t="s">
        <v>703</v>
      </c>
      <c r="AR286" s="152" t="s">
        <v>629</v>
      </c>
      <c r="AS286" s="152" t="s">
        <v>628</v>
      </c>
      <c r="AT286" s="152" t="s">
        <v>702</v>
      </c>
      <c r="AU286" s="152">
        <v>2017</v>
      </c>
      <c r="AV286" s="339">
        <v>5615</v>
      </c>
      <c r="AW286" s="339">
        <v>1715315</v>
      </c>
      <c r="AX286" s="152">
        <v>15</v>
      </c>
      <c r="AY286" s="152">
        <v>0</v>
      </c>
      <c r="AZ286" s="152">
        <v>75</v>
      </c>
      <c r="BA286" s="152">
        <v>2.3152375279999999</v>
      </c>
      <c r="BB286" s="152">
        <v>297</v>
      </c>
      <c r="BC286" s="152">
        <v>90</v>
      </c>
      <c r="BD286" s="152">
        <v>5.9710001999999998</v>
      </c>
    </row>
    <row r="287" spans="1:56" x14ac:dyDescent="0.25">
      <c r="A287" s="152" t="s">
        <v>922</v>
      </c>
      <c r="B287" s="152">
        <v>43.666221</v>
      </c>
      <c r="C287" s="152">
        <v>-97.188834</v>
      </c>
      <c r="D287" s="152">
        <v>4</v>
      </c>
      <c r="E287" s="152" t="s">
        <v>652</v>
      </c>
      <c r="F287" s="152">
        <v>2020</v>
      </c>
      <c r="G287" s="340">
        <v>44124.291666666664</v>
      </c>
      <c r="H287" s="152" t="s">
        <v>637</v>
      </c>
      <c r="I287" s="152" t="s">
        <v>669</v>
      </c>
      <c r="J287" s="152" t="s">
        <v>650</v>
      </c>
      <c r="L287" s="152" t="s">
        <v>649</v>
      </c>
      <c r="M287" s="152" t="s">
        <v>736</v>
      </c>
      <c r="N287" s="152" t="s">
        <v>637</v>
      </c>
      <c r="O287" s="152" t="s">
        <v>647</v>
      </c>
      <c r="P287" s="152" t="s">
        <v>628</v>
      </c>
      <c r="Q287" s="152" t="s">
        <v>637</v>
      </c>
      <c r="R287" s="152" t="s">
        <v>1033</v>
      </c>
      <c r="S287" s="152" t="s">
        <v>637</v>
      </c>
      <c r="T287" s="152" t="s">
        <v>723</v>
      </c>
      <c r="U287" s="152" t="s">
        <v>644</v>
      </c>
      <c r="V287" s="152" t="s">
        <v>96</v>
      </c>
      <c r="W287" s="152" t="s">
        <v>643</v>
      </c>
      <c r="Y287" s="152" t="s">
        <v>637</v>
      </c>
      <c r="Z287" s="152" t="s">
        <v>642</v>
      </c>
      <c r="AA287" s="152" t="s">
        <v>641</v>
      </c>
      <c r="AB287" s="152" t="s">
        <v>640</v>
      </c>
      <c r="AC287" s="152" t="s">
        <v>723</v>
      </c>
      <c r="AD287" s="152" t="s">
        <v>700</v>
      </c>
      <c r="AE287" s="152" t="s">
        <v>637</v>
      </c>
      <c r="AF287" s="152" t="s">
        <v>637</v>
      </c>
      <c r="AG287" s="152" t="s">
        <v>637</v>
      </c>
      <c r="AH287" s="152" t="s">
        <v>636</v>
      </c>
      <c r="AI287" s="152" t="s">
        <v>655</v>
      </c>
      <c r="AJ287" s="152" t="s">
        <v>680</v>
      </c>
      <c r="AK287" s="152" t="s">
        <v>634</v>
      </c>
      <c r="AL287" s="152" t="s">
        <v>637</v>
      </c>
      <c r="AM287" s="152" t="s">
        <v>1032</v>
      </c>
      <c r="AO287" s="152" t="s">
        <v>715</v>
      </c>
      <c r="AP287" s="152" t="s">
        <v>628</v>
      </c>
      <c r="AQ287" s="152" t="s">
        <v>630</v>
      </c>
      <c r="AR287" s="152" t="s">
        <v>629</v>
      </c>
      <c r="AS287" s="152" t="s">
        <v>678</v>
      </c>
      <c r="AT287" s="152" t="s">
        <v>1008</v>
      </c>
      <c r="AU287" s="152">
        <v>2020</v>
      </c>
      <c r="AV287" s="339">
        <v>5615</v>
      </c>
      <c r="AW287" s="339">
        <v>2013230</v>
      </c>
      <c r="AX287" s="152">
        <v>20</v>
      </c>
      <c r="AY287" s="152">
        <v>0</v>
      </c>
      <c r="AZ287" s="152">
        <v>75</v>
      </c>
      <c r="BA287" s="152">
        <v>4.5419526750000001</v>
      </c>
      <c r="BB287" s="152">
        <v>743</v>
      </c>
      <c r="BC287" s="152">
        <v>90</v>
      </c>
      <c r="BD287" s="152">
        <v>5.9710001999999998</v>
      </c>
    </row>
    <row r="288" spans="1:56" x14ac:dyDescent="0.25">
      <c r="A288" s="152" t="s">
        <v>922</v>
      </c>
      <c r="B288" s="152">
        <v>43.666224999999997</v>
      </c>
      <c r="C288" s="152">
        <v>-97.189404999999994</v>
      </c>
      <c r="D288" s="152">
        <v>4</v>
      </c>
      <c r="E288" s="152" t="s">
        <v>697</v>
      </c>
      <c r="F288" s="152">
        <v>2017</v>
      </c>
      <c r="G288" s="340">
        <v>43079.75</v>
      </c>
      <c r="H288" s="152" t="s">
        <v>637</v>
      </c>
      <c r="I288" s="152" t="s">
        <v>696</v>
      </c>
      <c r="J288" s="152" t="s">
        <v>697</v>
      </c>
      <c r="L288" s="152" t="s">
        <v>649</v>
      </c>
      <c r="M288" s="152" t="s">
        <v>712</v>
      </c>
      <c r="N288" s="152" t="s">
        <v>637</v>
      </c>
      <c r="O288" s="152" t="s">
        <v>647</v>
      </c>
      <c r="P288" s="152" t="s">
        <v>696</v>
      </c>
      <c r="Q288" s="152" t="s">
        <v>637</v>
      </c>
      <c r="R288" s="152" t="s">
        <v>701</v>
      </c>
      <c r="S288" s="152" t="s">
        <v>637</v>
      </c>
      <c r="T288" s="152" t="s">
        <v>701</v>
      </c>
      <c r="U288" s="152" t="s">
        <v>644</v>
      </c>
      <c r="V288" s="152" t="s">
        <v>96</v>
      </c>
      <c r="W288" s="152" t="s">
        <v>643</v>
      </c>
      <c r="Y288" s="152" t="s">
        <v>637</v>
      </c>
      <c r="Z288" s="152" t="s">
        <v>642</v>
      </c>
      <c r="AA288" s="152" t="s">
        <v>665</v>
      </c>
      <c r="AB288" s="152" t="s">
        <v>640</v>
      </c>
      <c r="AC288" s="152" t="s">
        <v>701</v>
      </c>
      <c r="AD288" s="152" t="s">
        <v>681</v>
      </c>
      <c r="AE288" s="152" t="s">
        <v>637</v>
      </c>
      <c r="AF288" s="152" t="s">
        <v>637</v>
      </c>
      <c r="AG288" s="152" t="s">
        <v>637</v>
      </c>
      <c r="AH288" s="152" t="s">
        <v>664</v>
      </c>
      <c r="AI288" s="152" t="s">
        <v>696</v>
      </c>
      <c r="AJ288" s="152" t="s">
        <v>696</v>
      </c>
      <c r="AL288" s="152" t="s">
        <v>637</v>
      </c>
      <c r="AM288" s="152" t="s">
        <v>925</v>
      </c>
      <c r="AO288" s="152" t="s">
        <v>715</v>
      </c>
      <c r="AP288" s="152" t="s">
        <v>697</v>
      </c>
      <c r="AQ288" s="152" t="s">
        <v>671</v>
      </c>
      <c r="AS288" s="152" t="s">
        <v>696</v>
      </c>
      <c r="AT288" s="152" t="s">
        <v>702</v>
      </c>
      <c r="AU288" s="152">
        <v>2017</v>
      </c>
      <c r="AV288" s="339">
        <v>5615</v>
      </c>
      <c r="AW288" s="339">
        <v>1717100</v>
      </c>
      <c r="AX288" s="152">
        <v>10</v>
      </c>
      <c r="AY288" s="152">
        <v>-1</v>
      </c>
      <c r="AZ288" s="152">
        <v>75</v>
      </c>
      <c r="BA288" s="152">
        <v>1.300776178</v>
      </c>
      <c r="BB288" s="152">
        <v>314</v>
      </c>
      <c r="BC288" s="152">
        <v>90</v>
      </c>
      <c r="BD288" s="152">
        <v>5.9710001999999998</v>
      </c>
    </row>
    <row r="289" spans="1:56" x14ac:dyDescent="0.25">
      <c r="A289" s="152" t="s">
        <v>922</v>
      </c>
      <c r="B289" s="152">
        <v>43.666224999999997</v>
      </c>
      <c r="C289" s="152">
        <v>-97.189351000000002</v>
      </c>
      <c r="D289" s="152">
        <v>4</v>
      </c>
      <c r="E289" s="152" t="s">
        <v>652</v>
      </c>
      <c r="F289" s="152">
        <v>2018</v>
      </c>
      <c r="G289" s="340">
        <v>43141.236111111109</v>
      </c>
      <c r="H289" s="152" t="s">
        <v>637</v>
      </c>
      <c r="I289" s="152" t="s">
        <v>669</v>
      </c>
      <c r="J289" s="152" t="s">
        <v>650</v>
      </c>
      <c r="L289" s="152" t="s">
        <v>649</v>
      </c>
      <c r="M289" s="152" t="s">
        <v>693</v>
      </c>
      <c r="N289" s="152" t="s">
        <v>637</v>
      </c>
      <c r="O289" s="152" t="s">
        <v>647</v>
      </c>
      <c r="P289" s="152" t="s">
        <v>840</v>
      </c>
      <c r="Q289" s="152" t="s">
        <v>637</v>
      </c>
      <c r="R289" s="152" t="s">
        <v>1031</v>
      </c>
      <c r="S289" s="152" t="s">
        <v>637</v>
      </c>
      <c r="T289" s="152" t="s">
        <v>708</v>
      </c>
      <c r="U289" s="152" t="s">
        <v>644</v>
      </c>
      <c r="V289" s="152" t="s">
        <v>96</v>
      </c>
      <c r="W289" s="152" t="s">
        <v>643</v>
      </c>
      <c r="Y289" s="152" t="s">
        <v>637</v>
      </c>
      <c r="Z289" s="152" t="s">
        <v>642</v>
      </c>
      <c r="AA289" s="152" t="s">
        <v>665</v>
      </c>
      <c r="AB289" s="152" t="s">
        <v>640</v>
      </c>
      <c r="AC289" s="152" t="s">
        <v>708</v>
      </c>
      <c r="AD289" s="152" t="s">
        <v>718</v>
      </c>
      <c r="AE289" s="152" t="s">
        <v>637</v>
      </c>
      <c r="AF289" s="152" t="s">
        <v>633</v>
      </c>
      <c r="AG289" s="152" t="s">
        <v>637</v>
      </c>
      <c r="AH289" s="152" t="s">
        <v>664</v>
      </c>
      <c r="AI289" s="152" t="s">
        <v>628</v>
      </c>
      <c r="AJ289" s="152" t="s">
        <v>635</v>
      </c>
      <c r="AK289" s="152" t="s">
        <v>634</v>
      </c>
      <c r="AL289" s="152" t="s">
        <v>637</v>
      </c>
      <c r="AM289" s="152" t="s">
        <v>1030</v>
      </c>
      <c r="AO289" s="152" t="s">
        <v>715</v>
      </c>
      <c r="AP289" s="152" t="s">
        <v>628</v>
      </c>
      <c r="AQ289" s="152" t="s">
        <v>630</v>
      </c>
      <c r="AR289" s="152" t="s">
        <v>629</v>
      </c>
      <c r="AS289" s="152" t="s">
        <v>628</v>
      </c>
      <c r="AT289" s="152" t="s">
        <v>695</v>
      </c>
      <c r="AU289" s="152">
        <v>2018</v>
      </c>
      <c r="AV289" s="339">
        <v>5615</v>
      </c>
      <c r="AW289" s="339">
        <v>1802482</v>
      </c>
      <c r="AX289" s="152">
        <v>10</v>
      </c>
      <c r="AY289" s="152">
        <v>0</v>
      </c>
      <c r="AZ289" s="152">
        <v>75</v>
      </c>
      <c r="BA289" s="152">
        <v>1.469505265</v>
      </c>
      <c r="BB289" s="152">
        <v>337</v>
      </c>
      <c r="BC289" s="152">
        <v>90</v>
      </c>
      <c r="BD289" s="152">
        <v>5.9710001999999998</v>
      </c>
    </row>
    <row r="290" spans="1:56" x14ac:dyDescent="0.25">
      <c r="A290" s="152" t="s">
        <v>922</v>
      </c>
      <c r="B290" s="152">
        <v>43.666226000000002</v>
      </c>
      <c r="C290" s="152">
        <v>-97.189345000000003</v>
      </c>
      <c r="D290" s="152">
        <v>4</v>
      </c>
      <c r="E290" s="152" t="s">
        <v>697</v>
      </c>
      <c r="F290" s="152">
        <v>2017</v>
      </c>
      <c r="G290" s="340">
        <v>42984.041666666664</v>
      </c>
      <c r="H290" s="152" t="s">
        <v>637</v>
      </c>
      <c r="I290" s="152" t="s">
        <v>696</v>
      </c>
      <c r="J290" s="152" t="s">
        <v>697</v>
      </c>
      <c r="L290" s="152" t="s">
        <v>649</v>
      </c>
      <c r="M290" s="152" t="s">
        <v>676</v>
      </c>
      <c r="N290" s="152" t="s">
        <v>637</v>
      </c>
      <c r="O290" s="152" t="s">
        <v>647</v>
      </c>
      <c r="P290" s="152" t="s">
        <v>696</v>
      </c>
      <c r="Q290" s="152" t="s">
        <v>637</v>
      </c>
      <c r="R290" s="152" t="s">
        <v>701</v>
      </c>
      <c r="S290" s="152" t="s">
        <v>637</v>
      </c>
      <c r="T290" s="152" t="s">
        <v>701</v>
      </c>
      <c r="U290" s="152" t="s">
        <v>644</v>
      </c>
      <c r="V290" s="152" t="s">
        <v>96</v>
      </c>
      <c r="W290" s="152" t="s">
        <v>643</v>
      </c>
      <c r="Y290" s="152" t="s">
        <v>637</v>
      </c>
      <c r="Z290" s="152" t="s">
        <v>642</v>
      </c>
      <c r="AA290" s="152" t="s">
        <v>665</v>
      </c>
      <c r="AB290" s="152" t="s">
        <v>640</v>
      </c>
      <c r="AC290" s="152" t="s">
        <v>701</v>
      </c>
      <c r="AD290" s="152" t="s">
        <v>706</v>
      </c>
      <c r="AE290" s="152" t="s">
        <v>637</v>
      </c>
      <c r="AF290" s="152" t="s">
        <v>637</v>
      </c>
      <c r="AG290" s="152" t="s">
        <v>637</v>
      </c>
      <c r="AH290" s="152" t="s">
        <v>664</v>
      </c>
      <c r="AI290" s="152" t="s">
        <v>699</v>
      </c>
      <c r="AJ290" s="152" t="s">
        <v>696</v>
      </c>
      <c r="AL290" s="152" t="s">
        <v>637</v>
      </c>
      <c r="AM290" s="152" t="s">
        <v>968</v>
      </c>
      <c r="AO290" s="152" t="s">
        <v>715</v>
      </c>
      <c r="AP290" s="152" t="s">
        <v>697</v>
      </c>
      <c r="AQ290" s="152" t="s">
        <v>630</v>
      </c>
      <c r="AS290" s="152" t="s">
        <v>696</v>
      </c>
      <c r="AT290" s="152" t="s">
        <v>702</v>
      </c>
      <c r="AU290" s="152">
        <v>2017</v>
      </c>
      <c r="AV290" s="339">
        <v>5615</v>
      </c>
      <c r="AW290" s="339">
        <v>1711733</v>
      </c>
      <c r="AX290" s="152">
        <v>6</v>
      </c>
      <c r="AY290" s="152">
        <v>-1</v>
      </c>
      <c r="AZ290" s="152">
        <v>75</v>
      </c>
      <c r="BA290" s="152">
        <v>1.12354869</v>
      </c>
      <c r="BB290" s="152">
        <v>280</v>
      </c>
      <c r="BC290" s="152">
        <v>90</v>
      </c>
      <c r="BD290" s="152">
        <v>5.9710001999999998</v>
      </c>
    </row>
    <row r="291" spans="1:56" x14ac:dyDescent="0.25">
      <c r="A291" s="152" t="s">
        <v>922</v>
      </c>
      <c r="B291" s="152">
        <v>43.666229999999999</v>
      </c>
      <c r="C291" s="152">
        <v>-97.188918999999999</v>
      </c>
      <c r="D291" s="152">
        <v>4</v>
      </c>
      <c r="E291" s="152" t="s">
        <v>652</v>
      </c>
      <c r="F291" s="152">
        <v>2016</v>
      </c>
      <c r="G291" s="340">
        <v>42372.665972222225</v>
      </c>
      <c r="H291" s="152" t="s">
        <v>633</v>
      </c>
      <c r="I291" s="152" t="s">
        <v>669</v>
      </c>
      <c r="J291" s="152" t="s">
        <v>1029</v>
      </c>
      <c r="K291" s="152" t="s">
        <v>1028</v>
      </c>
      <c r="L291" s="152" t="s">
        <v>649</v>
      </c>
      <c r="M291" s="152" t="s">
        <v>712</v>
      </c>
      <c r="N291" s="152" t="s">
        <v>637</v>
      </c>
      <c r="O291" s="152" t="s">
        <v>647</v>
      </c>
      <c r="P291" s="152" t="s">
        <v>1027</v>
      </c>
      <c r="Q291" s="152" t="s">
        <v>633</v>
      </c>
      <c r="R291" s="152" t="s">
        <v>724</v>
      </c>
      <c r="S291" s="152" t="s">
        <v>637</v>
      </c>
      <c r="T291" s="152" t="s">
        <v>723</v>
      </c>
      <c r="U291" s="152" t="s">
        <v>644</v>
      </c>
      <c r="V291" s="152" t="s">
        <v>96</v>
      </c>
      <c r="W291" s="152" t="s">
        <v>643</v>
      </c>
      <c r="Y291" s="152" t="s">
        <v>633</v>
      </c>
      <c r="Z291" s="152" t="s">
        <v>783</v>
      </c>
      <c r="AA291" s="152" t="s">
        <v>641</v>
      </c>
      <c r="AB291" s="152" t="s">
        <v>640</v>
      </c>
      <c r="AC291" s="152" t="s">
        <v>723</v>
      </c>
      <c r="AD291" s="152" t="s">
        <v>638</v>
      </c>
      <c r="AE291" s="152" t="s">
        <v>637</v>
      </c>
      <c r="AF291" s="152" t="s">
        <v>637</v>
      </c>
      <c r="AG291" s="152" t="s">
        <v>637</v>
      </c>
      <c r="AH291" s="152" t="s">
        <v>664</v>
      </c>
      <c r="AI291" s="152" t="s">
        <v>628</v>
      </c>
      <c r="AJ291" s="152" t="s">
        <v>680</v>
      </c>
      <c r="AL291" s="152" t="s">
        <v>637</v>
      </c>
      <c r="AM291" s="152" t="s">
        <v>1026</v>
      </c>
      <c r="AO291" s="152" t="s">
        <v>715</v>
      </c>
      <c r="AP291" s="152" t="s">
        <v>628</v>
      </c>
      <c r="AQ291" s="152" t="s">
        <v>630</v>
      </c>
      <c r="AR291" s="152" t="s">
        <v>629</v>
      </c>
      <c r="AS291" s="152" t="s">
        <v>678</v>
      </c>
      <c r="AT291" s="152" t="s">
        <v>695</v>
      </c>
      <c r="AU291" s="152">
        <v>2016</v>
      </c>
      <c r="AV291" s="339">
        <v>5615</v>
      </c>
      <c r="AW291" s="339">
        <v>1600066</v>
      </c>
      <c r="AX291" s="152">
        <v>3</v>
      </c>
      <c r="AY291" s="152">
        <v>0</v>
      </c>
      <c r="AZ291" s="152">
        <v>75</v>
      </c>
      <c r="BA291" s="152">
        <v>0.99633345200000001</v>
      </c>
      <c r="BB291" s="152">
        <v>2</v>
      </c>
      <c r="BC291" s="152">
        <v>90</v>
      </c>
      <c r="BD291" s="152">
        <v>5.9710001999999998</v>
      </c>
    </row>
    <row r="292" spans="1:56" x14ac:dyDescent="0.25">
      <c r="A292" s="152" t="s">
        <v>922</v>
      </c>
      <c r="B292" s="152">
        <v>43.666246000000001</v>
      </c>
      <c r="C292" s="152">
        <v>-97.265130999999997</v>
      </c>
      <c r="D292" s="152">
        <v>4</v>
      </c>
      <c r="E292" s="152" t="s">
        <v>697</v>
      </c>
      <c r="F292" s="152">
        <v>2020</v>
      </c>
      <c r="G292" s="340">
        <v>44135.801388888889</v>
      </c>
      <c r="H292" s="152" t="s">
        <v>637</v>
      </c>
      <c r="I292" s="152" t="s">
        <v>696</v>
      </c>
      <c r="J292" s="152" t="s">
        <v>697</v>
      </c>
      <c r="L292" s="152" t="s">
        <v>649</v>
      </c>
      <c r="M292" s="152" t="s">
        <v>693</v>
      </c>
      <c r="N292" s="152" t="s">
        <v>637</v>
      </c>
      <c r="O292" s="152" t="s">
        <v>647</v>
      </c>
      <c r="P292" s="152" t="s">
        <v>696</v>
      </c>
      <c r="Q292" s="152" t="s">
        <v>637</v>
      </c>
      <c r="R292" s="152" t="s">
        <v>701</v>
      </c>
      <c r="S292" s="152" t="s">
        <v>637</v>
      </c>
      <c r="T292" s="152" t="s">
        <v>701</v>
      </c>
      <c r="U292" s="152" t="s">
        <v>644</v>
      </c>
      <c r="V292" s="152" t="s">
        <v>96</v>
      </c>
      <c r="W292" s="152" t="s">
        <v>643</v>
      </c>
      <c r="Y292" s="152" t="s">
        <v>637</v>
      </c>
      <c r="Z292" s="152" t="s">
        <v>696</v>
      </c>
      <c r="AA292" s="152" t="s">
        <v>665</v>
      </c>
      <c r="AB292" s="152" t="s">
        <v>640</v>
      </c>
      <c r="AC292" s="152" t="s">
        <v>701</v>
      </c>
      <c r="AD292" s="152" t="s">
        <v>700</v>
      </c>
      <c r="AE292" s="152" t="s">
        <v>637</v>
      </c>
      <c r="AF292" s="152" t="s">
        <v>637</v>
      </c>
      <c r="AG292" s="152" t="s">
        <v>637</v>
      </c>
      <c r="AH292" s="152" t="s">
        <v>664</v>
      </c>
      <c r="AI292" s="152" t="s">
        <v>699</v>
      </c>
      <c r="AJ292" s="152" t="s">
        <v>696</v>
      </c>
      <c r="AL292" s="152" t="s">
        <v>637</v>
      </c>
      <c r="AM292" s="152" t="s">
        <v>1025</v>
      </c>
      <c r="AO292" s="152" t="s">
        <v>715</v>
      </c>
      <c r="AP292" s="152" t="s">
        <v>697</v>
      </c>
      <c r="AQ292" s="152" t="s">
        <v>630</v>
      </c>
      <c r="AS292" s="152" t="s">
        <v>696</v>
      </c>
      <c r="AT292" s="152" t="s">
        <v>702</v>
      </c>
      <c r="AU292" s="152">
        <v>2020</v>
      </c>
      <c r="AV292" s="339">
        <v>5615</v>
      </c>
      <c r="AW292" s="339">
        <v>2013619</v>
      </c>
      <c r="AX292" s="152">
        <v>31</v>
      </c>
      <c r="AY292" s="152">
        <v>-1</v>
      </c>
      <c r="AZ292" s="152">
        <v>75</v>
      </c>
      <c r="BA292" s="152">
        <v>2.6275966000000001E-2</v>
      </c>
      <c r="BB292" s="152">
        <v>748</v>
      </c>
      <c r="BC292" s="152">
        <v>90</v>
      </c>
      <c r="BD292" s="152">
        <v>5.9710001999999998</v>
      </c>
    </row>
    <row r="293" spans="1:56" x14ac:dyDescent="0.25">
      <c r="A293" s="152" t="s">
        <v>922</v>
      </c>
      <c r="B293" s="152">
        <v>43.666251000000003</v>
      </c>
      <c r="C293" s="152">
        <v>-97.265572000000006</v>
      </c>
      <c r="D293" s="152">
        <v>4</v>
      </c>
      <c r="E293" s="152" t="s">
        <v>697</v>
      </c>
      <c r="F293" s="152">
        <v>2020</v>
      </c>
      <c r="G293" s="340">
        <v>44135.798611111109</v>
      </c>
      <c r="H293" s="152" t="s">
        <v>637</v>
      </c>
      <c r="I293" s="152" t="s">
        <v>696</v>
      </c>
      <c r="J293" s="152" t="s">
        <v>697</v>
      </c>
      <c r="L293" s="152" t="s">
        <v>649</v>
      </c>
      <c r="M293" s="152" t="s">
        <v>693</v>
      </c>
      <c r="N293" s="152" t="s">
        <v>637</v>
      </c>
      <c r="O293" s="152" t="s">
        <v>647</v>
      </c>
      <c r="P293" s="152" t="s">
        <v>696</v>
      </c>
      <c r="Q293" s="152" t="s">
        <v>637</v>
      </c>
      <c r="R293" s="152" t="s">
        <v>701</v>
      </c>
      <c r="S293" s="152" t="s">
        <v>637</v>
      </c>
      <c r="T293" s="152" t="s">
        <v>701</v>
      </c>
      <c r="U293" s="152" t="s">
        <v>644</v>
      </c>
      <c r="V293" s="152" t="s">
        <v>96</v>
      </c>
      <c r="W293" s="152" t="s">
        <v>643</v>
      </c>
      <c r="Y293" s="152" t="s">
        <v>637</v>
      </c>
      <c r="Z293" s="152" t="s">
        <v>696</v>
      </c>
      <c r="AA293" s="152" t="s">
        <v>665</v>
      </c>
      <c r="AB293" s="152" t="s">
        <v>640</v>
      </c>
      <c r="AC293" s="152" t="s">
        <v>701</v>
      </c>
      <c r="AD293" s="152" t="s">
        <v>700</v>
      </c>
      <c r="AE293" s="152" t="s">
        <v>637</v>
      </c>
      <c r="AF293" s="152" t="s">
        <v>637</v>
      </c>
      <c r="AG293" s="152" t="s">
        <v>637</v>
      </c>
      <c r="AH293" s="152" t="s">
        <v>664</v>
      </c>
      <c r="AI293" s="152" t="s">
        <v>699</v>
      </c>
      <c r="AJ293" s="152" t="s">
        <v>696</v>
      </c>
      <c r="AL293" s="152" t="s">
        <v>637</v>
      </c>
      <c r="AM293" s="152" t="s">
        <v>1024</v>
      </c>
      <c r="AO293" s="152" t="s">
        <v>715</v>
      </c>
      <c r="AP293" s="152" t="s">
        <v>697</v>
      </c>
      <c r="AQ293" s="152" t="s">
        <v>671</v>
      </c>
      <c r="AS293" s="152" t="s">
        <v>696</v>
      </c>
      <c r="AT293" s="152" t="s">
        <v>702</v>
      </c>
      <c r="AU293" s="152">
        <v>2020</v>
      </c>
      <c r="AV293" s="339">
        <v>5615</v>
      </c>
      <c r="AW293" s="339">
        <v>2013618</v>
      </c>
      <c r="AX293" s="152">
        <v>31</v>
      </c>
      <c r="AY293" s="152">
        <v>-1</v>
      </c>
      <c r="AZ293" s="152">
        <v>75</v>
      </c>
      <c r="BA293" s="152">
        <v>9.3543504999999999E-2</v>
      </c>
      <c r="BB293" s="152">
        <v>747</v>
      </c>
      <c r="BC293" s="152">
        <v>90</v>
      </c>
      <c r="BD293" s="152">
        <v>5.9710001999999998</v>
      </c>
    </row>
    <row r="294" spans="1:56" x14ac:dyDescent="0.25">
      <c r="A294" s="152" t="s">
        <v>922</v>
      </c>
      <c r="B294" s="152">
        <v>43.666283</v>
      </c>
      <c r="C294" s="152">
        <v>-97.268555000000006</v>
      </c>
      <c r="D294" s="152">
        <v>4</v>
      </c>
      <c r="E294" s="152" t="s">
        <v>697</v>
      </c>
      <c r="F294" s="152">
        <v>2019</v>
      </c>
      <c r="G294" s="340">
        <v>43753.239583333336</v>
      </c>
      <c r="H294" s="152" t="s">
        <v>637</v>
      </c>
      <c r="I294" s="152" t="s">
        <v>696</v>
      </c>
      <c r="J294" s="152" t="s">
        <v>697</v>
      </c>
      <c r="L294" s="152" t="s">
        <v>649</v>
      </c>
      <c r="M294" s="152" t="s">
        <v>736</v>
      </c>
      <c r="N294" s="152" t="s">
        <v>637</v>
      </c>
      <c r="O294" s="152" t="s">
        <v>647</v>
      </c>
      <c r="P294" s="152" t="s">
        <v>696</v>
      </c>
      <c r="Q294" s="152" t="s">
        <v>637</v>
      </c>
      <c r="R294" s="152" t="s">
        <v>701</v>
      </c>
      <c r="S294" s="152" t="s">
        <v>637</v>
      </c>
      <c r="T294" s="152" t="s">
        <v>701</v>
      </c>
      <c r="U294" s="152" t="s">
        <v>644</v>
      </c>
      <c r="V294" s="152" t="s">
        <v>96</v>
      </c>
      <c r="W294" s="152" t="s">
        <v>643</v>
      </c>
      <c r="Y294" s="152" t="s">
        <v>637</v>
      </c>
      <c r="Z294" s="152" t="s">
        <v>696</v>
      </c>
      <c r="AA294" s="152" t="s">
        <v>665</v>
      </c>
      <c r="AB294" s="152" t="s">
        <v>640</v>
      </c>
      <c r="AC294" s="152" t="s">
        <v>701</v>
      </c>
      <c r="AD294" s="152" t="s">
        <v>700</v>
      </c>
      <c r="AE294" s="152" t="s">
        <v>637</v>
      </c>
      <c r="AF294" s="152" t="s">
        <v>637</v>
      </c>
      <c r="AG294" s="152" t="s">
        <v>637</v>
      </c>
      <c r="AH294" s="152" t="s">
        <v>664</v>
      </c>
      <c r="AI294" s="152" t="s">
        <v>699</v>
      </c>
      <c r="AJ294" s="152" t="s">
        <v>696</v>
      </c>
      <c r="AL294" s="152" t="s">
        <v>637</v>
      </c>
      <c r="AM294" s="152" t="s">
        <v>860</v>
      </c>
      <c r="AO294" s="152" t="s">
        <v>715</v>
      </c>
      <c r="AP294" s="152" t="s">
        <v>697</v>
      </c>
      <c r="AQ294" s="152" t="s">
        <v>630</v>
      </c>
      <c r="AS294" s="152" t="s">
        <v>696</v>
      </c>
      <c r="AT294" s="152" t="s">
        <v>702</v>
      </c>
      <c r="AU294" s="152">
        <v>2019</v>
      </c>
      <c r="AV294" s="339">
        <v>5615</v>
      </c>
      <c r="AW294" s="339">
        <v>1914266</v>
      </c>
      <c r="AX294" s="152">
        <v>15</v>
      </c>
      <c r="AY294" s="152">
        <v>-1</v>
      </c>
      <c r="AZ294" s="152">
        <v>75</v>
      </c>
      <c r="BA294" s="152">
        <v>5.2385016999999999E-2</v>
      </c>
      <c r="BB294" s="152">
        <v>596</v>
      </c>
      <c r="BC294" s="152">
        <v>90</v>
      </c>
      <c r="BD294" s="152">
        <v>5.9710001999999998</v>
      </c>
    </row>
    <row r="295" spans="1:56" x14ac:dyDescent="0.25">
      <c r="A295" s="152" t="s">
        <v>922</v>
      </c>
      <c r="B295" s="152">
        <v>43.666291999999999</v>
      </c>
      <c r="C295" s="152">
        <v>-97.269508999999999</v>
      </c>
      <c r="D295" s="152">
        <v>4</v>
      </c>
      <c r="E295" s="152" t="s">
        <v>652</v>
      </c>
      <c r="F295" s="152">
        <v>2017</v>
      </c>
      <c r="G295" s="340">
        <v>42908.583333333336</v>
      </c>
      <c r="H295" s="152" t="s">
        <v>637</v>
      </c>
      <c r="I295" s="152" t="s">
        <v>669</v>
      </c>
      <c r="J295" s="152" t="s">
        <v>694</v>
      </c>
      <c r="L295" s="152" t="s">
        <v>649</v>
      </c>
      <c r="M295" s="152" t="s">
        <v>668</v>
      </c>
      <c r="N295" s="152" t="s">
        <v>637</v>
      </c>
      <c r="O295" s="152" t="s">
        <v>647</v>
      </c>
      <c r="P295" s="152" t="s">
        <v>1023</v>
      </c>
      <c r="Q295" s="152" t="s">
        <v>637</v>
      </c>
      <c r="R295" s="152" t="s">
        <v>1022</v>
      </c>
      <c r="S295" s="152" t="s">
        <v>633</v>
      </c>
      <c r="T295" s="152" t="s">
        <v>708</v>
      </c>
      <c r="U295" s="152" t="s">
        <v>644</v>
      </c>
      <c r="V295" s="152" t="s">
        <v>96</v>
      </c>
      <c r="W295" s="152" t="s">
        <v>643</v>
      </c>
      <c r="Y295" s="152" t="s">
        <v>637</v>
      </c>
      <c r="Z295" s="152" t="s">
        <v>642</v>
      </c>
      <c r="AA295" s="152" t="s">
        <v>641</v>
      </c>
      <c r="AB295" s="152" t="s">
        <v>640</v>
      </c>
      <c r="AC295" s="152" t="s">
        <v>708</v>
      </c>
      <c r="AD295" s="152" t="s">
        <v>771</v>
      </c>
      <c r="AE295" s="152" t="s">
        <v>637</v>
      </c>
      <c r="AF295" s="152" t="s">
        <v>633</v>
      </c>
      <c r="AG295" s="152" t="s">
        <v>637</v>
      </c>
      <c r="AH295" s="152" t="s">
        <v>664</v>
      </c>
      <c r="AI295" s="152" t="s">
        <v>628</v>
      </c>
      <c r="AJ295" s="152" t="s">
        <v>635</v>
      </c>
      <c r="AK295" s="152" t="s">
        <v>634</v>
      </c>
      <c r="AL295" s="152" t="s">
        <v>637</v>
      </c>
      <c r="AM295" s="152" t="s">
        <v>815</v>
      </c>
      <c r="AO295" s="152" t="s">
        <v>715</v>
      </c>
      <c r="AP295" s="152" t="s">
        <v>628</v>
      </c>
      <c r="AQ295" s="152" t="s">
        <v>630</v>
      </c>
      <c r="AR295" s="152" t="s">
        <v>629</v>
      </c>
      <c r="AS295" s="152" t="s">
        <v>628</v>
      </c>
      <c r="AT295" s="152" t="s">
        <v>702</v>
      </c>
      <c r="AU295" s="152">
        <v>2017</v>
      </c>
      <c r="AV295" s="339">
        <v>5615</v>
      </c>
      <c r="AW295" s="339">
        <v>1709718</v>
      </c>
      <c r="AX295" s="152">
        <v>22</v>
      </c>
      <c r="AY295" s="152">
        <v>0</v>
      </c>
      <c r="AZ295" s="152">
        <v>75</v>
      </c>
      <c r="BA295" s="152">
        <v>0.18077527700000001</v>
      </c>
      <c r="BB295" s="152">
        <v>267</v>
      </c>
      <c r="BC295" s="152">
        <v>90</v>
      </c>
      <c r="BD295" s="152">
        <v>5.9710001999999998</v>
      </c>
    </row>
    <row r="296" spans="1:56" x14ac:dyDescent="0.25">
      <c r="A296" s="152" t="s">
        <v>922</v>
      </c>
      <c r="B296" s="152">
        <v>43.666358000000002</v>
      </c>
      <c r="C296" s="152">
        <v>-97.276876000000001</v>
      </c>
      <c r="D296" s="152">
        <v>4</v>
      </c>
      <c r="E296" s="152" t="s">
        <v>652</v>
      </c>
      <c r="F296" s="152">
        <v>2016</v>
      </c>
      <c r="G296" s="340">
        <v>42374.458333333336</v>
      </c>
      <c r="H296" s="152" t="s">
        <v>637</v>
      </c>
      <c r="I296" s="152" t="s">
        <v>669</v>
      </c>
      <c r="J296" s="152" t="s">
        <v>650</v>
      </c>
      <c r="L296" s="152" t="s">
        <v>649</v>
      </c>
      <c r="M296" s="152" t="s">
        <v>736</v>
      </c>
      <c r="N296" s="152" t="s">
        <v>637</v>
      </c>
      <c r="O296" s="152" t="s">
        <v>647</v>
      </c>
      <c r="P296" s="152" t="s">
        <v>628</v>
      </c>
      <c r="Q296" s="152" t="s">
        <v>637</v>
      </c>
      <c r="R296" s="152" t="s">
        <v>683</v>
      </c>
      <c r="S296" s="152" t="s">
        <v>637</v>
      </c>
      <c r="T296" s="152" t="s">
        <v>682</v>
      </c>
      <c r="U296" s="152" t="s">
        <v>644</v>
      </c>
      <c r="V296" s="152" t="s">
        <v>96</v>
      </c>
      <c r="W296" s="152" t="s">
        <v>643</v>
      </c>
      <c r="Y296" s="152" t="s">
        <v>637</v>
      </c>
      <c r="Z296" s="152" t="s">
        <v>642</v>
      </c>
      <c r="AA296" s="152" t="s">
        <v>641</v>
      </c>
      <c r="AB296" s="152" t="s">
        <v>640</v>
      </c>
      <c r="AC296" s="152" t="s">
        <v>682</v>
      </c>
      <c r="AD296" s="152" t="s">
        <v>638</v>
      </c>
      <c r="AE296" s="152" t="s">
        <v>637</v>
      </c>
      <c r="AF296" s="152" t="s">
        <v>637</v>
      </c>
      <c r="AG296" s="152" t="s">
        <v>637</v>
      </c>
      <c r="AH296" s="152" t="s">
        <v>636</v>
      </c>
      <c r="AI296" s="152" t="s">
        <v>655</v>
      </c>
      <c r="AJ296" s="152" t="s">
        <v>635</v>
      </c>
      <c r="AK296" s="152" t="s">
        <v>634</v>
      </c>
      <c r="AL296" s="152" t="s">
        <v>637</v>
      </c>
      <c r="AM296" s="152" t="s">
        <v>1021</v>
      </c>
      <c r="AO296" s="152" t="s">
        <v>715</v>
      </c>
      <c r="AP296" s="152" t="s">
        <v>628</v>
      </c>
      <c r="AQ296" s="152" t="s">
        <v>671</v>
      </c>
      <c r="AR296" s="152" t="s">
        <v>629</v>
      </c>
      <c r="AS296" s="152" t="s">
        <v>678</v>
      </c>
      <c r="AT296" s="152" t="s">
        <v>627</v>
      </c>
      <c r="AU296" s="152">
        <v>2016</v>
      </c>
      <c r="AV296" s="339">
        <v>5615</v>
      </c>
      <c r="AW296" s="339">
        <v>1602318</v>
      </c>
      <c r="AX296" s="152">
        <v>5</v>
      </c>
      <c r="AY296" s="152">
        <v>0</v>
      </c>
      <c r="AZ296" s="152">
        <v>75</v>
      </c>
      <c r="BA296" s="152">
        <v>4.53657E-4</v>
      </c>
      <c r="BB296" s="152">
        <v>31</v>
      </c>
      <c r="BC296" s="152">
        <v>90</v>
      </c>
      <c r="BD296" s="152">
        <v>5.9710001999999998</v>
      </c>
    </row>
    <row r="297" spans="1:56" x14ac:dyDescent="0.25">
      <c r="A297" s="152" t="s">
        <v>922</v>
      </c>
      <c r="B297" s="152">
        <v>43.666381000000001</v>
      </c>
      <c r="C297" s="152">
        <v>-97.279453000000004</v>
      </c>
      <c r="D297" s="152">
        <v>4</v>
      </c>
      <c r="E297" s="152" t="s">
        <v>652</v>
      </c>
      <c r="F297" s="152">
        <v>2016</v>
      </c>
      <c r="G297" s="340">
        <v>42377.354166666664</v>
      </c>
      <c r="H297" s="152" t="s">
        <v>637</v>
      </c>
      <c r="I297" s="152" t="s">
        <v>669</v>
      </c>
      <c r="J297" s="152" t="s">
        <v>650</v>
      </c>
      <c r="L297" s="152" t="s">
        <v>649</v>
      </c>
      <c r="M297" s="152" t="s">
        <v>648</v>
      </c>
      <c r="N297" s="152" t="s">
        <v>637</v>
      </c>
      <c r="O297" s="152" t="s">
        <v>647</v>
      </c>
      <c r="P297" s="152" t="s">
        <v>628</v>
      </c>
      <c r="Q297" s="152" t="s">
        <v>637</v>
      </c>
      <c r="R297" s="152" t="s">
        <v>1020</v>
      </c>
      <c r="S297" s="152" t="s">
        <v>637</v>
      </c>
      <c r="T297" s="152" t="s">
        <v>682</v>
      </c>
      <c r="U297" s="152" t="s">
        <v>644</v>
      </c>
      <c r="V297" s="152" t="s">
        <v>96</v>
      </c>
      <c r="W297" s="152" t="s">
        <v>643</v>
      </c>
      <c r="Y297" s="152" t="s">
        <v>637</v>
      </c>
      <c r="Z297" s="152" t="s">
        <v>642</v>
      </c>
      <c r="AA297" s="152" t="s">
        <v>641</v>
      </c>
      <c r="AB297" s="152" t="s">
        <v>640</v>
      </c>
      <c r="AC297" s="152" t="s">
        <v>682</v>
      </c>
      <c r="AD297" s="152" t="s">
        <v>638</v>
      </c>
      <c r="AE297" s="152" t="s">
        <v>637</v>
      </c>
      <c r="AF297" s="152" t="s">
        <v>637</v>
      </c>
      <c r="AG297" s="152" t="s">
        <v>637</v>
      </c>
      <c r="AH297" s="152" t="s">
        <v>677</v>
      </c>
      <c r="AI297" s="152" t="s">
        <v>655</v>
      </c>
      <c r="AJ297" s="152" t="s">
        <v>635</v>
      </c>
      <c r="AK297" s="152" t="s">
        <v>634</v>
      </c>
      <c r="AL297" s="152" t="s">
        <v>637</v>
      </c>
      <c r="AM297" s="152" t="s">
        <v>705</v>
      </c>
      <c r="AO297" s="152" t="s">
        <v>715</v>
      </c>
      <c r="AP297" s="152" t="s">
        <v>628</v>
      </c>
      <c r="AQ297" s="152" t="s">
        <v>630</v>
      </c>
      <c r="AR297" s="152" t="s">
        <v>629</v>
      </c>
      <c r="AS297" s="152" t="s">
        <v>628</v>
      </c>
      <c r="AT297" s="152" t="s">
        <v>689</v>
      </c>
      <c r="AU297" s="152">
        <v>2016</v>
      </c>
      <c r="AV297" s="339">
        <v>5615</v>
      </c>
      <c r="AW297" s="339">
        <v>1600294</v>
      </c>
      <c r="AX297" s="152">
        <v>8</v>
      </c>
      <c r="AY297" s="152">
        <v>0</v>
      </c>
      <c r="AZ297" s="152">
        <v>75</v>
      </c>
      <c r="BA297" s="152">
        <v>5.4456864000000001E-2</v>
      </c>
      <c r="BB297" s="152">
        <v>10</v>
      </c>
      <c r="BC297" s="152">
        <v>90</v>
      </c>
      <c r="BD297" s="152">
        <v>5.9710001999999998</v>
      </c>
    </row>
    <row r="298" spans="1:56" x14ac:dyDescent="0.25">
      <c r="A298" s="152" t="s">
        <v>922</v>
      </c>
      <c r="B298" s="152">
        <v>43.666400000000003</v>
      </c>
      <c r="C298" s="152">
        <v>-97.281487999999996</v>
      </c>
      <c r="D298" s="152">
        <v>4</v>
      </c>
      <c r="E298" s="152" t="s">
        <v>652</v>
      </c>
      <c r="F298" s="152">
        <v>2020</v>
      </c>
      <c r="G298" s="340">
        <v>43933.541666666664</v>
      </c>
      <c r="H298" s="152" t="s">
        <v>637</v>
      </c>
      <c r="I298" s="152" t="s">
        <v>669</v>
      </c>
      <c r="J298" s="152" t="s">
        <v>694</v>
      </c>
      <c r="L298" s="152" t="s">
        <v>649</v>
      </c>
      <c r="M298" s="152" t="s">
        <v>712</v>
      </c>
      <c r="N298" s="152" t="s">
        <v>637</v>
      </c>
      <c r="O298" s="152" t="s">
        <v>647</v>
      </c>
      <c r="P298" s="152" t="s">
        <v>628</v>
      </c>
      <c r="Q298" s="152" t="s">
        <v>637</v>
      </c>
      <c r="R298" s="152" t="s">
        <v>1019</v>
      </c>
      <c r="S298" s="152" t="s">
        <v>637</v>
      </c>
      <c r="T298" s="152" t="s">
        <v>708</v>
      </c>
      <c r="U298" s="152" t="s">
        <v>644</v>
      </c>
      <c r="V298" s="152" t="s">
        <v>96</v>
      </c>
      <c r="W298" s="152" t="s">
        <v>643</v>
      </c>
      <c r="Y298" s="152" t="s">
        <v>637</v>
      </c>
      <c r="Z298" s="152" t="s">
        <v>642</v>
      </c>
      <c r="AA298" s="152" t="s">
        <v>641</v>
      </c>
      <c r="AB298" s="152" t="s">
        <v>640</v>
      </c>
      <c r="AC298" s="152" t="s">
        <v>708</v>
      </c>
      <c r="AD298" s="152" t="s">
        <v>787</v>
      </c>
      <c r="AE298" s="152" t="s">
        <v>637</v>
      </c>
      <c r="AF298" s="152" t="s">
        <v>637</v>
      </c>
      <c r="AG298" s="152" t="s">
        <v>637</v>
      </c>
      <c r="AH298" s="152" t="s">
        <v>808</v>
      </c>
      <c r="AI298" s="152" t="s">
        <v>655</v>
      </c>
      <c r="AJ298" s="152" t="s">
        <v>635</v>
      </c>
      <c r="AK298" s="152" t="s">
        <v>634</v>
      </c>
      <c r="AL298" s="152" t="s">
        <v>637</v>
      </c>
      <c r="AM298" s="152" t="s">
        <v>1018</v>
      </c>
      <c r="AO298" s="152" t="s">
        <v>715</v>
      </c>
      <c r="AP298" s="152" t="s">
        <v>628</v>
      </c>
      <c r="AQ298" s="152" t="s">
        <v>662</v>
      </c>
      <c r="AR298" s="152" t="s">
        <v>629</v>
      </c>
      <c r="AS298" s="152" t="s">
        <v>628</v>
      </c>
      <c r="AT298" s="152" t="s">
        <v>844</v>
      </c>
      <c r="AU298" s="152">
        <v>2020</v>
      </c>
      <c r="AV298" s="339">
        <v>5615</v>
      </c>
      <c r="AW298" s="339">
        <v>2004563</v>
      </c>
      <c r="AX298" s="152">
        <v>12</v>
      </c>
      <c r="AY298" s="152">
        <v>0</v>
      </c>
      <c r="AZ298" s="152">
        <v>75</v>
      </c>
      <c r="BA298" s="152">
        <v>0.22278642100000001</v>
      </c>
      <c r="BB298" s="152">
        <v>675</v>
      </c>
      <c r="BC298" s="152">
        <v>90</v>
      </c>
      <c r="BD298" s="152">
        <v>5.9710001999999998</v>
      </c>
    </row>
    <row r="299" spans="1:56" x14ac:dyDescent="0.25">
      <c r="A299" s="152" t="s">
        <v>922</v>
      </c>
      <c r="B299" s="152">
        <v>43.666406000000002</v>
      </c>
      <c r="C299" s="152">
        <v>-97.282263</v>
      </c>
      <c r="D299" s="152">
        <v>4</v>
      </c>
      <c r="E299" s="152" t="s">
        <v>759</v>
      </c>
      <c r="F299" s="152">
        <v>2020</v>
      </c>
      <c r="G299" s="340">
        <v>43882.484027777777</v>
      </c>
      <c r="H299" s="152" t="s">
        <v>637</v>
      </c>
      <c r="I299" s="152" t="s">
        <v>669</v>
      </c>
      <c r="J299" s="152" t="s">
        <v>694</v>
      </c>
      <c r="L299" s="152" t="s">
        <v>649</v>
      </c>
      <c r="M299" s="152" t="s">
        <v>648</v>
      </c>
      <c r="N299" s="152" t="s">
        <v>633</v>
      </c>
      <c r="O299" s="152" t="s">
        <v>647</v>
      </c>
      <c r="P299" s="152" t="s">
        <v>1017</v>
      </c>
      <c r="Q299" s="152" t="s">
        <v>637</v>
      </c>
      <c r="R299" s="152" t="s">
        <v>795</v>
      </c>
      <c r="S299" s="152" t="s">
        <v>633</v>
      </c>
      <c r="T299" s="152" t="s">
        <v>708</v>
      </c>
      <c r="U299" s="152" t="s">
        <v>644</v>
      </c>
      <c r="V299" s="152" t="s">
        <v>96</v>
      </c>
      <c r="W299" s="152" t="s">
        <v>643</v>
      </c>
      <c r="Y299" s="152" t="s">
        <v>637</v>
      </c>
      <c r="Z299" s="152" t="s">
        <v>642</v>
      </c>
      <c r="AA299" s="152" t="s">
        <v>641</v>
      </c>
      <c r="AB299" s="152" t="s">
        <v>640</v>
      </c>
      <c r="AC299" s="152" t="s">
        <v>708</v>
      </c>
      <c r="AD299" s="152" t="s">
        <v>718</v>
      </c>
      <c r="AE299" s="152" t="s">
        <v>637</v>
      </c>
      <c r="AF299" s="152" t="s">
        <v>637</v>
      </c>
      <c r="AG299" s="152" t="s">
        <v>637</v>
      </c>
      <c r="AH299" s="152" t="s">
        <v>664</v>
      </c>
      <c r="AI299" s="152" t="s">
        <v>628</v>
      </c>
      <c r="AJ299" s="152" t="s">
        <v>635</v>
      </c>
      <c r="AK299" s="152" t="s">
        <v>634</v>
      </c>
      <c r="AL299" s="152" t="s">
        <v>637</v>
      </c>
      <c r="AM299" s="152" t="s">
        <v>1016</v>
      </c>
      <c r="AO299" s="152" t="s">
        <v>715</v>
      </c>
      <c r="AP299" s="152" t="s">
        <v>628</v>
      </c>
      <c r="AQ299" s="152" t="s">
        <v>630</v>
      </c>
      <c r="AR299" s="152" t="s">
        <v>629</v>
      </c>
      <c r="AS299" s="152" t="s">
        <v>628</v>
      </c>
      <c r="AT299" s="152" t="s">
        <v>702</v>
      </c>
      <c r="AU299" s="152">
        <v>2020</v>
      </c>
      <c r="AV299" s="339">
        <v>5615</v>
      </c>
      <c r="AW299" s="339">
        <v>2003059</v>
      </c>
      <c r="AX299" s="152">
        <v>21</v>
      </c>
      <c r="AY299" s="152">
        <v>0</v>
      </c>
      <c r="AZ299" s="152">
        <v>75</v>
      </c>
      <c r="BA299" s="152">
        <v>0.118679677</v>
      </c>
      <c r="BB299" s="152">
        <v>665</v>
      </c>
      <c r="BC299" s="152">
        <v>90</v>
      </c>
      <c r="BD299" s="152">
        <v>5.9710001999999998</v>
      </c>
    </row>
    <row r="300" spans="1:56" x14ac:dyDescent="0.25">
      <c r="A300" s="152" t="s">
        <v>922</v>
      </c>
      <c r="B300" s="152">
        <v>43.666417000000003</v>
      </c>
      <c r="C300" s="152">
        <v>-97.283465000000007</v>
      </c>
      <c r="D300" s="152">
        <v>4</v>
      </c>
      <c r="E300" s="152" t="s">
        <v>697</v>
      </c>
      <c r="F300" s="152">
        <v>2017</v>
      </c>
      <c r="G300" s="340">
        <v>43025.322916666664</v>
      </c>
      <c r="H300" s="152" t="s">
        <v>637</v>
      </c>
      <c r="I300" s="152" t="s">
        <v>696</v>
      </c>
      <c r="J300" s="152" t="s">
        <v>697</v>
      </c>
      <c r="L300" s="152" t="s">
        <v>649</v>
      </c>
      <c r="M300" s="152" t="s">
        <v>736</v>
      </c>
      <c r="N300" s="152" t="s">
        <v>637</v>
      </c>
      <c r="O300" s="152" t="s">
        <v>647</v>
      </c>
      <c r="P300" s="152" t="s">
        <v>696</v>
      </c>
      <c r="Q300" s="152" t="s">
        <v>637</v>
      </c>
      <c r="R300" s="152" t="s">
        <v>701</v>
      </c>
      <c r="S300" s="152" t="s">
        <v>637</v>
      </c>
      <c r="T300" s="152" t="s">
        <v>701</v>
      </c>
      <c r="U300" s="152" t="s">
        <v>644</v>
      </c>
      <c r="V300" s="152" t="s">
        <v>96</v>
      </c>
      <c r="W300" s="152" t="s">
        <v>643</v>
      </c>
      <c r="Y300" s="152" t="s">
        <v>637</v>
      </c>
      <c r="Z300" s="152" t="s">
        <v>642</v>
      </c>
      <c r="AA300" s="152" t="s">
        <v>782</v>
      </c>
      <c r="AB300" s="152" t="s">
        <v>640</v>
      </c>
      <c r="AC300" s="152" t="s">
        <v>701</v>
      </c>
      <c r="AD300" s="152" t="s">
        <v>700</v>
      </c>
      <c r="AE300" s="152" t="s">
        <v>637</v>
      </c>
      <c r="AF300" s="152" t="s">
        <v>637</v>
      </c>
      <c r="AG300" s="152" t="s">
        <v>637</v>
      </c>
      <c r="AH300" s="152" t="s">
        <v>664</v>
      </c>
      <c r="AI300" s="152" t="s">
        <v>699</v>
      </c>
      <c r="AJ300" s="152" t="s">
        <v>696</v>
      </c>
      <c r="AL300" s="152" t="s">
        <v>637</v>
      </c>
      <c r="AM300" s="152" t="s">
        <v>1015</v>
      </c>
      <c r="AO300" s="152" t="s">
        <v>715</v>
      </c>
      <c r="AP300" s="152" t="s">
        <v>697</v>
      </c>
      <c r="AQ300" s="152" t="s">
        <v>630</v>
      </c>
      <c r="AS300" s="152" t="s">
        <v>696</v>
      </c>
      <c r="AT300" s="152" t="s">
        <v>702</v>
      </c>
      <c r="AU300" s="152">
        <v>2017</v>
      </c>
      <c r="AV300" s="339">
        <v>5615</v>
      </c>
      <c r="AW300" s="339">
        <v>1713772</v>
      </c>
      <c r="AX300" s="152">
        <v>17</v>
      </c>
      <c r="AY300" s="152">
        <v>-1</v>
      </c>
      <c r="AZ300" s="152">
        <v>75</v>
      </c>
      <c r="BA300" s="152">
        <v>2.6804944000000001E-2</v>
      </c>
      <c r="BB300" s="152">
        <v>291</v>
      </c>
      <c r="BC300" s="152">
        <v>90</v>
      </c>
      <c r="BD300" s="152">
        <v>5.9710001999999998</v>
      </c>
    </row>
    <row r="301" spans="1:56" x14ac:dyDescent="0.25">
      <c r="A301" s="152" t="s">
        <v>922</v>
      </c>
      <c r="B301" s="152">
        <v>43.666446999999998</v>
      </c>
      <c r="C301" s="152">
        <v>-97.286795999999995</v>
      </c>
      <c r="D301" s="152">
        <v>4</v>
      </c>
      <c r="E301" s="152" t="s">
        <v>697</v>
      </c>
      <c r="F301" s="152">
        <v>2019</v>
      </c>
      <c r="G301" s="340">
        <v>43653.768750000003</v>
      </c>
      <c r="H301" s="152" t="s">
        <v>637</v>
      </c>
      <c r="I301" s="152" t="s">
        <v>696</v>
      </c>
      <c r="J301" s="152" t="s">
        <v>697</v>
      </c>
      <c r="L301" s="152" t="s">
        <v>649</v>
      </c>
      <c r="M301" s="152" t="s">
        <v>712</v>
      </c>
      <c r="N301" s="152" t="s">
        <v>637</v>
      </c>
      <c r="O301" s="152" t="s">
        <v>647</v>
      </c>
      <c r="P301" s="152" t="s">
        <v>696</v>
      </c>
      <c r="Q301" s="152" t="s">
        <v>637</v>
      </c>
      <c r="R301" s="152" t="s">
        <v>701</v>
      </c>
      <c r="S301" s="152" t="s">
        <v>637</v>
      </c>
      <c r="T301" s="152" t="s">
        <v>701</v>
      </c>
      <c r="U301" s="152" t="s">
        <v>644</v>
      </c>
      <c r="V301" s="152" t="s">
        <v>96</v>
      </c>
      <c r="W301" s="152" t="s">
        <v>643</v>
      </c>
      <c r="Y301" s="152" t="s">
        <v>637</v>
      </c>
      <c r="Z301" s="152" t="s">
        <v>696</v>
      </c>
      <c r="AA301" s="152" t="s">
        <v>641</v>
      </c>
      <c r="AB301" s="152" t="s">
        <v>640</v>
      </c>
      <c r="AC301" s="152" t="s">
        <v>701</v>
      </c>
      <c r="AD301" s="152" t="s">
        <v>805</v>
      </c>
      <c r="AE301" s="152" t="s">
        <v>637</v>
      </c>
      <c r="AF301" s="152" t="s">
        <v>637</v>
      </c>
      <c r="AG301" s="152" t="s">
        <v>637</v>
      </c>
      <c r="AH301" s="152" t="s">
        <v>664</v>
      </c>
      <c r="AI301" s="152" t="s">
        <v>699</v>
      </c>
      <c r="AJ301" s="152" t="s">
        <v>696</v>
      </c>
      <c r="AL301" s="152" t="s">
        <v>637</v>
      </c>
      <c r="AM301" s="152" t="s">
        <v>1014</v>
      </c>
      <c r="AO301" s="152" t="s">
        <v>715</v>
      </c>
      <c r="AP301" s="152" t="s">
        <v>697</v>
      </c>
      <c r="AQ301" s="152" t="s">
        <v>630</v>
      </c>
      <c r="AS301" s="152" t="s">
        <v>696</v>
      </c>
      <c r="AT301" s="152" t="s">
        <v>702</v>
      </c>
      <c r="AU301" s="152">
        <v>2019</v>
      </c>
      <c r="AV301" s="339">
        <v>5615</v>
      </c>
      <c r="AW301" s="339">
        <v>1909773</v>
      </c>
      <c r="AX301" s="152">
        <v>7</v>
      </c>
      <c r="AY301" s="152">
        <v>-1</v>
      </c>
      <c r="AZ301" s="152">
        <v>75</v>
      </c>
      <c r="BA301" s="152">
        <v>7.5553908000000003E-2</v>
      </c>
      <c r="BB301" s="152">
        <v>573</v>
      </c>
      <c r="BC301" s="152">
        <v>90</v>
      </c>
      <c r="BD301" s="152">
        <v>5.9710001999999998</v>
      </c>
    </row>
    <row r="302" spans="1:56" x14ac:dyDescent="0.25">
      <c r="A302" s="152" t="s">
        <v>922</v>
      </c>
      <c r="B302" s="152">
        <v>43.666455999999997</v>
      </c>
      <c r="C302" s="152">
        <v>-97.287771000000006</v>
      </c>
      <c r="D302" s="152">
        <v>4</v>
      </c>
      <c r="E302" s="152" t="s">
        <v>697</v>
      </c>
      <c r="F302" s="152">
        <v>2017</v>
      </c>
      <c r="G302" s="340">
        <v>42890.524305555555</v>
      </c>
      <c r="H302" s="152" t="s">
        <v>637</v>
      </c>
      <c r="I302" s="152" t="s">
        <v>696</v>
      </c>
      <c r="J302" s="152" t="s">
        <v>697</v>
      </c>
      <c r="L302" s="152" t="s">
        <v>649</v>
      </c>
      <c r="M302" s="152" t="s">
        <v>712</v>
      </c>
      <c r="N302" s="152" t="s">
        <v>637</v>
      </c>
      <c r="O302" s="152" t="s">
        <v>647</v>
      </c>
      <c r="P302" s="152" t="s">
        <v>696</v>
      </c>
      <c r="Q302" s="152" t="s">
        <v>637</v>
      </c>
      <c r="R302" s="152" t="s">
        <v>701</v>
      </c>
      <c r="S302" s="152" t="s">
        <v>637</v>
      </c>
      <c r="T302" s="152" t="s">
        <v>701</v>
      </c>
      <c r="U302" s="152" t="s">
        <v>644</v>
      </c>
      <c r="V302" s="152" t="s">
        <v>96</v>
      </c>
      <c r="W302" s="152" t="s">
        <v>643</v>
      </c>
      <c r="Y302" s="152" t="s">
        <v>637</v>
      </c>
      <c r="Z302" s="152" t="s">
        <v>642</v>
      </c>
      <c r="AA302" s="152" t="s">
        <v>641</v>
      </c>
      <c r="AB302" s="152" t="s">
        <v>640</v>
      </c>
      <c r="AC302" s="152" t="s">
        <v>701</v>
      </c>
      <c r="AD302" s="152" t="s">
        <v>771</v>
      </c>
      <c r="AE302" s="152" t="s">
        <v>637</v>
      </c>
      <c r="AF302" s="152" t="s">
        <v>637</v>
      </c>
      <c r="AG302" s="152" t="s">
        <v>637</v>
      </c>
      <c r="AH302" s="152" t="s">
        <v>664</v>
      </c>
      <c r="AI302" s="152" t="s">
        <v>699</v>
      </c>
      <c r="AJ302" s="152" t="s">
        <v>696</v>
      </c>
      <c r="AL302" s="152" t="s">
        <v>637</v>
      </c>
      <c r="AM302" s="152" t="s">
        <v>1013</v>
      </c>
      <c r="AO302" s="152" t="s">
        <v>715</v>
      </c>
      <c r="AP302" s="152" t="s">
        <v>697</v>
      </c>
      <c r="AQ302" s="152" t="s">
        <v>630</v>
      </c>
      <c r="AS302" s="152" t="s">
        <v>696</v>
      </c>
      <c r="AT302" s="152" t="s">
        <v>702</v>
      </c>
      <c r="AU302" s="152">
        <v>2017</v>
      </c>
      <c r="AV302" s="339">
        <v>5615</v>
      </c>
      <c r="AW302" s="339">
        <v>1706684</v>
      </c>
      <c r="AX302" s="152">
        <v>4</v>
      </c>
      <c r="AY302" s="152">
        <v>-1</v>
      </c>
      <c r="AZ302" s="152">
        <v>75</v>
      </c>
      <c r="BA302" s="152">
        <v>0.19211229199999999</v>
      </c>
      <c r="BB302" s="152">
        <v>240</v>
      </c>
      <c r="BC302" s="152">
        <v>90</v>
      </c>
      <c r="BD302" s="152">
        <v>5.9710001999999998</v>
      </c>
    </row>
    <row r="303" spans="1:56" x14ac:dyDescent="0.25">
      <c r="A303" s="152" t="s">
        <v>922</v>
      </c>
      <c r="B303" s="152">
        <v>43.666465000000002</v>
      </c>
      <c r="C303" s="152">
        <v>-97.288832999999997</v>
      </c>
      <c r="D303" s="152">
        <v>4</v>
      </c>
      <c r="E303" s="152" t="s">
        <v>697</v>
      </c>
      <c r="F303" s="152">
        <v>2019</v>
      </c>
      <c r="G303" s="340">
        <v>43746.8125</v>
      </c>
      <c r="H303" s="152" t="s">
        <v>637</v>
      </c>
      <c r="I303" s="152" t="s">
        <v>696</v>
      </c>
      <c r="J303" s="152" t="s">
        <v>697</v>
      </c>
      <c r="L303" s="152" t="s">
        <v>649</v>
      </c>
      <c r="M303" s="152" t="s">
        <v>736</v>
      </c>
      <c r="N303" s="152" t="s">
        <v>637</v>
      </c>
      <c r="O303" s="152" t="s">
        <v>647</v>
      </c>
      <c r="P303" s="152" t="s">
        <v>696</v>
      </c>
      <c r="Q303" s="152" t="s">
        <v>637</v>
      </c>
      <c r="R303" s="152" t="s">
        <v>701</v>
      </c>
      <c r="S303" s="152" t="s">
        <v>637</v>
      </c>
      <c r="T303" s="152" t="s">
        <v>701</v>
      </c>
      <c r="U303" s="152" t="s">
        <v>644</v>
      </c>
      <c r="V303" s="152" t="s">
        <v>96</v>
      </c>
      <c r="W303" s="152" t="s">
        <v>643</v>
      </c>
      <c r="Y303" s="152" t="s">
        <v>637</v>
      </c>
      <c r="Z303" s="152" t="s">
        <v>696</v>
      </c>
      <c r="AA303" s="152" t="s">
        <v>665</v>
      </c>
      <c r="AB303" s="152" t="s">
        <v>640</v>
      </c>
      <c r="AC303" s="152" t="s">
        <v>701</v>
      </c>
      <c r="AD303" s="152" t="s">
        <v>700</v>
      </c>
      <c r="AE303" s="152" t="s">
        <v>637</v>
      </c>
      <c r="AF303" s="152" t="s">
        <v>637</v>
      </c>
      <c r="AG303" s="152" t="s">
        <v>637</v>
      </c>
      <c r="AH303" s="152" t="s">
        <v>664</v>
      </c>
      <c r="AI303" s="152" t="s">
        <v>699</v>
      </c>
      <c r="AJ303" s="152" t="s">
        <v>696</v>
      </c>
      <c r="AL303" s="152" t="s">
        <v>637</v>
      </c>
      <c r="AM303" s="152" t="s">
        <v>707</v>
      </c>
      <c r="AO303" s="152" t="s">
        <v>715</v>
      </c>
      <c r="AP303" s="152" t="s">
        <v>697</v>
      </c>
      <c r="AQ303" s="152" t="s">
        <v>671</v>
      </c>
      <c r="AS303" s="152" t="s">
        <v>696</v>
      </c>
      <c r="AT303" s="152" t="s">
        <v>702</v>
      </c>
      <c r="AU303" s="152">
        <v>2019</v>
      </c>
      <c r="AV303" s="339">
        <v>5615</v>
      </c>
      <c r="AW303" s="339">
        <v>1913958</v>
      </c>
      <c r="AX303" s="152">
        <v>8</v>
      </c>
      <c r="AY303" s="152">
        <v>-1</v>
      </c>
      <c r="AZ303" s="152">
        <v>75</v>
      </c>
      <c r="BA303" s="152">
        <v>2.9536628999999998E-2</v>
      </c>
      <c r="BB303" s="152">
        <v>592</v>
      </c>
      <c r="BC303" s="152">
        <v>90</v>
      </c>
      <c r="BD303" s="152">
        <v>5.9710001999999998</v>
      </c>
    </row>
    <row r="304" spans="1:56" x14ac:dyDescent="0.25">
      <c r="A304" s="152" t="s">
        <v>922</v>
      </c>
      <c r="B304" s="152">
        <v>43.666465000000002</v>
      </c>
      <c r="C304" s="152">
        <v>-97.288832999999997</v>
      </c>
      <c r="D304" s="152">
        <v>4</v>
      </c>
      <c r="E304" s="152" t="s">
        <v>652</v>
      </c>
      <c r="F304" s="152">
        <v>2020</v>
      </c>
      <c r="G304" s="340">
        <v>43851.813888888886</v>
      </c>
      <c r="H304" s="152" t="s">
        <v>637</v>
      </c>
      <c r="I304" s="152" t="s">
        <v>669</v>
      </c>
      <c r="J304" s="152" t="s">
        <v>650</v>
      </c>
      <c r="L304" s="152" t="s">
        <v>649</v>
      </c>
      <c r="M304" s="152" t="s">
        <v>736</v>
      </c>
      <c r="N304" s="152" t="s">
        <v>637</v>
      </c>
      <c r="O304" s="152" t="s">
        <v>647</v>
      </c>
      <c r="P304" s="152" t="s">
        <v>646</v>
      </c>
      <c r="Q304" s="152" t="s">
        <v>637</v>
      </c>
      <c r="R304" s="152" t="s">
        <v>948</v>
      </c>
      <c r="S304" s="152" t="s">
        <v>637</v>
      </c>
      <c r="T304" s="152" t="s">
        <v>708</v>
      </c>
      <c r="U304" s="152" t="s">
        <v>644</v>
      </c>
      <c r="V304" s="152" t="s">
        <v>96</v>
      </c>
      <c r="W304" s="152" t="s">
        <v>643</v>
      </c>
      <c r="Y304" s="152" t="s">
        <v>637</v>
      </c>
      <c r="Z304" s="152" t="s">
        <v>642</v>
      </c>
      <c r="AA304" s="152" t="s">
        <v>665</v>
      </c>
      <c r="AB304" s="152" t="s">
        <v>640</v>
      </c>
      <c r="AC304" s="152" t="s">
        <v>708</v>
      </c>
      <c r="AD304" s="152" t="s">
        <v>638</v>
      </c>
      <c r="AE304" s="152" t="s">
        <v>637</v>
      </c>
      <c r="AF304" s="152" t="s">
        <v>637</v>
      </c>
      <c r="AG304" s="152" t="s">
        <v>637</v>
      </c>
      <c r="AH304" s="152" t="s">
        <v>677</v>
      </c>
      <c r="AI304" s="152" t="s">
        <v>655</v>
      </c>
      <c r="AJ304" s="152" t="s">
        <v>635</v>
      </c>
      <c r="AK304" s="152" t="s">
        <v>634</v>
      </c>
      <c r="AL304" s="152" t="s">
        <v>633</v>
      </c>
      <c r="AM304" s="152" t="s">
        <v>1012</v>
      </c>
      <c r="AO304" s="152" t="s">
        <v>715</v>
      </c>
      <c r="AP304" s="152" t="s">
        <v>628</v>
      </c>
      <c r="AQ304" s="152" t="s">
        <v>703</v>
      </c>
      <c r="AR304" s="152" t="s">
        <v>629</v>
      </c>
      <c r="AS304" s="152" t="s">
        <v>628</v>
      </c>
      <c r="AT304" s="152" t="s">
        <v>677</v>
      </c>
      <c r="AU304" s="152">
        <v>2020</v>
      </c>
      <c r="AV304" s="339">
        <v>5615</v>
      </c>
      <c r="AW304" s="339">
        <v>2001605</v>
      </c>
      <c r="AX304" s="152">
        <v>21</v>
      </c>
      <c r="AY304" s="152">
        <v>0</v>
      </c>
      <c r="AZ304" s="152">
        <v>75</v>
      </c>
      <c r="BA304" s="152">
        <v>2.9536628999999998E-2</v>
      </c>
      <c r="BB304" s="152">
        <v>657</v>
      </c>
      <c r="BC304" s="152">
        <v>90</v>
      </c>
      <c r="BD304" s="152">
        <v>5.9710001999999998</v>
      </c>
    </row>
    <row r="305" spans="1:56" x14ac:dyDescent="0.25">
      <c r="A305" s="152" t="s">
        <v>922</v>
      </c>
      <c r="B305" s="152">
        <v>43.666466</v>
      </c>
      <c r="C305" s="152">
        <v>-97.288394999999994</v>
      </c>
      <c r="D305" s="152">
        <v>4</v>
      </c>
      <c r="E305" s="152" t="s">
        <v>652</v>
      </c>
      <c r="F305" s="152">
        <v>2020</v>
      </c>
      <c r="G305" s="340">
        <v>43842.815972222219</v>
      </c>
      <c r="H305" s="152" t="s">
        <v>637</v>
      </c>
      <c r="I305" s="152" t="s">
        <v>669</v>
      </c>
      <c r="J305" s="152" t="s">
        <v>694</v>
      </c>
      <c r="L305" s="152" t="s">
        <v>649</v>
      </c>
      <c r="M305" s="152" t="s">
        <v>712</v>
      </c>
      <c r="N305" s="152" t="s">
        <v>637</v>
      </c>
      <c r="O305" s="152" t="s">
        <v>647</v>
      </c>
      <c r="P305" s="152" t="s">
        <v>646</v>
      </c>
      <c r="Q305" s="152" t="s">
        <v>637</v>
      </c>
      <c r="R305" s="152" t="s">
        <v>948</v>
      </c>
      <c r="S305" s="152" t="s">
        <v>637</v>
      </c>
      <c r="T305" s="152" t="s">
        <v>708</v>
      </c>
      <c r="U305" s="152" t="s">
        <v>644</v>
      </c>
      <c r="V305" s="152" t="s">
        <v>96</v>
      </c>
      <c r="W305" s="152" t="s">
        <v>643</v>
      </c>
      <c r="Y305" s="152" t="s">
        <v>637</v>
      </c>
      <c r="Z305" s="152" t="s">
        <v>642</v>
      </c>
      <c r="AA305" s="152" t="s">
        <v>665</v>
      </c>
      <c r="AB305" s="152" t="s">
        <v>640</v>
      </c>
      <c r="AC305" s="152" t="s">
        <v>708</v>
      </c>
      <c r="AD305" s="152" t="s">
        <v>638</v>
      </c>
      <c r="AE305" s="152" t="s">
        <v>637</v>
      </c>
      <c r="AF305" s="152" t="s">
        <v>637</v>
      </c>
      <c r="AG305" s="152" t="s">
        <v>637</v>
      </c>
      <c r="AH305" s="152" t="s">
        <v>636</v>
      </c>
      <c r="AI305" s="152" t="s">
        <v>655</v>
      </c>
      <c r="AJ305" s="152" t="s">
        <v>635</v>
      </c>
      <c r="AK305" s="152" t="s">
        <v>634</v>
      </c>
      <c r="AL305" s="152" t="s">
        <v>633</v>
      </c>
      <c r="AM305" s="152" t="s">
        <v>904</v>
      </c>
      <c r="AO305" s="152" t="s">
        <v>715</v>
      </c>
      <c r="AP305" s="152" t="s">
        <v>628</v>
      </c>
      <c r="AQ305" s="152" t="s">
        <v>630</v>
      </c>
      <c r="AR305" s="152" t="s">
        <v>629</v>
      </c>
      <c r="AS305" s="152" t="s">
        <v>628</v>
      </c>
      <c r="AT305" s="152" t="s">
        <v>797</v>
      </c>
      <c r="AU305" s="152">
        <v>2020</v>
      </c>
      <c r="AV305" s="339">
        <v>5615</v>
      </c>
      <c r="AW305" s="339">
        <v>2001461</v>
      </c>
      <c r="AX305" s="152">
        <v>12</v>
      </c>
      <c r="AY305" s="152">
        <v>0</v>
      </c>
      <c r="AZ305" s="152">
        <v>75</v>
      </c>
      <c r="BA305" s="152">
        <v>1.813553859</v>
      </c>
      <c r="BB305" s="152">
        <v>656</v>
      </c>
      <c r="BC305" s="152">
        <v>90</v>
      </c>
      <c r="BD305" s="152">
        <v>5.9710001999999998</v>
      </c>
    </row>
    <row r="306" spans="1:56" x14ac:dyDescent="0.25">
      <c r="A306" s="152" t="s">
        <v>922</v>
      </c>
      <c r="B306" s="152">
        <v>43.666471999999999</v>
      </c>
      <c r="C306" s="152">
        <v>-97.289646000000005</v>
      </c>
      <c r="D306" s="152">
        <v>4</v>
      </c>
      <c r="E306" s="152" t="s">
        <v>652</v>
      </c>
      <c r="F306" s="152">
        <v>2018</v>
      </c>
      <c r="G306" s="340">
        <v>43434.39166666667</v>
      </c>
      <c r="H306" s="152" t="s">
        <v>637</v>
      </c>
      <c r="I306" s="152" t="s">
        <v>669</v>
      </c>
      <c r="J306" s="152" t="s">
        <v>660</v>
      </c>
      <c r="K306" s="152" t="s">
        <v>1011</v>
      </c>
      <c r="L306" s="152" t="s">
        <v>649</v>
      </c>
      <c r="M306" s="152" t="s">
        <v>648</v>
      </c>
      <c r="N306" s="152" t="s">
        <v>637</v>
      </c>
      <c r="O306" s="152" t="s">
        <v>647</v>
      </c>
      <c r="P306" s="152" t="s">
        <v>1010</v>
      </c>
      <c r="Q306" s="152" t="s">
        <v>637</v>
      </c>
      <c r="R306" s="152" t="s">
        <v>658</v>
      </c>
      <c r="S306" s="152" t="s">
        <v>637</v>
      </c>
      <c r="T306" s="152" t="s">
        <v>656</v>
      </c>
      <c r="U306" s="152" t="s">
        <v>644</v>
      </c>
      <c r="V306" s="152" t="s">
        <v>96</v>
      </c>
      <c r="W306" s="152" t="s">
        <v>643</v>
      </c>
      <c r="Y306" s="152" t="s">
        <v>637</v>
      </c>
      <c r="Z306" s="152" t="s">
        <v>642</v>
      </c>
      <c r="AA306" s="152" t="s">
        <v>641</v>
      </c>
      <c r="AB306" s="152" t="s">
        <v>657</v>
      </c>
      <c r="AC306" s="152" t="s">
        <v>656</v>
      </c>
      <c r="AD306" s="152" t="s">
        <v>673</v>
      </c>
      <c r="AE306" s="152" t="s">
        <v>637</v>
      </c>
      <c r="AF306" s="152" t="s">
        <v>637</v>
      </c>
      <c r="AG306" s="152" t="s">
        <v>637</v>
      </c>
      <c r="AH306" s="152" t="s">
        <v>636</v>
      </c>
      <c r="AI306" s="152" t="s">
        <v>655</v>
      </c>
      <c r="AJ306" s="152" t="s">
        <v>635</v>
      </c>
      <c r="AK306" s="152" t="s">
        <v>634</v>
      </c>
      <c r="AL306" s="152" t="s">
        <v>633</v>
      </c>
      <c r="AM306" s="152" t="s">
        <v>1009</v>
      </c>
      <c r="AO306" s="152" t="s">
        <v>833</v>
      </c>
      <c r="AP306" s="152" t="s">
        <v>628</v>
      </c>
      <c r="AQ306" s="152" t="s">
        <v>779</v>
      </c>
      <c r="AR306" s="152" t="s">
        <v>629</v>
      </c>
      <c r="AS306" s="152" t="s">
        <v>628</v>
      </c>
      <c r="AT306" s="152" t="s">
        <v>1008</v>
      </c>
      <c r="AU306" s="152">
        <v>2018</v>
      </c>
      <c r="AV306" s="339">
        <v>5615</v>
      </c>
      <c r="AW306" s="339">
        <v>1815980</v>
      </c>
      <c r="AX306" s="152">
        <v>30</v>
      </c>
      <c r="AY306" s="152">
        <v>0</v>
      </c>
      <c r="AZ306" s="152">
        <v>75</v>
      </c>
      <c r="BA306" s="152">
        <v>5.1537477999999998E-2</v>
      </c>
      <c r="BB306" s="152">
        <v>487</v>
      </c>
      <c r="BC306" s="152">
        <v>90</v>
      </c>
      <c r="BD306" s="152">
        <v>5.9710001999999998</v>
      </c>
    </row>
    <row r="307" spans="1:56" x14ac:dyDescent="0.25">
      <c r="A307" s="152" t="s">
        <v>922</v>
      </c>
      <c r="B307" s="152">
        <v>43.666038</v>
      </c>
      <c r="C307" s="152">
        <v>-97.377204000000006</v>
      </c>
      <c r="D307" s="152">
        <v>8</v>
      </c>
      <c r="E307" s="152" t="s">
        <v>697</v>
      </c>
      <c r="F307" s="152">
        <v>2016</v>
      </c>
      <c r="G307" s="340">
        <v>42695.791666666664</v>
      </c>
      <c r="H307" s="152" t="s">
        <v>637</v>
      </c>
      <c r="I307" s="152" t="s">
        <v>696</v>
      </c>
      <c r="J307" s="152" t="s">
        <v>697</v>
      </c>
      <c r="L307" s="152" t="s">
        <v>649</v>
      </c>
      <c r="M307" s="152" t="s">
        <v>685</v>
      </c>
      <c r="N307" s="152" t="s">
        <v>637</v>
      </c>
      <c r="O307" s="152" t="s">
        <v>647</v>
      </c>
      <c r="P307" s="152" t="s">
        <v>696</v>
      </c>
      <c r="Q307" s="152" t="s">
        <v>637</v>
      </c>
      <c r="R307" s="152" t="s">
        <v>701</v>
      </c>
      <c r="S307" s="152" t="s">
        <v>637</v>
      </c>
      <c r="T307" s="152" t="s">
        <v>701</v>
      </c>
      <c r="U307" s="152" t="s">
        <v>644</v>
      </c>
      <c r="V307" s="152" t="s">
        <v>96</v>
      </c>
      <c r="W307" s="152" t="s">
        <v>643</v>
      </c>
      <c r="Y307" s="152" t="s">
        <v>637</v>
      </c>
      <c r="Z307" s="152" t="s">
        <v>642</v>
      </c>
      <c r="AA307" s="152" t="s">
        <v>665</v>
      </c>
      <c r="AB307" s="152" t="s">
        <v>640</v>
      </c>
      <c r="AC307" s="152" t="s">
        <v>701</v>
      </c>
      <c r="AD307" s="152" t="s">
        <v>673</v>
      </c>
      <c r="AE307" s="152" t="s">
        <v>637</v>
      </c>
      <c r="AF307" s="152" t="s">
        <v>637</v>
      </c>
      <c r="AG307" s="152" t="s">
        <v>637</v>
      </c>
      <c r="AH307" s="152" t="s">
        <v>664</v>
      </c>
      <c r="AI307" s="152" t="s">
        <v>699</v>
      </c>
      <c r="AJ307" s="152" t="s">
        <v>696</v>
      </c>
      <c r="AL307" s="152" t="s">
        <v>637</v>
      </c>
      <c r="AM307" s="152" t="s">
        <v>822</v>
      </c>
      <c r="AO307" s="152" t="s">
        <v>715</v>
      </c>
      <c r="AP307" s="152" t="s">
        <v>697</v>
      </c>
      <c r="AQ307" s="152" t="s">
        <v>769</v>
      </c>
      <c r="AS307" s="152" t="s">
        <v>696</v>
      </c>
      <c r="AT307" s="152" t="s">
        <v>702</v>
      </c>
      <c r="AU307" s="152">
        <v>2016</v>
      </c>
      <c r="AV307" s="339">
        <v>5660</v>
      </c>
      <c r="AW307" s="339">
        <v>1616137</v>
      </c>
      <c r="AX307" s="152">
        <v>21</v>
      </c>
      <c r="AY307" s="152">
        <v>-1</v>
      </c>
      <c r="AZ307" s="152">
        <v>75</v>
      </c>
      <c r="BA307" s="152">
        <v>0.16936752599999999</v>
      </c>
      <c r="BB307" s="152">
        <v>160</v>
      </c>
      <c r="BC307" s="152">
        <v>90</v>
      </c>
      <c r="BD307" s="152">
        <v>4.0320001000000003</v>
      </c>
    </row>
    <row r="308" spans="1:56" x14ac:dyDescent="0.25">
      <c r="A308" s="152" t="s">
        <v>922</v>
      </c>
      <c r="B308" s="152">
        <v>43.666040000000002</v>
      </c>
      <c r="C308" s="152">
        <v>-97.380621000000005</v>
      </c>
      <c r="D308" s="152">
        <v>8</v>
      </c>
      <c r="E308" s="152" t="s">
        <v>652</v>
      </c>
      <c r="F308" s="152">
        <v>2016</v>
      </c>
      <c r="G308" s="340">
        <v>42648.416666666664</v>
      </c>
      <c r="H308" s="152" t="s">
        <v>637</v>
      </c>
      <c r="I308" s="152" t="s">
        <v>669</v>
      </c>
      <c r="J308" s="152" t="s">
        <v>660</v>
      </c>
      <c r="L308" s="152" t="s">
        <v>649</v>
      </c>
      <c r="M308" s="152" t="s">
        <v>676</v>
      </c>
      <c r="N308" s="152" t="s">
        <v>637</v>
      </c>
      <c r="O308" s="152" t="s">
        <v>647</v>
      </c>
      <c r="P308" s="152" t="s">
        <v>887</v>
      </c>
      <c r="Q308" s="152" t="s">
        <v>637</v>
      </c>
      <c r="R308" s="152" t="s">
        <v>656</v>
      </c>
      <c r="S308" s="152" t="s">
        <v>637</v>
      </c>
      <c r="T308" s="152" t="s">
        <v>656</v>
      </c>
      <c r="U308" s="152" t="s">
        <v>644</v>
      </c>
      <c r="V308" s="152" t="s">
        <v>96</v>
      </c>
      <c r="W308" s="152" t="s">
        <v>643</v>
      </c>
      <c r="Y308" s="152" t="s">
        <v>637</v>
      </c>
      <c r="Z308" s="152" t="s">
        <v>783</v>
      </c>
      <c r="AA308" s="152" t="s">
        <v>641</v>
      </c>
      <c r="AB308" s="152" t="s">
        <v>728</v>
      </c>
      <c r="AC308" s="152" t="s">
        <v>656</v>
      </c>
      <c r="AD308" s="152" t="s">
        <v>700</v>
      </c>
      <c r="AE308" s="152" t="s">
        <v>637</v>
      </c>
      <c r="AF308" s="152" t="s">
        <v>637</v>
      </c>
      <c r="AG308" s="152" t="s">
        <v>637</v>
      </c>
      <c r="AH308" s="152" t="s">
        <v>664</v>
      </c>
      <c r="AI308" s="152" t="s">
        <v>628</v>
      </c>
      <c r="AJ308" s="152" t="s">
        <v>635</v>
      </c>
      <c r="AK308" s="152" t="s">
        <v>634</v>
      </c>
      <c r="AL308" s="152" t="s">
        <v>637</v>
      </c>
      <c r="AM308" s="152" t="s">
        <v>898</v>
      </c>
      <c r="AN308" s="152" t="s">
        <v>1007</v>
      </c>
      <c r="AO308" s="152" t="s">
        <v>715</v>
      </c>
      <c r="AP308" s="152" t="s">
        <v>628</v>
      </c>
      <c r="AQ308" s="152" t="s">
        <v>1006</v>
      </c>
      <c r="AR308" s="152" t="s">
        <v>772</v>
      </c>
      <c r="AS308" s="152" t="s">
        <v>628</v>
      </c>
      <c r="AT308" s="152" t="s">
        <v>702</v>
      </c>
      <c r="AU308" s="152">
        <v>2016</v>
      </c>
      <c r="AV308" s="339">
        <v>5660</v>
      </c>
      <c r="AW308" s="339">
        <v>1612513</v>
      </c>
      <c r="AX308" s="152">
        <v>5</v>
      </c>
      <c r="AY308" s="152">
        <v>0</v>
      </c>
      <c r="AZ308" s="152">
        <v>75</v>
      </c>
      <c r="BA308" s="152">
        <v>5.3269122000000002E-2</v>
      </c>
      <c r="BB308" s="152">
        <v>112</v>
      </c>
      <c r="BC308" s="152">
        <v>90</v>
      </c>
      <c r="BD308" s="152">
        <v>4.0320001000000003</v>
      </c>
    </row>
    <row r="309" spans="1:56" x14ac:dyDescent="0.25">
      <c r="A309" s="152" t="s">
        <v>922</v>
      </c>
      <c r="B309" s="152">
        <v>43.666040000000002</v>
      </c>
      <c r="C309" s="152">
        <v>-97.378765000000001</v>
      </c>
      <c r="D309" s="152">
        <v>8</v>
      </c>
      <c r="E309" s="152" t="s">
        <v>652</v>
      </c>
      <c r="F309" s="152">
        <v>2016</v>
      </c>
      <c r="G309" s="340">
        <v>42390.246527777781</v>
      </c>
      <c r="H309" s="152" t="s">
        <v>637</v>
      </c>
      <c r="I309" s="152" t="s">
        <v>669</v>
      </c>
      <c r="J309" s="152" t="s">
        <v>650</v>
      </c>
      <c r="L309" s="152" t="s">
        <v>649</v>
      </c>
      <c r="M309" s="152" t="s">
        <v>668</v>
      </c>
      <c r="N309" s="152" t="s">
        <v>637</v>
      </c>
      <c r="O309" s="152" t="s">
        <v>647</v>
      </c>
      <c r="P309" s="152" t="s">
        <v>628</v>
      </c>
      <c r="Q309" s="152" t="s">
        <v>637</v>
      </c>
      <c r="R309" s="152" t="s">
        <v>874</v>
      </c>
      <c r="S309" s="152" t="s">
        <v>637</v>
      </c>
      <c r="T309" s="152" t="s">
        <v>687</v>
      </c>
      <c r="U309" s="152" t="s">
        <v>644</v>
      </c>
      <c r="V309" s="152" t="s">
        <v>96</v>
      </c>
      <c r="W309" s="152" t="s">
        <v>643</v>
      </c>
      <c r="Y309" s="152" t="s">
        <v>637</v>
      </c>
      <c r="Z309" s="152" t="s">
        <v>642</v>
      </c>
      <c r="AA309" s="152" t="s">
        <v>665</v>
      </c>
      <c r="AB309" s="152" t="s">
        <v>640</v>
      </c>
      <c r="AC309" s="152" t="s">
        <v>687</v>
      </c>
      <c r="AD309" s="152" t="s">
        <v>638</v>
      </c>
      <c r="AE309" s="152" t="s">
        <v>637</v>
      </c>
      <c r="AF309" s="152" t="s">
        <v>637</v>
      </c>
      <c r="AG309" s="152" t="s">
        <v>637</v>
      </c>
      <c r="AH309" s="152" t="s">
        <v>636</v>
      </c>
      <c r="AI309" s="152" t="s">
        <v>655</v>
      </c>
      <c r="AJ309" s="152" t="s">
        <v>635</v>
      </c>
      <c r="AK309" s="152" t="s">
        <v>634</v>
      </c>
      <c r="AL309" s="152" t="s">
        <v>637</v>
      </c>
      <c r="AM309" s="152" t="s">
        <v>963</v>
      </c>
      <c r="AO309" s="152" t="s">
        <v>715</v>
      </c>
      <c r="AP309" s="152" t="s">
        <v>628</v>
      </c>
      <c r="AQ309" s="152" t="s">
        <v>703</v>
      </c>
      <c r="AR309" s="152" t="s">
        <v>629</v>
      </c>
      <c r="AS309" s="152" t="s">
        <v>678</v>
      </c>
      <c r="AT309" s="152" t="s">
        <v>670</v>
      </c>
      <c r="AU309" s="152">
        <v>2016</v>
      </c>
      <c r="AV309" s="339">
        <v>5660</v>
      </c>
      <c r="AW309" s="339">
        <v>1603546</v>
      </c>
      <c r="AX309" s="152">
        <v>21</v>
      </c>
      <c r="AY309" s="152">
        <v>0</v>
      </c>
      <c r="AZ309" s="152">
        <v>75</v>
      </c>
      <c r="BA309" s="152">
        <v>5.31038E-3</v>
      </c>
      <c r="BB309" s="152">
        <v>44</v>
      </c>
      <c r="BC309" s="152">
        <v>90</v>
      </c>
      <c r="BD309" s="152">
        <v>4.0320001000000003</v>
      </c>
    </row>
    <row r="310" spans="1:56" x14ac:dyDescent="0.25">
      <c r="A310" s="152" t="s">
        <v>922</v>
      </c>
      <c r="B310" s="152">
        <v>43.666048000000004</v>
      </c>
      <c r="C310" s="152">
        <v>-97.375252000000003</v>
      </c>
      <c r="D310" s="152">
        <v>8</v>
      </c>
      <c r="E310" s="152" t="s">
        <v>652</v>
      </c>
      <c r="F310" s="152">
        <v>2020</v>
      </c>
      <c r="G310" s="340">
        <v>43842.788888888892</v>
      </c>
      <c r="H310" s="152" t="s">
        <v>637</v>
      </c>
      <c r="I310" s="152" t="s">
        <v>669</v>
      </c>
      <c r="J310" s="152" t="s">
        <v>650</v>
      </c>
      <c r="L310" s="152" t="s">
        <v>649</v>
      </c>
      <c r="M310" s="152" t="s">
        <v>712</v>
      </c>
      <c r="N310" s="152" t="s">
        <v>637</v>
      </c>
      <c r="O310" s="152" t="s">
        <v>647</v>
      </c>
      <c r="P310" s="152" t="s">
        <v>646</v>
      </c>
      <c r="Q310" s="152" t="s">
        <v>637</v>
      </c>
      <c r="R310" s="152" t="s">
        <v>709</v>
      </c>
      <c r="S310" s="152" t="s">
        <v>637</v>
      </c>
      <c r="T310" s="152" t="s">
        <v>708</v>
      </c>
      <c r="U310" s="152" t="s">
        <v>644</v>
      </c>
      <c r="V310" s="152" t="s">
        <v>96</v>
      </c>
      <c r="W310" s="152" t="s">
        <v>643</v>
      </c>
      <c r="Y310" s="152" t="s">
        <v>637</v>
      </c>
      <c r="Z310" s="152" t="s">
        <v>642</v>
      </c>
      <c r="AA310" s="152" t="s">
        <v>665</v>
      </c>
      <c r="AB310" s="152" t="s">
        <v>640</v>
      </c>
      <c r="AC310" s="152" t="s">
        <v>708</v>
      </c>
      <c r="AD310" s="152" t="s">
        <v>638</v>
      </c>
      <c r="AE310" s="152" t="s">
        <v>637</v>
      </c>
      <c r="AF310" s="152" t="s">
        <v>637</v>
      </c>
      <c r="AG310" s="152" t="s">
        <v>637</v>
      </c>
      <c r="AH310" s="152" t="s">
        <v>677</v>
      </c>
      <c r="AI310" s="152" t="s">
        <v>655</v>
      </c>
      <c r="AJ310" s="152" t="s">
        <v>635</v>
      </c>
      <c r="AK310" s="152" t="s">
        <v>634</v>
      </c>
      <c r="AL310" s="152" t="s">
        <v>633</v>
      </c>
      <c r="AM310" s="152" t="s">
        <v>1005</v>
      </c>
      <c r="AO310" s="152" t="s">
        <v>715</v>
      </c>
      <c r="AP310" s="152" t="s">
        <v>628</v>
      </c>
      <c r="AQ310" s="152" t="s">
        <v>630</v>
      </c>
      <c r="AR310" s="152" t="s">
        <v>629</v>
      </c>
      <c r="AS310" s="152" t="s">
        <v>628</v>
      </c>
      <c r="AT310" s="152" t="s">
        <v>677</v>
      </c>
      <c r="AU310" s="152">
        <v>2020</v>
      </c>
      <c r="AV310" s="339">
        <v>5660</v>
      </c>
      <c r="AW310" s="339">
        <v>2000555</v>
      </c>
      <c r="AX310" s="152">
        <v>12</v>
      </c>
      <c r="AY310" s="152">
        <v>0</v>
      </c>
      <c r="AZ310" s="152">
        <v>75</v>
      </c>
      <c r="BA310" s="152">
        <v>0.195401197</v>
      </c>
      <c r="BB310" s="152">
        <v>647</v>
      </c>
      <c r="BC310" s="152">
        <v>90</v>
      </c>
      <c r="BD310" s="152">
        <v>4.0320001000000003</v>
      </c>
    </row>
    <row r="311" spans="1:56" x14ac:dyDescent="0.25">
      <c r="A311" s="152" t="s">
        <v>922</v>
      </c>
      <c r="B311" s="152">
        <v>43.666066000000001</v>
      </c>
      <c r="C311" s="152">
        <v>-97.372022999999999</v>
      </c>
      <c r="D311" s="152">
        <v>8</v>
      </c>
      <c r="E311" s="152" t="s">
        <v>697</v>
      </c>
      <c r="F311" s="152">
        <v>2020</v>
      </c>
      <c r="G311" s="340">
        <v>44121.729166666664</v>
      </c>
      <c r="H311" s="152" t="s">
        <v>637</v>
      </c>
      <c r="I311" s="152" t="s">
        <v>696</v>
      </c>
      <c r="J311" s="152" t="s">
        <v>697</v>
      </c>
      <c r="L311" s="152" t="s">
        <v>649</v>
      </c>
      <c r="M311" s="152" t="s">
        <v>693</v>
      </c>
      <c r="N311" s="152" t="s">
        <v>637</v>
      </c>
      <c r="O311" s="152" t="s">
        <v>647</v>
      </c>
      <c r="P311" s="152" t="s">
        <v>696</v>
      </c>
      <c r="Q311" s="152" t="s">
        <v>637</v>
      </c>
      <c r="R311" s="152" t="s">
        <v>701</v>
      </c>
      <c r="S311" s="152" t="s">
        <v>637</v>
      </c>
      <c r="T311" s="152" t="s">
        <v>701</v>
      </c>
      <c r="U311" s="152" t="s">
        <v>644</v>
      </c>
      <c r="V311" s="152" t="s">
        <v>96</v>
      </c>
      <c r="W311" s="152" t="s">
        <v>643</v>
      </c>
      <c r="Y311" s="152" t="s">
        <v>637</v>
      </c>
      <c r="Z311" s="152" t="s">
        <v>696</v>
      </c>
      <c r="AA311" s="152" t="s">
        <v>641</v>
      </c>
      <c r="AB311" s="152" t="s">
        <v>640</v>
      </c>
      <c r="AC311" s="152" t="s">
        <v>701</v>
      </c>
      <c r="AD311" s="152" t="s">
        <v>700</v>
      </c>
      <c r="AE311" s="152" t="s">
        <v>637</v>
      </c>
      <c r="AF311" s="152" t="s">
        <v>637</v>
      </c>
      <c r="AG311" s="152" t="s">
        <v>637</v>
      </c>
      <c r="AH311" s="152" t="s">
        <v>664</v>
      </c>
      <c r="AI311" s="152" t="s">
        <v>699</v>
      </c>
      <c r="AJ311" s="152" t="s">
        <v>696</v>
      </c>
      <c r="AL311" s="152" t="s">
        <v>637</v>
      </c>
      <c r="AM311" s="152" t="s">
        <v>930</v>
      </c>
      <c r="AO311" s="152" t="s">
        <v>715</v>
      </c>
      <c r="AP311" s="152" t="s">
        <v>697</v>
      </c>
      <c r="AQ311" s="152" t="s">
        <v>703</v>
      </c>
      <c r="AS311" s="152" t="s">
        <v>696</v>
      </c>
      <c r="AT311" s="152" t="s">
        <v>702</v>
      </c>
      <c r="AU311" s="152">
        <v>2020</v>
      </c>
      <c r="AV311" s="339">
        <v>5660</v>
      </c>
      <c r="AW311" s="339">
        <v>2012820</v>
      </c>
      <c r="AX311" s="152">
        <v>17</v>
      </c>
      <c r="AY311" s="152">
        <v>-1</v>
      </c>
      <c r="AZ311" s="152">
        <v>75</v>
      </c>
      <c r="BA311" s="152">
        <v>0.179538367</v>
      </c>
      <c r="BB311" s="152">
        <v>738</v>
      </c>
      <c r="BC311" s="152">
        <v>90</v>
      </c>
      <c r="BD311" s="152">
        <v>4.0320001000000003</v>
      </c>
    </row>
    <row r="312" spans="1:56" x14ac:dyDescent="0.25">
      <c r="A312" s="152" t="s">
        <v>922</v>
      </c>
      <c r="B312" s="152">
        <v>43.666074000000002</v>
      </c>
      <c r="C312" s="152">
        <v>-97.370024000000001</v>
      </c>
      <c r="D312" s="152">
        <v>8</v>
      </c>
      <c r="E312" s="152" t="s">
        <v>652</v>
      </c>
      <c r="F312" s="152">
        <v>2016</v>
      </c>
      <c r="G312" s="340">
        <v>42566.010416666664</v>
      </c>
      <c r="H312" s="152" t="s">
        <v>637</v>
      </c>
      <c r="I312" s="152" t="s">
        <v>669</v>
      </c>
      <c r="J312" s="152" t="s">
        <v>650</v>
      </c>
      <c r="L312" s="152" t="s">
        <v>649</v>
      </c>
      <c r="M312" s="152" t="s">
        <v>648</v>
      </c>
      <c r="N312" s="152" t="s">
        <v>637</v>
      </c>
      <c r="O312" s="152" t="s">
        <v>647</v>
      </c>
      <c r="P312" s="152" t="s">
        <v>628</v>
      </c>
      <c r="Q312" s="152" t="s">
        <v>637</v>
      </c>
      <c r="R312" s="152" t="s">
        <v>1004</v>
      </c>
      <c r="S312" s="152" t="s">
        <v>637</v>
      </c>
      <c r="T312" s="152" t="s">
        <v>1004</v>
      </c>
      <c r="U312" s="152" t="s">
        <v>644</v>
      </c>
      <c r="V312" s="152" t="s">
        <v>96</v>
      </c>
      <c r="W312" s="152" t="s">
        <v>643</v>
      </c>
      <c r="Y312" s="152" t="s">
        <v>637</v>
      </c>
      <c r="Z312" s="152" t="s">
        <v>642</v>
      </c>
      <c r="AA312" s="152" t="s">
        <v>665</v>
      </c>
      <c r="AB312" s="152" t="s">
        <v>640</v>
      </c>
      <c r="AC312" s="152" t="s">
        <v>1004</v>
      </c>
      <c r="AD312" s="152" t="s">
        <v>805</v>
      </c>
      <c r="AE312" s="152" t="s">
        <v>637</v>
      </c>
      <c r="AF312" s="152" t="s">
        <v>637</v>
      </c>
      <c r="AG312" s="152" t="s">
        <v>637</v>
      </c>
      <c r="AH312" s="152" t="s">
        <v>664</v>
      </c>
      <c r="AI312" s="152" t="s">
        <v>699</v>
      </c>
      <c r="AJ312" s="152" t="s">
        <v>635</v>
      </c>
      <c r="AK312" s="152" t="s">
        <v>634</v>
      </c>
      <c r="AL312" s="152" t="s">
        <v>637</v>
      </c>
      <c r="AM312" s="152" t="s">
        <v>749</v>
      </c>
      <c r="AO312" s="152" t="s">
        <v>715</v>
      </c>
      <c r="AP312" s="152" t="s">
        <v>628</v>
      </c>
      <c r="AQ312" s="152" t="s">
        <v>630</v>
      </c>
      <c r="AR312" s="152" t="s">
        <v>629</v>
      </c>
      <c r="AS312" s="152" t="s">
        <v>628</v>
      </c>
      <c r="AT312" s="152" t="s">
        <v>702</v>
      </c>
      <c r="AU312" s="152">
        <v>2016</v>
      </c>
      <c r="AV312" s="339">
        <v>5660</v>
      </c>
      <c r="AW312" s="339">
        <v>1608634</v>
      </c>
      <c r="AX312" s="152">
        <v>15</v>
      </c>
      <c r="AY312" s="152">
        <v>0</v>
      </c>
      <c r="AZ312" s="152">
        <v>75</v>
      </c>
      <c r="BA312" s="152">
        <v>1.8166152879999999</v>
      </c>
      <c r="BB312" s="152">
        <v>92</v>
      </c>
      <c r="BC312" s="152">
        <v>90</v>
      </c>
      <c r="BD312" s="152">
        <v>4.0320001000000003</v>
      </c>
    </row>
    <row r="313" spans="1:56" x14ac:dyDescent="0.25">
      <c r="A313" s="152" t="s">
        <v>922</v>
      </c>
      <c r="B313" s="152">
        <v>43.666083999999998</v>
      </c>
      <c r="C313" s="152">
        <v>-97.369263000000004</v>
      </c>
      <c r="D313" s="152">
        <v>8</v>
      </c>
      <c r="E313" s="152" t="s">
        <v>697</v>
      </c>
      <c r="F313" s="152">
        <v>2019</v>
      </c>
      <c r="G313" s="340">
        <v>43637.548611111109</v>
      </c>
      <c r="H313" s="152" t="s">
        <v>637</v>
      </c>
      <c r="I313" s="152" t="s">
        <v>696</v>
      </c>
      <c r="J313" s="152" t="s">
        <v>697</v>
      </c>
      <c r="L313" s="152" t="s">
        <v>649</v>
      </c>
      <c r="M313" s="152" t="s">
        <v>648</v>
      </c>
      <c r="N313" s="152" t="s">
        <v>637</v>
      </c>
      <c r="O313" s="152" t="s">
        <v>647</v>
      </c>
      <c r="P313" s="152" t="s">
        <v>696</v>
      </c>
      <c r="Q313" s="152" t="s">
        <v>637</v>
      </c>
      <c r="R313" s="152" t="s">
        <v>701</v>
      </c>
      <c r="S313" s="152" t="s">
        <v>637</v>
      </c>
      <c r="T313" s="152" t="s">
        <v>701</v>
      </c>
      <c r="U313" s="152" t="s">
        <v>644</v>
      </c>
      <c r="V313" s="152" t="s">
        <v>96</v>
      </c>
      <c r="W313" s="152" t="s">
        <v>643</v>
      </c>
      <c r="Y313" s="152" t="s">
        <v>637</v>
      </c>
      <c r="Z313" s="152" t="s">
        <v>696</v>
      </c>
      <c r="AA313" s="152" t="s">
        <v>641</v>
      </c>
      <c r="AB313" s="152" t="s">
        <v>640</v>
      </c>
      <c r="AC313" s="152" t="s">
        <v>701</v>
      </c>
      <c r="AD313" s="152" t="s">
        <v>771</v>
      </c>
      <c r="AE313" s="152" t="s">
        <v>637</v>
      </c>
      <c r="AF313" s="152" t="s">
        <v>637</v>
      </c>
      <c r="AG313" s="152" t="s">
        <v>637</v>
      </c>
      <c r="AH313" s="152" t="s">
        <v>664</v>
      </c>
      <c r="AI313" s="152" t="s">
        <v>699</v>
      </c>
      <c r="AJ313" s="152" t="s">
        <v>696</v>
      </c>
      <c r="AL313" s="152" t="s">
        <v>637</v>
      </c>
      <c r="AM313" s="152" t="s">
        <v>1003</v>
      </c>
      <c r="AO313" s="152" t="s">
        <v>715</v>
      </c>
      <c r="AP313" s="152" t="s">
        <v>697</v>
      </c>
      <c r="AQ313" s="152" t="s">
        <v>769</v>
      </c>
      <c r="AS313" s="152" t="s">
        <v>696</v>
      </c>
      <c r="AT313" s="152" t="s">
        <v>702</v>
      </c>
      <c r="AU313" s="152">
        <v>2019</v>
      </c>
      <c r="AV313" s="339">
        <v>5660</v>
      </c>
      <c r="AW313" s="339">
        <v>1907511</v>
      </c>
      <c r="AX313" s="152">
        <v>21</v>
      </c>
      <c r="AY313" s="152">
        <v>-1</v>
      </c>
      <c r="AZ313" s="152">
        <v>75</v>
      </c>
      <c r="BA313" s="152">
        <v>3.8295624E-2</v>
      </c>
      <c r="BB313" s="152">
        <v>561</v>
      </c>
      <c r="BC313" s="152">
        <v>90</v>
      </c>
      <c r="BD313" s="152">
        <v>4.0320001000000003</v>
      </c>
    </row>
    <row r="314" spans="1:56" x14ac:dyDescent="0.25">
      <c r="A314" s="152" t="s">
        <v>922</v>
      </c>
      <c r="B314" s="152">
        <v>43.666086999999997</v>
      </c>
      <c r="C314" s="152">
        <v>-97.368806000000006</v>
      </c>
      <c r="D314" s="152">
        <v>8</v>
      </c>
      <c r="E314" s="152" t="s">
        <v>652</v>
      </c>
      <c r="F314" s="152">
        <v>2018</v>
      </c>
      <c r="G314" s="340">
        <v>43114.71875</v>
      </c>
      <c r="H314" s="152" t="s">
        <v>637</v>
      </c>
      <c r="I314" s="152" t="s">
        <v>669</v>
      </c>
      <c r="J314" s="152" t="s">
        <v>650</v>
      </c>
      <c r="L314" s="152" t="s">
        <v>649</v>
      </c>
      <c r="M314" s="152" t="s">
        <v>712</v>
      </c>
      <c r="N314" s="152" t="s">
        <v>637</v>
      </c>
      <c r="O314" s="152" t="s">
        <v>647</v>
      </c>
      <c r="P314" s="152" t="s">
        <v>628</v>
      </c>
      <c r="Q314" s="152" t="s">
        <v>637</v>
      </c>
      <c r="R314" s="152" t="s">
        <v>825</v>
      </c>
      <c r="S314" s="152" t="s">
        <v>637</v>
      </c>
      <c r="T314" s="152" t="s">
        <v>708</v>
      </c>
      <c r="U314" s="152" t="s">
        <v>644</v>
      </c>
      <c r="V314" s="152" t="s">
        <v>96</v>
      </c>
      <c r="W314" s="152" t="s">
        <v>643</v>
      </c>
      <c r="Y314" s="152" t="s">
        <v>637</v>
      </c>
      <c r="Z314" s="152" t="s">
        <v>642</v>
      </c>
      <c r="AA314" s="152" t="s">
        <v>856</v>
      </c>
      <c r="AB314" s="152" t="s">
        <v>640</v>
      </c>
      <c r="AC314" s="152" t="s">
        <v>708</v>
      </c>
      <c r="AD314" s="152" t="s">
        <v>638</v>
      </c>
      <c r="AE314" s="152" t="s">
        <v>637</v>
      </c>
      <c r="AF314" s="152" t="s">
        <v>637</v>
      </c>
      <c r="AG314" s="152" t="s">
        <v>637</v>
      </c>
      <c r="AH314" s="152" t="s">
        <v>636</v>
      </c>
      <c r="AI314" s="152" t="s">
        <v>655</v>
      </c>
      <c r="AJ314" s="152" t="s">
        <v>680</v>
      </c>
      <c r="AK314" s="152" t="s">
        <v>634</v>
      </c>
      <c r="AL314" s="152" t="s">
        <v>637</v>
      </c>
      <c r="AM314" s="152" t="s">
        <v>1002</v>
      </c>
      <c r="AO314" s="152" t="s">
        <v>715</v>
      </c>
      <c r="AP314" s="152" t="s">
        <v>628</v>
      </c>
      <c r="AQ314" s="152" t="s">
        <v>671</v>
      </c>
      <c r="AR314" s="152" t="s">
        <v>629</v>
      </c>
      <c r="AS314" s="152" t="s">
        <v>678</v>
      </c>
      <c r="AT314" s="152" t="s">
        <v>766</v>
      </c>
      <c r="AU314" s="152">
        <v>2018</v>
      </c>
      <c r="AV314" s="339">
        <v>5660</v>
      </c>
      <c r="AW314" s="339">
        <v>1800552</v>
      </c>
      <c r="AX314" s="152">
        <v>14</v>
      </c>
      <c r="AY314" s="152">
        <v>0</v>
      </c>
      <c r="AZ314" s="152">
        <v>75</v>
      </c>
      <c r="BA314" s="152">
        <v>6.4896133999999994E-2</v>
      </c>
      <c r="BB314" s="152">
        <v>328</v>
      </c>
      <c r="BC314" s="152">
        <v>90</v>
      </c>
      <c r="BD314" s="152">
        <v>4.0320001000000003</v>
      </c>
    </row>
    <row r="315" spans="1:56" x14ac:dyDescent="0.25">
      <c r="A315" s="152" t="s">
        <v>922</v>
      </c>
      <c r="B315" s="152">
        <v>43.666088000000002</v>
      </c>
      <c r="C315" s="152">
        <v>-97.368747999999997</v>
      </c>
      <c r="D315" s="152">
        <v>8</v>
      </c>
      <c r="E315" s="152" t="s">
        <v>697</v>
      </c>
      <c r="F315" s="152">
        <v>2017</v>
      </c>
      <c r="G315" s="340">
        <v>43074.989583333336</v>
      </c>
      <c r="H315" s="152" t="s">
        <v>637</v>
      </c>
      <c r="I315" s="152" t="s">
        <v>696</v>
      </c>
      <c r="J315" s="152" t="s">
        <v>697</v>
      </c>
      <c r="L315" s="152" t="s">
        <v>649</v>
      </c>
      <c r="M315" s="152" t="s">
        <v>736</v>
      </c>
      <c r="N315" s="152" t="s">
        <v>637</v>
      </c>
      <c r="O315" s="152" t="s">
        <v>647</v>
      </c>
      <c r="P315" s="152" t="s">
        <v>696</v>
      </c>
      <c r="Q315" s="152" t="s">
        <v>637</v>
      </c>
      <c r="R315" s="152" t="s">
        <v>701</v>
      </c>
      <c r="S315" s="152" t="s">
        <v>637</v>
      </c>
      <c r="T315" s="152" t="s">
        <v>701</v>
      </c>
      <c r="U315" s="152" t="s">
        <v>644</v>
      </c>
      <c r="V315" s="152" t="s">
        <v>96</v>
      </c>
      <c r="W315" s="152" t="s">
        <v>643</v>
      </c>
      <c r="Y315" s="152" t="s">
        <v>637</v>
      </c>
      <c r="Z315" s="152" t="s">
        <v>642</v>
      </c>
      <c r="AA315" s="152" t="s">
        <v>665</v>
      </c>
      <c r="AB315" s="152" t="s">
        <v>640</v>
      </c>
      <c r="AC315" s="152" t="s">
        <v>701</v>
      </c>
      <c r="AD315" s="152" t="s">
        <v>681</v>
      </c>
      <c r="AE315" s="152" t="s">
        <v>637</v>
      </c>
      <c r="AF315" s="152" t="s">
        <v>637</v>
      </c>
      <c r="AG315" s="152" t="s">
        <v>637</v>
      </c>
      <c r="AH315" s="152" t="s">
        <v>664</v>
      </c>
      <c r="AI315" s="152" t="s">
        <v>699</v>
      </c>
      <c r="AJ315" s="152" t="s">
        <v>696</v>
      </c>
      <c r="AL315" s="152" t="s">
        <v>637</v>
      </c>
      <c r="AM315" s="152" t="s">
        <v>1001</v>
      </c>
      <c r="AO315" s="152" t="s">
        <v>715</v>
      </c>
      <c r="AP315" s="152" t="s">
        <v>697</v>
      </c>
      <c r="AQ315" s="152" t="s">
        <v>662</v>
      </c>
      <c r="AS315" s="152" t="s">
        <v>696</v>
      </c>
      <c r="AT315" s="152" t="s">
        <v>702</v>
      </c>
      <c r="AU315" s="152">
        <v>2017</v>
      </c>
      <c r="AV315" s="339">
        <v>5660</v>
      </c>
      <c r="AW315" s="339">
        <v>1716745</v>
      </c>
      <c r="AX315" s="152">
        <v>5</v>
      </c>
      <c r="AY315" s="152">
        <v>-1</v>
      </c>
      <c r="AZ315" s="152">
        <v>75</v>
      </c>
      <c r="BA315" s="152">
        <v>0.15731761799999999</v>
      </c>
      <c r="BB315" s="152">
        <v>307</v>
      </c>
      <c r="BC315" s="152">
        <v>90</v>
      </c>
      <c r="BD315" s="152">
        <v>4.0320001000000003</v>
      </c>
    </row>
    <row r="316" spans="1:56" x14ac:dyDescent="0.25">
      <c r="A316" s="152" t="s">
        <v>922</v>
      </c>
      <c r="B316" s="152">
        <v>43.666094000000001</v>
      </c>
      <c r="C316" s="152">
        <v>-97.384775000000005</v>
      </c>
      <c r="D316" s="152">
        <v>8</v>
      </c>
      <c r="E316" s="152" t="s">
        <v>652</v>
      </c>
      <c r="F316" s="152">
        <v>2017</v>
      </c>
      <c r="G316" s="340">
        <v>42806.90625</v>
      </c>
      <c r="H316" s="152" t="s">
        <v>637</v>
      </c>
      <c r="I316" s="152" t="s">
        <v>669</v>
      </c>
      <c r="J316" s="152" t="s">
        <v>650</v>
      </c>
      <c r="L316" s="152" t="s">
        <v>649</v>
      </c>
      <c r="M316" s="152" t="s">
        <v>712</v>
      </c>
      <c r="N316" s="152" t="s">
        <v>637</v>
      </c>
      <c r="O316" s="152" t="s">
        <v>647</v>
      </c>
      <c r="P316" s="152" t="s">
        <v>1000</v>
      </c>
      <c r="Q316" s="152" t="s">
        <v>637</v>
      </c>
      <c r="R316" s="152" t="s">
        <v>709</v>
      </c>
      <c r="S316" s="152" t="s">
        <v>637</v>
      </c>
      <c r="T316" s="152" t="s">
        <v>708</v>
      </c>
      <c r="U316" s="152" t="s">
        <v>644</v>
      </c>
      <c r="V316" s="152" t="s">
        <v>96</v>
      </c>
      <c r="W316" s="152" t="s">
        <v>643</v>
      </c>
      <c r="Y316" s="152" t="s">
        <v>637</v>
      </c>
      <c r="Z316" s="152" t="s">
        <v>783</v>
      </c>
      <c r="AA316" s="152" t="s">
        <v>665</v>
      </c>
      <c r="AB316" s="152" t="s">
        <v>640</v>
      </c>
      <c r="AC316" s="152" t="s">
        <v>708</v>
      </c>
      <c r="AD316" s="152" t="s">
        <v>691</v>
      </c>
      <c r="AE316" s="152" t="s">
        <v>637</v>
      </c>
      <c r="AF316" s="152" t="s">
        <v>633</v>
      </c>
      <c r="AG316" s="152" t="s">
        <v>637</v>
      </c>
      <c r="AH316" s="152" t="s">
        <v>677</v>
      </c>
      <c r="AI316" s="152" t="s">
        <v>655</v>
      </c>
      <c r="AJ316" s="152" t="s">
        <v>635</v>
      </c>
      <c r="AK316" s="152" t="s">
        <v>634</v>
      </c>
      <c r="AL316" s="152" t="s">
        <v>637</v>
      </c>
      <c r="AM316" s="152" t="s">
        <v>999</v>
      </c>
      <c r="AO316" s="152" t="s">
        <v>715</v>
      </c>
      <c r="AP316" s="152" t="s">
        <v>628</v>
      </c>
      <c r="AQ316" s="152" t="s">
        <v>703</v>
      </c>
      <c r="AR316" s="152" t="s">
        <v>629</v>
      </c>
      <c r="AS316" s="152" t="s">
        <v>678</v>
      </c>
      <c r="AT316" s="152" t="s">
        <v>677</v>
      </c>
      <c r="AU316" s="152">
        <v>2017</v>
      </c>
      <c r="AV316" s="339">
        <v>5660</v>
      </c>
      <c r="AW316" s="339">
        <v>1702944</v>
      </c>
      <c r="AX316" s="152">
        <v>12</v>
      </c>
      <c r="AY316" s="152">
        <v>0</v>
      </c>
      <c r="AZ316" s="152">
        <v>75</v>
      </c>
      <c r="BA316" s="152">
        <v>2.3777289000000001</v>
      </c>
      <c r="BB316" s="152">
        <v>194</v>
      </c>
      <c r="BC316" s="152">
        <v>90</v>
      </c>
      <c r="BD316" s="152">
        <v>4.0320001000000003</v>
      </c>
    </row>
    <row r="317" spans="1:56" x14ac:dyDescent="0.25">
      <c r="A317" s="152" t="s">
        <v>922</v>
      </c>
      <c r="B317" s="152">
        <v>43.666120999999997</v>
      </c>
      <c r="C317" s="152">
        <v>-97.388120999999998</v>
      </c>
      <c r="D317" s="152">
        <v>8</v>
      </c>
      <c r="E317" s="152" t="s">
        <v>652</v>
      </c>
      <c r="F317" s="152">
        <v>2016</v>
      </c>
      <c r="G317" s="340">
        <v>42457.378472222219</v>
      </c>
      <c r="H317" s="152" t="s">
        <v>637</v>
      </c>
      <c r="I317" s="152" t="s">
        <v>745</v>
      </c>
      <c r="J317" s="152" t="s">
        <v>694</v>
      </c>
      <c r="K317" s="152" t="s">
        <v>743</v>
      </c>
      <c r="L317" s="152" t="s">
        <v>649</v>
      </c>
      <c r="M317" s="152" t="s">
        <v>685</v>
      </c>
      <c r="N317" s="152" t="s">
        <v>637</v>
      </c>
      <c r="O317" s="152" t="s">
        <v>647</v>
      </c>
      <c r="P317" s="152" t="s">
        <v>803</v>
      </c>
      <c r="Q317" s="152" t="s">
        <v>637</v>
      </c>
      <c r="R317" s="152" t="s">
        <v>724</v>
      </c>
      <c r="S317" s="152" t="s">
        <v>633</v>
      </c>
      <c r="T317" s="152" t="s">
        <v>723</v>
      </c>
      <c r="U317" s="152" t="s">
        <v>644</v>
      </c>
      <c r="V317" s="152" t="s">
        <v>96</v>
      </c>
      <c r="W317" s="152" t="s">
        <v>643</v>
      </c>
      <c r="Y317" s="152" t="s">
        <v>637</v>
      </c>
      <c r="Z317" s="152" t="s">
        <v>783</v>
      </c>
      <c r="AA317" s="152" t="s">
        <v>641</v>
      </c>
      <c r="AB317" s="152" t="s">
        <v>640</v>
      </c>
      <c r="AC317" s="152" t="s">
        <v>723</v>
      </c>
      <c r="AD317" s="152" t="s">
        <v>691</v>
      </c>
      <c r="AE317" s="152" t="s">
        <v>637</v>
      </c>
      <c r="AF317" s="152" t="s">
        <v>637</v>
      </c>
      <c r="AG317" s="152" t="s">
        <v>637</v>
      </c>
      <c r="AH317" s="152" t="s">
        <v>664</v>
      </c>
      <c r="AI317" s="152" t="s">
        <v>628</v>
      </c>
      <c r="AJ317" s="152" t="s">
        <v>680</v>
      </c>
      <c r="AK317" s="152" t="s">
        <v>634</v>
      </c>
      <c r="AL317" s="152" t="s">
        <v>637</v>
      </c>
      <c r="AM317" s="152" t="s">
        <v>998</v>
      </c>
      <c r="AO317" s="152" t="s">
        <v>715</v>
      </c>
      <c r="AP317" s="152" t="s">
        <v>628</v>
      </c>
      <c r="AQ317" s="152" t="s">
        <v>630</v>
      </c>
      <c r="AR317" s="152" t="s">
        <v>629</v>
      </c>
      <c r="AS317" s="152" t="s">
        <v>628</v>
      </c>
      <c r="AT317" s="152" t="s">
        <v>702</v>
      </c>
      <c r="AU317" s="152">
        <v>2016</v>
      </c>
      <c r="AV317" s="339">
        <v>5660</v>
      </c>
      <c r="AW317" s="339">
        <v>1603564</v>
      </c>
      <c r="AX317" s="152">
        <v>28</v>
      </c>
      <c r="AY317" s="152">
        <v>0</v>
      </c>
      <c r="AZ317" s="152">
        <v>75</v>
      </c>
      <c r="BA317" s="152">
        <v>0.58506418800000004</v>
      </c>
      <c r="BB317" s="152">
        <v>42</v>
      </c>
      <c r="BC317" s="152">
        <v>90</v>
      </c>
      <c r="BD317" s="152">
        <v>4.0320001000000003</v>
      </c>
    </row>
    <row r="318" spans="1:56" x14ac:dyDescent="0.25">
      <c r="A318" s="152" t="s">
        <v>922</v>
      </c>
      <c r="B318" s="152">
        <v>43.666130000000003</v>
      </c>
      <c r="C318" s="152">
        <v>-97.362224999999995</v>
      </c>
      <c r="D318" s="152">
        <v>8</v>
      </c>
      <c r="E318" s="152" t="s">
        <v>759</v>
      </c>
      <c r="F318" s="152">
        <v>2016</v>
      </c>
      <c r="G318" s="340">
        <v>42692.529166666667</v>
      </c>
      <c r="H318" s="152" t="s">
        <v>637</v>
      </c>
      <c r="I318" s="152" t="s">
        <v>669</v>
      </c>
      <c r="J318" s="152" t="s">
        <v>660</v>
      </c>
      <c r="L318" s="152" t="s">
        <v>649</v>
      </c>
      <c r="M318" s="152" t="s">
        <v>648</v>
      </c>
      <c r="N318" s="152" t="s">
        <v>637</v>
      </c>
      <c r="O318" s="152" t="s">
        <v>647</v>
      </c>
      <c r="P318" s="152" t="s">
        <v>864</v>
      </c>
      <c r="Q318" s="152" t="s">
        <v>637</v>
      </c>
      <c r="R318" s="152" t="s">
        <v>729</v>
      </c>
      <c r="S318" s="152" t="s">
        <v>637</v>
      </c>
      <c r="T318" s="152" t="s">
        <v>656</v>
      </c>
      <c r="U318" s="152" t="s">
        <v>644</v>
      </c>
      <c r="V318" s="152" t="s">
        <v>96</v>
      </c>
      <c r="W318" s="152" t="s">
        <v>643</v>
      </c>
      <c r="Y318" s="152" t="s">
        <v>637</v>
      </c>
      <c r="Z318" s="152" t="s">
        <v>642</v>
      </c>
      <c r="AA318" s="152" t="s">
        <v>641</v>
      </c>
      <c r="AB318" s="152" t="s">
        <v>740</v>
      </c>
      <c r="AC318" s="152" t="s">
        <v>656</v>
      </c>
      <c r="AD318" s="152" t="s">
        <v>673</v>
      </c>
      <c r="AE318" s="152" t="s">
        <v>637</v>
      </c>
      <c r="AF318" s="152" t="s">
        <v>637</v>
      </c>
      <c r="AG318" s="152" t="s">
        <v>637</v>
      </c>
      <c r="AH318" s="152" t="s">
        <v>677</v>
      </c>
      <c r="AI318" s="152" t="s">
        <v>655</v>
      </c>
      <c r="AJ318" s="152" t="s">
        <v>680</v>
      </c>
      <c r="AK318" s="152" t="s">
        <v>634</v>
      </c>
      <c r="AL318" s="152" t="s">
        <v>637</v>
      </c>
      <c r="AM318" s="152" t="s">
        <v>997</v>
      </c>
      <c r="AO318" s="152" t="s">
        <v>715</v>
      </c>
      <c r="AP318" s="152" t="s">
        <v>628</v>
      </c>
      <c r="AQ318" s="152" t="s">
        <v>845</v>
      </c>
      <c r="AR318" s="152" t="s">
        <v>629</v>
      </c>
      <c r="AS318" s="152" t="s">
        <v>678</v>
      </c>
      <c r="AT318" s="152" t="s">
        <v>900</v>
      </c>
      <c r="AU318" s="152">
        <v>2016</v>
      </c>
      <c r="AV318" s="339">
        <v>5660</v>
      </c>
      <c r="AW318" s="339">
        <v>1614755</v>
      </c>
      <c r="AX318" s="152">
        <v>18</v>
      </c>
      <c r="AY318" s="152">
        <v>0</v>
      </c>
      <c r="AZ318" s="152">
        <v>75</v>
      </c>
      <c r="BA318" s="152">
        <v>2.2793654E-2</v>
      </c>
      <c r="BB318" s="152">
        <v>132</v>
      </c>
      <c r="BC318" s="152">
        <v>90</v>
      </c>
      <c r="BD318" s="152">
        <v>4.0320001000000003</v>
      </c>
    </row>
    <row r="319" spans="1:56" x14ac:dyDescent="0.25">
      <c r="A319" s="152" t="s">
        <v>922</v>
      </c>
      <c r="B319" s="152">
        <v>43.666136000000002</v>
      </c>
      <c r="C319" s="152">
        <v>-97.360517999999999</v>
      </c>
      <c r="D319" s="152">
        <v>8</v>
      </c>
      <c r="E319" s="152" t="s">
        <v>652</v>
      </c>
      <c r="F319" s="152">
        <v>2017</v>
      </c>
      <c r="G319" s="340">
        <v>43090.769444444442</v>
      </c>
      <c r="H319" s="152" t="s">
        <v>637</v>
      </c>
      <c r="I319" s="152" t="s">
        <v>669</v>
      </c>
      <c r="J319" s="152" t="s">
        <v>650</v>
      </c>
      <c r="L319" s="152" t="s">
        <v>649</v>
      </c>
      <c r="M319" s="152" t="s">
        <v>668</v>
      </c>
      <c r="N319" s="152" t="s">
        <v>637</v>
      </c>
      <c r="O319" s="152" t="s">
        <v>647</v>
      </c>
      <c r="P319" s="152" t="s">
        <v>646</v>
      </c>
      <c r="Q319" s="152" t="s">
        <v>637</v>
      </c>
      <c r="R319" s="152" t="s">
        <v>881</v>
      </c>
      <c r="S319" s="152" t="s">
        <v>637</v>
      </c>
      <c r="T319" s="152" t="s">
        <v>777</v>
      </c>
      <c r="U319" s="152" t="s">
        <v>644</v>
      </c>
      <c r="V319" s="152" t="s">
        <v>96</v>
      </c>
      <c r="W319" s="152" t="s">
        <v>643</v>
      </c>
      <c r="Y319" s="152" t="s">
        <v>637</v>
      </c>
      <c r="Z319" s="152" t="s">
        <v>642</v>
      </c>
      <c r="AA319" s="152" t="s">
        <v>665</v>
      </c>
      <c r="AB319" s="152" t="s">
        <v>640</v>
      </c>
      <c r="AC319" s="152" t="s">
        <v>708</v>
      </c>
      <c r="AD319" s="152" t="s">
        <v>681</v>
      </c>
      <c r="AE319" s="152" t="s">
        <v>637</v>
      </c>
      <c r="AF319" s="152" t="s">
        <v>637</v>
      </c>
      <c r="AG319" s="152" t="s">
        <v>637</v>
      </c>
      <c r="AH319" s="152" t="s">
        <v>636</v>
      </c>
      <c r="AI319" s="152" t="s">
        <v>655</v>
      </c>
      <c r="AJ319" s="152" t="s">
        <v>680</v>
      </c>
      <c r="AK319" s="152" t="s">
        <v>634</v>
      </c>
      <c r="AL319" s="152" t="s">
        <v>633</v>
      </c>
      <c r="AM319" s="152" t="s">
        <v>996</v>
      </c>
      <c r="AO319" s="152" t="s">
        <v>715</v>
      </c>
      <c r="AP319" s="152" t="s">
        <v>628</v>
      </c>
      <c r="AQ319" s="152" t="s">
        <v>671</v>
      </c>
      <c r="AR319" s="152" t="s">
        <v>629</v>
      </c>
      <c r="AS319" s="152" t="s">
        <v>628</v>
      </c>
      <c r="AT319" s="152" t="s">
        <v>702</v>
      </c>
      <c r="AU319" s="152">
        <v>2017</v>
      </c>
      <c r="AV319" s="339">
        <v>5660</v>
      </c>
      <c r="AW319" s="339">
        <v>1717846</v>
      </c>
      <c r="AX319" s="152">
        <v>21</v>
      </c>
      <c r="AY319" s="152">
        <v>0</v>
      </c>
      <c r="AZ319" s="152">
        <v>75</v>
      </c>
      <c r="BA319" s="152">
        <v>0.89285534600000005</v>
      </c>
      <c r="BB319" s="152">
        <v>316</v>
      </c>
      <c r="BC319" s="152">
        <v>90</v>
      </c>
      <c r="BD319" s="152">
        <v>4.0320001000000003</v>
      </c>
    </row>
    <row r="320" spans="1:56" x14ac:dyDescent="0.25">
      <c r="A320" s="152" t="s">
        <v>922</v>
      </c>
      <c r="B320" s="152">
        <v>43.666153999999999</v>
      </c>
      <c r="C320" s="152">
        <v>-97.358856000000003</v>
      </c>
      <c r="D320" s="152">
        <v>8</v>
      </c>
      <c r="E320" s="152" t="s">
        <v>697</v>
      </c>
      <c r="F320" s="152">
        <v>2017</v>
      </c>
      <c r="G320" s="340">
        <v>42870.045138888891</v>
      </c>
      <c r="H320" s="152" t="s">
        <v>637</v>
      </c>
      <c r="I320" s="152" t="s">
        <v>696</v>
      </c>
      <c r="J320" s="152" t="s">
        <v>697</v>
      </c>
      <c r="L320" s="152" t="s">
        <v>649</v>
      </c>
      <c r="M320" s="152" t="s">
        <v>685</v>
      </c>
      <c r="N320" s="152" t="s">
        <v>637</v>
      </c>
      <c r="O320" s="152" t="s">
        <v>647</v>
      </c>
      <c r="P320" s="152" t="s">
        <v>696</v>
      </c>
      <c r="Q320" s="152" t="s">
        <v>637</v>
      </c>
      <c r="R320" s="152" t="s">
        <v>701</v>
      </c>
      <c r="S320" s="152" t="s">
        <v>637</v>
      </c>
      <c r="T320" s="152" t="s">
        <v>701</v>
      </c>
      <c r="U320" s="152" t="s">
        <v>644</v>
      </c>
      <c r="V320" s="152" t="s">
        <v>96</v>
      </c>
      <c r="W320" s="152" t="s">
        <v>643</v>
      </c>
      <c r="Y320" s="152" t="s">
        <v>637</v>
      </c>
      <c r="Z320" s="152" t="s">
        <v>642</v>
      </c>
      <c r="AA320" s="152" t="s">
        <v>665</v>
      </c>
      <c r="AB320" s="152" t="s">
        <v>640</v>
      </c>
      <c r="AC320" s="152" t="s">
        <v>701</v>
      </c>
      <c r="AD320" s="152" t="s">
        <v>752</v>
      </c>
      <c r="AE320" s="152" t="s">
        <v>637</v>
      </c>
      <c r="AF320" s="152" t="s">
        <v>637</v>
      </c>
      <c r="AG320" s="152" t="s">
        <v>637</v>
      </c>
      <c r="AH320" s="152" t="s">
        <v>664</v>
      </c>
      <c r="AI320" s="152" t="s">
        <v>699</v>
      </c>
      <c r="AJ320" s="152" t="s">
        <v>696</v>
      </c>
      <c r="AL320" s="152" t="s">
        <v>637</v>
      </c>
      <c r="AM320" s="152" t="s">
        <v>995</v>
      </c>
      <c r="AO320" s="152" t="s">
        <v>715</v>
      </c>
      <c r="AP320" s="152" t="s">
        <v>697</v>
      </c>
      <c r="AQ320" s="152" t="s">
        <v>671</v>
      </c>
      <c r="AS320" s="152" t="s">
        <v>696</v>
      </c>
      <c r="AT320" s="152" t="s">
        <v>702</v>
      </c>
      <c r="AU320" s="152">
        <v>2017</v>
      </c>
      <c r="AV320" s="339">
        <v>5660</v>
      </c>
      <c r="AW320" s="339">
        <v>1705747</v>
      </c>
      <c r="AX320" s="152">
        <v>15</v>
      </c>
      <c r="AY320" s="152">
        <v>-1</v>
      </c>
      <c r="AZ320" s="152">
        <v>75</v>
      </c>
      <c r="BA320" s="152">
        <v>1.6972804189999999</v>
      </c>
      <c r="BB320" s="152">
        <v>228</v>
      </c>
      <c r="BC320" s="152">
        <v>90</v>
      </c>
      <c r="BD320" s="152">
        <v>4.0320001000000003</v>
      </c>
    </row>
    <row r="321" spans="1:56" x14ac:dyDescent="0.25">
      <c r="A321" s="152" t="s">
        <v>922</v>
      </c>
      <c r="B321" s="152">
        <v>43.666201999999998</v>
      </c>
      <c r="C321" s="152">
        <v>-97.351022</v>
      </c>
      <c r="D321" s="152">
        <v>8</v>
      </c>
      <c r="E321" s="152" t="s">
        <v>697</v>
      </c>
      <c r="F321" s="152">
        <v>2017</v>
      </c>
      <c r="G321" s="340">
        <v>42858.229166666664</v>
      </c>
      <c r="H321" s="152" t="s">
        <v>637</v>
      </c>
      <c r="I321" s="152" t="s">
        <v>696</v>
      </c>
      <c r="J321" s="152" t="s">
        <v>697</v>
      </c>
      <c r="L321" s="152" t="s">
        <v>649</v>
      </c>
      <c r="M321" s="152" t="s">
        <v>676</v>
      </c>
      <c r="N321" s="152" t="s">
        <v>637</v>
      </c>
      <c r="O321" s="152" t="s">
        <v>647</v>
      </c>
      <c r="P321" s="152" t="s">
        <v>696</v>
      </c>
      <c r="Q321" s="152" t="s">
        <v>637</v>
      </c>
      <c r="R321" s="152" t="s">
        <v>701</v>
      </c>
      <c r="S321" s="152" t="s">
        <v>637</v>
      </c>
      <c r="T321" s="152" t="s">
        <v>701</v>
      </c>
      <c r="U321" s="152" t="s">
        <v>644</v>
      </c>
      <c r="V321" s="152" t="s">
        <v>96</v>
      </c>
      <c r="W321" s="152" t="s">
        <v>643</v>
      </c>
      <c r="Y321" s="152" t="s">
        <v>637</v>
      </c>
      <c r="Z321" s="152" t="s">
        <v>642</v>
      </c>
      <c r="AA321" s="152" t="s">
        <v>665</v>
      </c>
      <c r="AB321" s="152" t="s">
        <v>640</v>
      </c>
      <c r="AC321" s="152" t="s">
        <v>701</v>
      </c>
      <c r="AD321" s="152" t="s">
        <v>752</v>
      </c>
      <c r="AE321" s="152" t="s">
        <v>637</v>
      </c>
      <c r="AF321" s="152" t="s">
        <v>637</v>
      </c>
      <c r="AG321" s="152" t="s">
        <v>637</v>
      </c>
      <c r="AH321" s="152" t="s">
        <v>664</v>
      </c>
      <c r="AI321" s="152" t="s">
        <v>699</v>
      </c>
      <c r="AJ321" s="152" t="s">
        <v>696</v>
      </c>
      <c r="AL321" s="152" t="s">
        <v>637</v>
      </c>
      <c r="AM321" s="152" t="s">
        <v>994</v>
      </c>
      <c r="AO321" s="152" t="s">
        <v>715</v>
      </c>
      <c r="AP321" s="152" t="s">
        <v>697</v>
      </c>
      <c r="AQ321" s="152" t="s">
        <v>630</v>
      </c>
      <c r="AS321" s="152" t="s">
        <v>696</v>
      </c>
      <c r="AT321" s="152" t="s">
        <v>702</v>
      </c>
      <c r="AU321" s="152">
        <v>2017</v>
      </c>
      <c r="AV321" s="339">
        <v>5660</v>
      </c>
      <c r="AW321" s="339">
        <v>1705363</v>
      </c>
      <c r="AX321" s="152">
        <v>3</v>
      </c>
      <c r="AY321" s="152">
        <v>-1</v>
      </c>
      <c r="AZ321" s="152">
        <v>75</v>
      </c>
      <c r="BA321" s="152">
        <v>0.89349296099999997</v>
      </c>
      <c r="BB321" s="152">
        <v>218</v>
      </c>
      <c r="BC321" s="152">
        <v>90</v>
      </c>
      <c r="BD321" s="152">
        <v>4.0320001000000003</v>
      </c>
    </row>
    <row r="322" spans="1:56" x14ac:dyDescent="0.25">
      <c r="A322" s="152" t="s">
        <v>922</v>
      </c>
      <c r="B322" s="152">
        <v>43.666221</v>
      </c>
      <c r="C322" s="152">
        <v>-97.349100000000007</v>
      </c>
      <c r="D322" s="152">
        <v>8</v>
      </c>
      <c r="E322" s="152" t="s">
        <v>652</v>
      </c>
      <c r="F322" s="152">
        <v>2018</v>
      </c>
      <c r="G322" s="340">
        <v>43206.538194444445</v>
      </c>
      <c r="H322" s="152" t="s">
        <v>637</v>
      </c>
      <c r="I322" s="152" t="s">
        <v>669</v>
      </c>
      <c r="J322" s="152" t="s">
        <v>650</v>
      </c>
      <c r="L322" s="152" t="s">
        <v>649</v>
      </c>
      <c r="M322" s="152" t="s">
        <v>685</v>
      </c>
      <c r="N322" s="152" t="s">
        <v>637</v>
      </c>
      <c r="O322" s="152" t="s">
        <v>647</v>
      </c>
      <c r="P322" s="152" t="s">
        <v>684</v>
      </c>
      <c r="Q322" s="152" t="s">
        <v>637</v>
      </c>
      <c r="R322" s="152" t="s">
        <v>675</v>
      </c>
      <c r="S322" s="152" t="s">
        <v>637</v>
      </c>
      <c r="T322" s="152" t="s">
        <v>674</v>
      </c>
      <c r="U322" s="152" t="s">
        <v>644</v>
      </c>
      <c r="V322" s="152" t="s">
        <v>96</v>
      </c>
      <c r="W322" s="152" t="s">
        <v>643</v>
      </c>
      <c r="Y322" s="152" t="s">
        <v>637</v>
      </c>
      <c r="Z322" s="152" t="s">
        <v>993</v>
      </c>
      <c r="AA322" s="152" t="s">
        <v>641</v>
      </c>
      <c r="AB322" s="152" t="s">
        <v>640</v>
      </c>
      <c r="AC322" s="152" t="s">
        <v>674</v>
      </c>
      <c r="AD322" s="152" t="s">
        <v>787</v>
      </c>
      <c r="AE322" s="152" t="s">
        <v>637</v>
      </c>
      <c r="AF322" s="152" t="s">
        <v>637</v>
      </c>
      <c r="AG322" s="152" t="s">
        <v>637</v>
      </c>
      <c r="AH322" s="152" t="s">
        <v>664</v>
      </c>
      <c r="AI322" s="152" t="s">
        <v>628</v>
      </c>
      <c r="AJ322" s="152" t="s">
        <v>635</v>
      </c>
      <c r="AK322" s="152" t="s">
        <v>634</v>
      </c>
      <c r="AL322" s="152" t="s">
        <v>637</v>
      </c>
      <c r="AM322" s="152" t="s">
        <v>654</v>
      </c>
      <c r="AO322" s="152" t="s">
        <v>715</v>
      </c>
      <c r="AP322" s="152" t="s">
        <v>628</v>
      </c>
      <c r="AQ322" s="152" t="s">
        <v>671</v>
      </c>
      <c r="AR322" s="152" t="s">
        <v>629</v>
      </c>
      <c r="AS322" s="152" t="s">
        <v>628</v>
      </c>
      <c r="AT322" s="152" t="s">
        <v>695</v>
      </c>
      <c r="AU322" s="152">
        <v>2018</v>
      </c>
      <c r="AV322" s="339">
        <v>5660</v>
      </c>
      <c r="AW322" s="339">
        <v>1804750</v>
      </c>
      <c r="AX322" s="152">
        <v>16</v>
      </c>
      <c r="AY322" s="152">
        <v>0</v>
      </c>
      <c r="AZ322" s="152">
        <v>75</v>
      </c>
      <c r="BA322" s="152">
        <v>0.27635338799999998</v>
      </c>
      <c r="BB322" s="152">
        <v>372</v>
      </c>
      <c r="BC322" s="152">
        <v>90</v>
      </c>
      <c r="BD322" s="152">
        <v>4.0320001000000003</v>
      </c>
    </row>
    <row r="323" spans="1:56" x14ac:dyDescent="0.25">
      <c r="A323" s="152" t="s">
        <v>922</v>
      </c>
      <c r="B323" s="152">
        <v>43.666224</v>
      </c>
      <c r="C323" s="152">
        <v>-97.348749999999995</v>
      </c>
      <c r="D323" s="152">
        <v>8</v>
      </c>
      <c r="E323" s="152" t="s">
        <v>652</v>
      </c>
      <c r="F323" s="152">
        <v>2020</v>
      </c>
      <c r="G323" s="340">
        <v>43888.9375</v>
      </c>
      <c r="H323" s="152" t="s">
        <v>637</v>
      </c>
      <c r="I323" s="152" t="s">
        <v>669</v>
      </c>
      <c r="J323" s="152" t="s">
        <v>650</v>
      </c>
      <c r="L323" s="152" t="s">
        <v>649</v>
      </c>
      <c r="M323" s="152" t="s">
        <v>668</v>
      </c>
      <c r="N323" s="152" t="s">
        <v>637</v>
      </c>
      <c r="O323" s="152" t="s">
        <v>647</v>
      </c>
      <c r="P323" s="152" t="s">
        <v>628</v>
      </c>
      <c r="Q323" s="152" t="s">
        <v>637</v>
      </c>
      <c r="R323" s="152" t="s">
        <v>992</v>
      </c>
      <c r="S323" s="152" t="s">
        <v>637</v>
      </c>
      <c r="T323" s="152" t="s">
        <v>991</v>
      </c>
      <c r="U323" s="152" t="s">
        <v>644</v>
      </c>
      <c r="V323" s="152" t="s">
        <v>96</v>
      </c>
      <c r="W323" s="152" t="s">
        <v>643</v>
      </c>
      <c r="Y323" s="152" t="s">
        <v>637</v>
      </c>
      <c r="Z323" s="152" t="s">
        <v>642</v>
      </c>
      <c r="AA323" s="152" t="s">
        <v>665</v>
      </c>
      <c r="AB323" s="152" t="s">
        <v>640</v>
      </c>
      <c r="AC323" s="152" t="s">
        <v>991</v>
      </c>
      <c r="AD323" s="152" t="s">
        <v>718</v>
      </c>
      <c r="AE323" s="152" t="s">
        <v>637</v>
      </c>
      <c r="AF323" s="152" t="s">
        <v>637</v>
      </c>
      <c r="AG323" s="152" t="s">
        <v>637</v>
      </c>
      <c r="AH323" s="152" t="s">
        <v>636</v>
      </c>
      <c r="AI323" s="152" t="s">
        <v>655</v>
      </c>
      <c r="AJ323" s="152" t="s">
        <v>635</v>
      </c>
      <c r="AK323" s="152" t="s">
        <v>634</v>
      </c>
      <c r="AL323" s="152" t="s">
        <v>637</v>
      </c>
      <c r="AM323" s="152" t="s">
        <v>770</v>
      </c>
      <c r="AO323" s="152" t="s">
        <v>631</v>
      </c>
      <c r="AP323" s="152" t="s">
        <v>628</v>
      </c>
      <c r="AQ323" s="152" t="s">
        <v>630</v>
      </c>
      <c r="AR323" s="152" t="s">
        <v>629</v>
      </c>
      <c r="AS323" s="152" t="s">
        <v>678</v>
      </c>
      <c r="AT323" s="152" t="s">
        <v>900</v>
      </c>
      <c r="AU323" s="152">
        <v>2020</v>
      </c>
      <c r="AV323" s="339">
        <v>5660</v>
      </c>
      <c r="AW323" s="339">
        <v>2002920</v>
      </c>
      <c r="AX323" s="152">
        <v>27</v>
      </c>
      <c r="AY323" s="152">
        <v>0</v>
      </c>
      <c r="AZ323" s="152">
        <v>75</v>
      </c>
      <c r="BA323" s="152">
        <v>0.73783310700000004</v>
      </c>
      <c r="BB323" s="152">
        <v>663</v>
      </c>
      <c r="BC323" s="152">
        <v>90</v>
      </c>
      <c r="BD323" s="152">
        <v>4.0320001000000003</v>
      </c>
    </row>
    <row r="324" spans="1:56" x14ac:dyDescent="0.25">
      <c r="A324" s="152" t="s">
        <v>922</v>
      </c>
      <c r="B324" s="152">
        <v>43.666238999999997</v>
      </c>
      <c r="C324" s="152">
        <v>-97.345398000000003</v>
      </c>
      <c r="D324" s="152">
        <v>8</v>
      </c>
      <c r="E324" s="152" t="s">
        <v>652</v>
      </c>
      <c r="F324" s="152">
        <v>2019</v>
      </c>
      <c r="G324" s="340">
        <v>43658.6875</v>
      </c>
      <c r="H324" s="152" t="s">
        <v>637</v>
      </c>
      <c r="I324" s="152" t="s">
        <v>669</v>
      </c>
      <c r="J324" s="152" t="s">
        <v>935</v>
      </c>
      <c r="L324" s="152" t="s">
        <v>649</v>
      </c>
      <c r="M324" s="152" t="s">
        <v>648</v>
      </c>
      <c r="N324" s="152" t="s">
        <v>637</v>
      </c>
      <c r="O324" s="152" t="s">
        <v>647</v>
      </c>
      <c r="P324" s="152" t="s">
        <v>990</v>
      </c>
      <c r="Q324" s="152" t="s">
        <v>637</v>
      </c>
      <c r="R324" s="152" t="s">
        <v>656</v>
      </c>
      <c r="S324" s="152" t="s">
        <v>637</v>
      </c>
      <c r="T324" s="152" t="s">
        <v>656</v>
      </c>
      <c r="U324" s="152" t="s">
        <v>644</v>
      </c>
      <c r="V324" s="152" t="s">
        <v>96</v>
      </c>
      <c r="W324" s="152" t="s">
        <v>643</v>
      </c>
      <c r="Y324" s="152" t="s">
        <v>637</v>
      </c>
      <c r="Z324" s="152" t="s">
        <v>642</v>
      </c>
      <c r="AA324" s="152" t="s">
        <v>641</v>
      </c>
      <c r="AB324" s="152" t="s">
        <v>740</v>
      </c>
      <c r="AC324" s="152" t="s">
        <v>656</v>
      </c>
      <c r="AD324" s="152" t="s">
        <v>805</v>
      </c>
      <c r="AE324" s="152" t="s">
        <v>637</v>
      </c>
      <c r="AF324" s="152" t="s">
        <v>637</v>
      </c>
      <c r="AG324" s="152" t="s">
        <v>637</v>
      </c>
      <c r="AH324" s="152" t="s">
        <v>664</v>
      </c>
      <c r="AI324" s="152" t="s">
        <v>628</v>
      </c>
      <c r="AJ324" s="152" t="s">
        <v>635</v>
      </c>
      <c r="AK324" s="152" t="s">
        <v>981</v>
      </c>
      <c r="AL324" s="152" t="s">
        <v>637</v>
      </c>
      <c r="AM324" s="152" t="s">
        <v>710</v>
      </c>
      <c r="AO324" s="152" t="s">
        <v>715</v>
      </c>
      <c r="AP324" s="152" t="s">
        <v>989</v>
      </c>
      <c r="AQ324" s="152" t="s">
        <v>921</v>
      </c>
      <c r="AR324" s="152" t="s">
        <v>629</v>
      </c>
      <c r="AS324" s="152" t="s">
        <v>628</v>
      </c>
      <c r="AT324" s="152" t="s">
        <v>702</v>
      </c>
      <c r="AU324" s="152">
        <v>2019</v>
      </c>
      <c r="AV324" s="339">
        <v>5660</v>
      </c>
      <c r="AW324" s="339">
        <v>1909151</v>
      </c>
      <c r="AX324" s="152">
        <v>12</v>
      </c>
      <c r="AY324" s="152">
        <v>0</v>
      </c>
      <c r="AZ324" s="152">
        <v>75</v>
      </c>
      <c r="BA324" s="152">
        <v>0.304545548</v>
      </c>
      <c r="BB324" s="152">
        <v>572</v>
      </c>
      <c r="BC324" s="152">
        <v>90</v>
      </c>
      <c r="BD324" s="152">
        <v>4.0320001000000003</v>
      </c>
    </row>
    <row r="325" spans="1:56" x14ac:dyDescent="0.25">
      <c r="A325" s="152" t="s">
        <v>922</v>
      </c>
      <c r="B325" s="152">
        <v>43.666302999999999</v>
      </c>
      <c r="C325" s="152">
        <v>-97.332539999999995</v>
      </c>
      <c r="D325" s="152">
        <v>8</v>
      </c>
      <c r="E325" s="152" t="s">
        <v>697</v>
      </c>
      <c r="F325" s="152">
        <v>2020</v>
      </c>
      <c r="G325" s="340">
        <v>44094.25</v>
      </c>
      <c r="H325" s="152" t="s">
        <v>637</v>
      </c>
      <c r="I325" s="152" t="s">
        <v>696</v>
      </c>
      <c r="J325" s="152" t="s">
        <v>697</v>
      </c>
      <c r="L325" s="152" t="s">
        <v>649</v>
      </c>
      <c r="M325" s="152" t="s">
        <v>712</v>
      </c>
      <c r="N325" s="152" t="s">
        <v>637</v>
      </c>
      <c r="O325" s="152" t="s">
        <v>647</v>
      </c>
      <c r="P325" s="152" t="s">
        <v>696</v>
      </c>
      <c r="Q325" s="152" t="s">
        <v>637</v>
      </c>
      <c r="R325" s="152" t="s">
        <v>701</v>
      </c>
      <c r="S325" s="152" t="s">
        <v>637</v>
      </c>
      <c r="T325" s="152" t="s">
        <v>701</v>
      </c>
      <c r="U325" s="152" t="s">
        <v>644</v>
      </c>
      <c r="V325" s="152" t="s">
        <v>96</v>
      </c>
      <c r="W325" s="152" t="s">
        <v>643</v>
      </c>
      <c r="Y325" s="152" t="s">
        <v>637</v>
      </c>
      <c r="Z325" s="152" t="s">
        <v>696</v>
      </c>
      <c r="AA325" s="152" t="s">
        <v>665</v>
      </c>
      <c r="AB325" s="152" t="s">
        <v>640</v>
      </c>
      <c r="AC325" s="152" t="s">
        <v>701</v>
      </c>
      <c r="AD325" s="152" t="s">
        <v>706</v>
      </c>
      <c r="AE325" s="152" t="s">
        <v>637</v>
      </c>
      <c r="AF325" s="152" t="s">
        <v>637</v>
      </c>
      <c r="AG325" s="152" t="s">
        <v>637</v>
      </c>
      <c r="AH325" s="152" t="s">
        <v>664</v>
      </c>
      <c r="AI325" s="152" t="s">
        <v>699</v>
      </c>
      <c r="AJ325" s="152" t="s">
        <v>696</v>
      </c>
      <c r="AL325" s="152" t="s">
        <v>637</v>
      </c>
      <c r="AM325" s="152" t="s">
        <v>831</v>
      </c>
      <c r="AO325" s="152" t="s">
        <v>715</v>
      </c>
      <c r="AP325" s="152" t="s">
        <v>697</v>
      </c>
      <c r="AQ325" s="152" t="s">
        <v>630</v>
      </c>
      <c r="AS325" s="152" t="s">
        <v>696</v>
      </c>
      <c r="AT325" s="152" t="s">
        <v>702</v>
      </c>
      <c r="AU325" s="152">
        <v>2020</v>
      </c>
      <c r="AV325" s="339">
        <v>5660</v>
      </c>
      <c r="AW325" s="339">
        <v>2011061</v>
      </c>
      <c r="AX325" s="152">
        <v>20</v>
      </c>
      <c r="AY325" s="152">
        <v>-1</v>
      </c>
      <c r="AZ325" s="152">
        <v>75</v>
      </c>
      <c r="BA325" s="152">
        <v>7.6815980230000003</v>
      </c>
      <c r="BB325" s="152">
        <v>718</v>
      </c>
      <c r="BC325" s="152">
        <v>90</v>
      </c>
      <c r="BD325" s="152">
        <v>4.0320001000000003</v>
      </c>
    </row>
    <row r="326" spans="1:56" x14ac:dyDescent="0.25">
      <c r="A326" s="152" t="s">
        <v>922</v>
      </c>
      <c r="B326" s="152">
        <v>43.666339000000001</v>
      </c>
      <c r="C326" s="152">
        <v>-97.328749000000002</v>
      </c>
      <c r="D326" s="152">
        <v>8</v>
      </c>
      <c r="E326" s="152" t="s">
        <v>759</v>
      </c>
      <c r="F326" s="152">
        <v>2020</v>
      </c>
      <c r="G326" s="340">
        <v>43842.829861111109</v>
      </c>
      <c r="H326" s="152" t="s">
        <v>637</v>
      </c>
      <c r="I326" s="152" t="s">
        <v>669</v>
      </c>
      <c r="J326" s="152" t="s">
        <v>650</v>
      </c>
      <c r="L326" s="152" t="s">
        <v>649</v>
      </c>
      <c r="M326" s="152" t="s">
        <v>712</v>
      </c>
      <c r="N326" s="152" t="s">
        <v>637</v>
      </c>
      <c r="O326" s="152" t="s">
        <v>647</v>
      </c>
      <c r="P326" s="152" t="s">
        <v>646</v>
      </c>
      <c r="Q326" s="152" t="s">
        <v>637</v>
      </c>
      <c r="R326" s="152" t="s">
        <v>881</v>
      </c>
      <c r="S326" s="152" t="s">
        <v>637</v>
      </c>
      <c r="T326" s="152" t="s">
        <v>708</v>
      </c>
      <c r="U326" s="152" t="s">
        <v>644</v>
      </c>
      <c r="V326" s="152" t="s">
        <v>96</v>
      </c>
      <c r="W326" s="152" t="s">
        <v>643</v>
      </c>
      <c r="Y326" s="152" t="s">
        <v>637</v>
      </c>
      <c r="Z326" s="152" t="s">
        <v>642</v>
      </c>
      <c r="AA326" s="152" t="s">
        <v>665</v>
      </c>
      <c r="AB326" s="152" t="s">
        <v>640</v>
      </c>
      <c r="AC326" s="152" t="s">
        <v>708</v>
      </c>
      <c r="AD326" s="152" t="s">
        <v>638</v>
      </c>
      <c r="AE326" s="152" t="s">
        <v>637</v>
      </c>
      <c r="AF326" s="152" t="s">
        <v>637</v>
      </c>
      <c r="AG326" s="152" t="s">
        <v>637</v>
      </c>
      <c r="AH326" s="152" t="s">
        <v>677</v>
      </c>
      <c r="AI326" s="152" t="s">
        <v>655</v>
      </c>
      <c r="AJ326" s="152" t="s">
        <v>635</v>
      </c>
      <c r="AK326" s="152" t="s">
        <v>634</v>
      </c>
      <c r="AL326" s="152" t="s">
        <v>633</v>
      </c>
      <c r="AM326" s="152" t="s">
        <v>988</v>
      </c>
      <c r="AO326" s="152" t="s">
        <v>715</v>
      </c>
      <c r="AP326" s="152" t="s">
        <v>628</v>
      </c>
      <c r="AQ326" s="152" t="s">
        <v>671</v>
      </c>
      <c r="AR326" s="152" t="s">
        <v>629</v>
      </c>
      <c r="AS326" s="152" t="s">
        <v>628</v>
      </c>
      <c r="AT326" s="152" t="s">
        <v>677</v>
      </c>
      <c r="AU326" s="152">
        <v>2020</v>
      </c>
      <c r="AV326" s="339">
        <v>5660</v>
      </c>
      <c r="AW326" s="339">
        <v>2000556</v>
      </c>
      <c r="AX326" s="152">
        <v>12</v>
      </c>
      <c r="AY326" s="152">
        <v>0</v>
      </c>
      <c r="AZ326" s="152">
        <v>75</v>
      </c>
      <c r="BA326" s="152">
        <v>3.0292658260000001</v>
      </c>
      <c r="BB326" s="152">
        <v>648</v>
      </c>
      <c r="BC326" s="152">
        <v>90</v>
      </c>
      <c r="BD326" s="152">
        <v>4.0320001000000003</v>
      </c>
    </row>
    <row r="327" spans="1:56" x14ac:dyDescent="0.25">
      <c r="A327" s="152" t="s">
        <v>922</v>
      </c>
      <c r="B327" s="152">
        <v>43.666339000000001</v>
      </c>
      <c r="C327" s="152">
        <v>-97.328737000000004</v>
      </c>
      <c r="D327" s="152">
        <v>8</v>
      </c>
      <c r="E327" s="152" t="s">
        <v>697</v>
      </c>
      <c r="F327" s="152">
        <v>2018</v>
      </c>
      <c r="G327" s="340">
        <v>43362.927083333336</v>
      </c>
      <c r="H327" s="152" t="s">
        <v>637</v>
      </c>
      <c r="I327" s="152" t="s">
        <v>696</v>
      </c>
      <c r="J327" s="152" t="s">
        <v>697</v>
      </c>
      <c r="L327" s="152" t="s">
        <v>649</v>
      </c>
      <c r="M327" s="152" t="s">
        <v>676</v>
      </c>
      <c r="N327" s="152" t="s">
        <v>637</v>
      </c>
      <c r="O327" s="152" t="s">
        <v>647</v>
      </c>
      <c r="P327" s="152" t="s">
        <v>696</v>
      </c>
      <c r="Q327" s="152" t="s">
        <v>637</v>
      </c>
      <c r="R327" s="152" t="s">
        <v>701</v>
      </c>
      <c r="S327" s="152" t="s">
        <v>637</v>
      </c>
      <c r="T327" s="152" t="s">
        <v>701</v>
      </c>
      <c r="U327" s="152" t="s">
        <v>644</v>
      </c>
      <c r="V327" s="152" t="s">
        <v>96</v>
      </c>
      <c r="W327" s="152" t="s">
        <v>643</v>
      </c>
      <c r="Y327" s="152" t="s">
        <v>637</v>
      </c>
      <c r="Z327" s="152" t="s">
        <v>642</v>
      </c>
      <c r="AA327" s="152" t="s">
        <v>665</v>
      </c>
      <c r="AB327" s="152" t="s">
        <v>640</v>
      </c>
      <c r="AC327" s="152" t="s">
        <v>701</v>
      </c>
      <c r="AD327" s="152" t="s">
        <v>706</v>
      </c>
      <c r="AE327" s="152" t="s">
        <v>637</v>
      </c>
      <c r="AF327" s="152" t="s">
        <v>637</v>
      </c>
      <c r="AG327" s="152" t="s">
        <v>637</v>
      </c>
      <c r="AH327" s="152" t="s">
        <v>762</v>
      </c>
      <c r="AI327" s="152" t="s">
        <v>699</v>
      </c>
      <c r="AJ327" s="152" t="s">
        <v>696</v>
      </c>
      <c r="AL327" s="152" t="s">
        <v>637</v>
      </c>
      <c r="AM327" s="152" t="s">
        <v>987</v>
      </c>
      <c r="AO327" s="152" t="s">
        <v>715</v>
      </c>
      <c r="AP327" s="152" t="s">
        <v>697</v>
      </c>
      <c r="AQ327" s="152" t="s">
        <v>769</v>
      </c>
      <c r="AS327" s="152" t="s">
        <v>696</v>
      </c>
      <c r="AT327" s="152" t="s">
        <v>793</v>
      </c>
      <c r="AU327" s="152">
        <v>2018</v>
      </c>
      <c r="AV327" s="339">
        <v>5660</v>
      </c>
      <c r="AW327" s="339">
        <v>1811499</v>
      </c>
      <c r="AX327" s="152">
        <v>19</v>
      </c>
      <c r="AY327" s="152">
        <v>-1</v>
      </c>
      <c r="AZ327" s="152">
        <v>75</v>
      </c>
      <c r="BA327" s="152">
        <v>3.0556886030000001</v>
      </c>
      <c r="BB327" s="152">
        <v>445</v>
      </c>
      <c r="BC327" s="152">
        <v>90</v>
      </c>
      <c r="BD327" s="152">
        <v>4.0320001000000003</v>
      </c>
    </row>
    <row r="328" spans="1:56" x14ac:dyDescent="0.25">
      <c r="A328" s="152" t="s">
        <v>922</v>
      </c>
      <c r="B328" s="152">
        <v>43.666339000000001</v>
      </c>
      <c r="C328" s="152">
        <v>-97.328723999999994</v>
      </c>
      <c r="D328" s="152">
        <v>8</v>
      </c>
      <c r="E328" s="152" t="s">
        <v>652</v>
      </c>
      <c r="F328" s="152">
        <v>2016</v>
      </c>
      <c r="G328" s="340">
        <v>42578.885416666664</v>
      </c>
      <c r="H328" s="152" t="s">
        <v>637</v>
      </c>
      <c r="I328" s="152" t="s">
        <v>669</v>
      </c>
      <c r="J328" s="152" t="s">
        <v>650</v>
      </c>
      <c r="L328" s="152" t="s">
        <v>649</v>
      </c>
      <c r="M328" s="152" t="s">
        <v>676</v>
      </c>
      <c r="N328" s="152" t="s">
        <v>637</v>
      </c>
      <c r="O328" s="152" t="s">
        <v>647</v>
      </c>
      <c r="P328" s="152" t="s">
        <v>986</v>
      </c>
      <c r="Q328" s="152" t="s">
        <v>637</v>
      </c>
      <c r="R328" s="152" t="s">
        <v>985</v>
      </c>
      <c r="S328" s="152" t="s">
        <v>637</v>
      </c>
      <c r="T328" s="152" t="s">
        <v>984</v>
      </c>
      <c r="U328" s="152" t="s">
        <v>644</v>
      </c>
      <c r="V328" s="152" t="s">
        <v>96</v>
      </c>
      <c r="W328" s="152" t="s">
        <v>643</v>
      </c>
      <c r="Y328" s="152" t="s">
        <v>637</v>
      </c>
      <c r="Z328" s="152" t="s">
        <v>642</v>
      </c>
      <c r="AA328" s="152" t="s">
        <v>665</v>
      </c>
      <c r="AB328" s="152" t="s">
        <v>640</v>
      </c>
      <c r="AC328" s="152" t="s">
        <v>984</v>
      </c>
      <c r="AD328" s="152" t="s">
        <v>805</v>
      </c>
      <c r="AE328" s="152" t="s">
        <v>637</v>
      </c>
      <c r="AF328" s="152" t="s">
        <v>637</v>
      </c>
      <c r="AG328" s="152" t="s">
        <v>637</v>
      </c>
      <c r="AH328" s="152" t="s">
        <v>664</v>
      </c>
      <c r="AI328" s="152" t="s">
        <v>899</v>
      </c>
      <c r="AJ328" s="152" t="s">
        <v>680</v>
      </c>
      <c r="AK328" s="152" t="s">
        <v>824</v>
      </c>
      <c r="AL328" s="152" t="s">
        <v>637</v>
      </c>
      <c r="AM328" s="152" t="s">
        <v>926</v>
      </c>
      <c r="AO328" s="152" t="s">
        <v>715</v>
      </c>
      <c r="AP328" s="152" t="s">
        <v>937</v>
      </c>
      <c r="AQ328" s="152" t="s">
        <v>703</v>
      </c>
      <c r="AR328" s="152" t="s">
        <v>629</v>
      </c>
      <c r="AS328" s="152" t="s">
        <v>628</v>
      </c>
      <c r="AT328" s="152" t="s">
        <v>702</v>
      </c>
      <c r="AU328" s="152">
        <v>2016</v>
      </c>
      <c r="AV328" s="339">
        <v>5660</v>
      </c>
      <c r="AW328" s="339">
        <v>1609038</v>
      </c>
      <c r="AX328" s="152">
        <v>27</v>
      </c>
      <c r="AY328" s="152">
        <v>0</v>
      </c>
      <c r="AZ328" s="152">
        <v>75</v>
      </c>
      <c r="BA328" s="152">
        <v>3.0843837089999999</v>
      </c>
      <c r="BB328" s="152">
        <v>93</v>
      </c>
      <c r="BC328" s="152">
        <v>90</v>
      </c>
      <c r="BD328" s="152">
        <v>4.0320001000000003</v>
      </c>
    </row>
    <row r="329" spans="1:56" x14ac:dyDescent="0.25">
      <c r="A329" s="152" t="s">
        <v>922</v>
      </c>
      <c r="B329" s="152">
        <v>43.666342999999998</v>
      </c>
      <c r="C329" s="152">
        <v>-97.327802000000005</v>
      </c>
      <c r="D329" s="152">
        <v>8</v>
      </c>
      <c r="E329" s="152" t="s">
        <v>652</v>
      </c>
      <c r="F329" s="152">
        <v>2016</v>
      </c>
      <c r="G329" s="340">
        <v>42529.75</v>
      </c>
      <c r="H329" s="152" t="s">
        <v>637</v>
      </c>
      <c r="I329" s="152" t="s">
        <v>669</v>
      </c>
      <c r="J329" s="152" t="s">
        <v>650</v>
      </c>
      <c r="L329" s="152" t="s">
        <v>649</v>
      </c>
      <c r="M329" s="152" t="s">
        <v>676</v>
      </c>
      <c r="N329" s="152" t="s">
        <v>633</v>
      </c>
      <c r="O329" s="152" t="s">
        <v>647</v>
      </c>
      <c r="P329" s="152" t="s">
        <v>866</v>
      </c>
      <c r="Q329" s="152" t="s">
        <v>637</v>
      </c>
      <c r="R329" s="152" t="s">
        <v>683</v>
      </c>
      <c r="S329" s="152" t="s">
        <v>637</v>
      </c>
      <c r="T329" s="152" t="s">
        <v>682</v>
      </c>
      <c r="U329" s="152" t="s">
        <v>644</v>
      </c>
      <c r="V329" s="152" t="s">
        <v>96</v>
      </c>
      <c r="W329" s="152" t="s">
        <v>643</v>
      </c>
      <c r="Y329" s="152" t="s">
        <v>637</v>
      </c>
      <c r="Z329" s="152" t="s">
        <v>642</v>
      </c>
      <c r="AA329" s="152" t="s">
        <v>641</v>
      </c>
      <c r="AB329" s="152" t="s">
        <v>640</v>
      </c>
      <c r="AC329" s="152" t="s">
        <v>682</v>
      </c>
      <c r="AD329" s="152" t="s">
        <v>771</v>
      </c>
      <c r="AE329" s="152" t="s">
        <v>637</v>
      </c>
      <c r="AF329" s="152" t="s">
        <v>637</v>
      </c>
      <c r="AG329" s="152" t="s">
        <v>637</v>
      </c>
      <c r="AH329" s="152" t="s">
        <v>664</v>
      </c>
      <c r="AI329" s="152" t="s">
        <v>628</v>
      </c>
      <c r="AJ329" s="152" t="s">
        <v>635</v>
      </c>
      <c r="AK329" s="152" t="s">
        <v>634</v>
      </c>
      <c r="AL329" s="152" t="s">
        <v>637</v>
      </c>
      <c r="AM329" s="152" t="s">
        <v>925</v>
      </c>
      <c r="AO329" s="152" t="s">
        <v>715</v>
      </c>
      <c r="AP329" s="152" t="s">
        <v>628</v>
      </c>
      <c r="AQ329" s="152" t="s">
        <v>671</v>
      </c>
      <c r="AR329" s="152" t="s">
        <v>629</v>
      </c>
      <c r="AS329" s="152" t="s">
        <v>628</v>
      </c>
      <c r="AT329" s="152" t="s">
        <v>702</v>
      </c>
      <c r="AU329" s="152">
        <v>2016</v>
      </c>
      <c r="AV329" s="339">
        <v>5660</v>
      </c>
      <c r="AW329" s="339">
        <v>1606470</v>
      </c>
      <c r="AX329" s="152">
        <v>8</v>
      </c>
      <c r="AY329" s="152">
        <v>0</v>
      </c>
      <c r="AZ329" s="152">
        <v>75</v>
      </c>
      <c r="BA329" s="152">
        <v>3.2710026050000001</v>
      </c>
      <c r="BB329" s="152">
        <v>69</v>
      </c>
      <c r="BC329" s="152">
        <v>90</v>
      </c>
      <c r="BD329" s="152">
        <v>4.0320001000000003</v>
      </c>
    </row>
    <row r="330" spans="1:56" x14ac:dyDescent="0.25">
      <c r="A330" s="152" t="s">
        <v>922</v>
      </c>
      <c r="B330" s="152">
        <v>43.666361000000002</v>
      </c>
      <c r="C330" s="152">
        <v>-97.325603999999998</v>
      </c>
      <c r="D330" s="152">
        <v>8</v>
      </c>
      <c r="E330" s="152" t="s">
        <v>652</v>
      </c>
      <c r="F330" s="152">
        <v>2018</v>
      </c>
      <c r="G330" s="340">
        <v>43193.069444444445</v>
      </c>
      <c r="H330" s="152" t="s">
        <v>637</v>
      </c>
      <c r="I330" s="152" t="s">
        <v>669</v>
      </c>
      <c r="J330" s="152" t="s">
        <v>660</v>
      </c>
      <c r="L330" s="152" t="s">
        <v>649</v>
      </c>
      <c r="M330" s="152" t="s">
        <v>736</v>
      </c>
      <c r="N330" s="152" t="s">
        <v>637</v>
      </c>
      <c r="O330" s="152" t="s">
        <v>647</v>
      </c>
      <c r="P330" s="152" t="s">
        <v>784</v>
      </c>
      <c r="Q330" s="152" t="s">
        <v>637</v>
      </c>
      <c r="R330" s="152" t="s">
        <v>656</v>
      </c>
      <c r="S330" s="152" t="s">
        <v>637</v>
      </c>
      <c r="T330" s="152" t="s">
        <v>656</v>
      </c>
      <c r="U330" s="152" t="s">
        <v>644</v>
      </c>
      <c r="V330" s="152" t="s">
        <v>96</v>
      </c>
      <c r="W330" s="152" t="s">
        <v>643</v>
      </c>
      <c r="Y330" s="152" t="s">
        <v>637</v>
      </c>
      <c r="Z330" s="152" t="s">
        <v>642</v>
      </c>
      <c r="AA330" s="152" t="s">
        <v>665</v>
      </c>
      <c r="AB330" s="152" t="s">
        <v>728</v>
      </c>
      <c r="AC330" s="152" t="s">
        <v>656</v>
      </c>
      <c r="AD330" s="152" t="s">
        <v>787</v>
      </c>
      <c r="AE330" s="152" t="s">
        <v>637</v>
      </c>
      <c r="AF330" s="152" t="s">
        <v>637</v>
      </c>
      <c r="AG330" s="152" t="s">
        <v>637</v>
      </c>
      <c r="AH330" s="152" t="s">
        <v>677</v>
      </c>
      <c r="AI330" s="152" t="s">
        <v>628</v>
      </c>
      <c r="AJ330" s="152" t="s">
        <v>680</v>
      </c>
      <c r="AK330" s="152" t="s">
        <v>634</v>
      </c>
      <c r="AL330" s="152" t="s">
        <v>637</v>
      </c>
      <c r="AM330" s="152" t="s">
        <v>983</v>
      </c>
      <c r="AO330" s="152" t="s">
        <v>715</v>
      </c>
      <c r="AP330" s="152" t="s">
        <v>628</v>
      </c>
      <c r="AQ330" s="152" t="s">
        <v>662</v>
      </c>
      <c r="AR330" s="152" t="s">
        <v>772</v>
      </c>
      <c r="AS330" s="152" t="s">
        <v>628</v>
      </c>
      <c r="AT330" s="152" t="s">
        <v>677</v>
      </c>
      <c r="AU330" s="152">
        <v>2018</v>
      </c>
      <c r="AV330" s="339">
        <v>5660</v>
      </c>
      <c r="AW330" s="339">
        <v>1804311</v>
      </c>
      <c r="AX330" s="152">
        <v>3</v>
      </c>
      <c r="AY330" s="152">
        <v>0</v>
      </c>
      <c r="AZ330" s="152">
        <v>75</v>
      </c>
      <c r="BA330" s="152">
        <v>1.6416378780000001</v>
      </c>
      <c r="BB330" s="152">
        <v>362</v>
      </c>
      <c r="BC330" s="152">
        <v>90</v>
      </c>
      <c r="BD330" s="152">
        <v>4.0320001000000003</v>
      </c>
    </row>
    <row r="331" spans="1:56" x14ac:dyDescent="0.25">
      <c r="A331" s="152" t="s">
        <v>922</v>
      </c>
      <c r="B331" s="152">
        <v>43.666361999999999</v>
      </c>
      <c r="C331" s="152">
        <v>-97.325338000000002</v>
      </c>
      <c r="D331" s="152">
        <v>8</v>
      </c>
      <c r="E331" s="152" t="s">
        <v>652</v>
      </c>
      <c r="F331" s="152">
        <v>2016</v>
      </c>
      <c r="G331" s="340">
        <v>42720.531944444447</v>
      </c>
      <c r="H331" s="152" t="s">
        <v>637</v>
      </c>
      <c r="I331" s="152" t="s">
        <v>669</v>
      </c>
      <c r="J331" s="152" t="s">
        <v>660</v>
      </c>
      <c r="K331" s="152" t="s">
        <v>982</v>
      </c>
      <c r="L331" s="152" t="s">
        <v>649</v>
      </c>
      <c r="M331" s="152" t="s">
        <v>648</v>
      </c>
      <c r="N331" s="152" t="s">
        <v>637</v>
      </c>
      <c r="O331" s="152" t="s">
        <v>647</v>
      </c>
      <c r="P331" s="152" t="s">
        <v>646</v>
      </c>
      <c r="Q331" s="152" t="s">
        <v>637</v>
      </c>
      <c r="R331" s="152" t="s">
        <v>656</v>
      </c>
      <c r="S331" s="152" t="s">
        <v>637</v>
      </c>
      <c r="T331" s="152" t="s">
        <v>656</v>
      </c>
      <c r="U331" s="152" t="s">
        <v>644</v>
      </c>
      <c r="V331" s="152" t="s">
        <v>96</v>
      </c>
      <c r="W331" s="152" t="s">
        <v>643</v>
      </c>
      <c r="Y331" s="152" t="s">
        <v>637</v>
      </c>
      <c r="Z331" s="152" t="s">
        <v>642</v>
      </c>
      <c r="AA331" s="152" t="s">
        <v>641</v>
      </c>
      <c r="AB331" s="152" t="s">
        <v>740</v>
      </c>
      <c r="AC331" s="152" t="s">
        <v>656</v>
      </c>
      <c r="AD331" s="152" t="s">
        <v>681</v>
      </c>
      <c r="AE331" s="152" t="s">
        <v>637</v>
      </c>
      <c r="AF331" s="152" t="s">
        <v>637</v>
      </c>
      <c r="AG331" s="152" t="s">
        <v>637</v>
      </c>
      <c r="AH331" s="152" t="s">
        <v>677</v>
      </c>
      <c r="AI331" s="152" t="s">
        <v>834</v>
      </c>
      <c r="AJ331" s="152" t="s">
        <v>635</v>
      </c>
      <c r="AK331" s="152" t="s">
        <v>981</v>
      </c>
      <c r="AL331" s="152" t="s">
        <v>633</v>
      </c>
      <c r="AM331" s="152" t="s">
        <v>980</v>
      </c>
      <c r="AO331" s="152" t="s">
        <v>715</v>
      </c>
      <c r="AP331" s="152" t="s">
        <v>628</v>
      </c>
      <c r="AQ331" s="152" t="s">
        <v>779</v>
      </c>
      <c r="AR331" s="152" t="s">
        <v>629</v>
      </c>
      <c r="AS331" s="152" t="s">
        <v>905</v>
      </c>
      <c r="AT331" s="152" t="s">
        <v>677</v>
      </c>
      <c r="AU331" s="152">
        <v>2016</v>
      </c>
      <c r="AV331" s="339">
        <v>5660</v>
      </c>
      <c r="AW331" s="339">
        <v>1617405</v>
      </c>
      <c r="AX331" s="152">
        <v>16</v>
      </c>
      <c r="AY331" s="152">
        <v>0</v>
      </c>
      <c r="AZ331" s="152">
        <v>75</v>
      </c>
      <c r="BA331" s="152">
        <v>2.1123118590000001</v>
      </c>
      <c r="BB331" s="152">
        <v>172</v>
      </c>
      <c r="BC331" s="152">
        <v>90</v>
      </c>
      <c r="BD331" s="152">
        <v>4.0320001000000003</v>
      </c>
    </row>
    <row r="332" spans="1:56" x14ac:dyDescent="0.25">
      <c r="A332" s="152" t="s">
        <v>922</v>
      </c>
      <c r="B332" s="152">
        <v>43.666409999999999</v>
      </c>
      <c r="C332" s="152">
        <v>-97.318611000000004</v>
      </c>
      <c r="D332" s="152">
        <v>8</v>
      </c>
      <c r="E332" s="152" t="s">
        <v>652</v>
      </c>
      <c r="F332" s="152">
        <v>2016</v>
      </c>
      <c r="G332" s="340">
        <v>42666.573611111111</v>
      </c>
      <c r="H332" s="152" t="s">
        <v>637</v>
      </c>
      <c r="I332" s="152" t="s">
        <v>669</v>
      </c>
      <c r="J332" s="152" t="s">
        <v>650</v>
      </c>
      <c r="L332" s="152" t="s">
        <v>649</v>
      </c>
      <c r="M332" s="152" t="s">
        <v>712</v>
      </c>
      <c r="N332" s="152" t="s">
        <v>637</v>
      </c>
      <c r="O332" s="152" t="s">
        <v>647</v>
      </c>
      <c r="P332" s="152" t="s">
        <v>979</v>
      </c>
      <c r="Q332" s="152" t="s">
        <v>637</v>
      </c>
      <c r="R332" s="152" t="s">
        <v>683</v>
      </c>
      <c r="S332" s="152" t="s">
        <v>637</v>
      </c>
      <c r="T332" s="152" t="s">
        <v>682</v>
      </c>
      <c r="U332" s="152" t="s">
        <v>644</v>
      </c>
      <c r="V332" s="152" t="s">
        <v>96</v>
      </c>
      <c r="W332" s="152" t="s">
        <v>643</v>
      </c>
      <c r="Y332" s="152" t="s">
        <v>633</v>
      </c>
      <c r="Z332" s="152" t="s">
        <v>642</v>
      </c>
      <c r="AA332" s="152" t="s">
        <v>641</v>
      </c>
      <c r="AB332" s="152" t="s">
        <v>640</v>
      </c>
      <c r="AC332" s="152" t="s">
        <v>682</v>
      </c>
      <c r="AD332" s="152" t="s">
        <v>700</v>
      </c>
      <c r="AE332" s="152" t="s">
        <v>637</v>
      </c>
      <c r="AF332" s="152" t="s">
        <v>637</v>
      </c>
      <c r="AG332" s="152" t="s">
        <v>637</v>
      </c>
      <c r="AH332" s="152" t="s">
        <v>664</v>
      </c>
      <c r="AI332" s="152" t="s">
        <v>628</v>
      </c>
      <c r="AJ332" s="152" t="s">
        <v>635</v>
      </c>
      <c r="AL332" s="152" t="s">
        <v>637</v>
      </c>
      <c r="AM332" s="152" t="s">
        <v>978</v>
      </c>
      <c r="AO332" s="152" t="s">
        <v>715</v>
      </c>
      <c r="AP332" s="152" t="s">
        <v>628</v>
      </c>
      <c r="AQ332" s="152" t="s">
        <v>662</v>
      </c>
      <c r="AR332" s="152" t="s">
        <v>629</v>
      </c>
      <c r="AS332" s="152" t="s">
        <v>628</v>
      </c>
      <c r="AT332" s="152" t="s">
        <v>702</v>
      </c>
      <c r="AU332" s="152">
        <v>2016</v>
      </c>
      <c r="AV332" s="339">
        <v>5660</v>
      </c>
      <c r="AW332" s="339">
        <v>1613278</v>
      </c>
      <c r="AX332" s="152">
        <v>23</v>
      </c>
      <c r="AY332" s="152">
        <v>0</v>
      </c>
      <c r="AZ332" s="152">
        <v>75</v>
      </c>
      <c r="BA332" s="152">
        <v>0.220131049</v>
      </c>
      <c r="BB332" s="152">
        <v>118</v>
      </c>
      <c r="BC332" s="152">
        <v>90</v>
      </c>
      <c r="BD332" s="152">
        <v>4.0320001000000003</v>
      </c>
    </row>
    <row r="333" spans="1:56" x14ac:dyDescent="0.25">
      <c r="A333" s="152" t="s">
        <v>922</v>
      </c>
      <c r="B333" s="152">
        <v>43.666421</v>
      </c>
      <c r="C333" s="152">
        <v>-97.315381000000002</v>
      </c>
      <c r="D333" s="152">
        <v>8</v>
      </c>
      <c r="E333" s="152" t="s">
        <v>697</v>
      </c>
      <c r="F333" s="152">
        <v>2019</v>
      </c>
      <c r="G333" s="340">
        <v>43772.165277777778</v>
      </c>
      <c r="H333" s="152" t="s">
        <v>637</v>
      </c>
      <c r="I333" s="152" t="s">
        <v>696</v>
      </c>
      <c r="J333" s="152" t="s">
        <v>697</v>
      </c>
      <c r="L333" s="152" t="s">
        <v>649</v>
      </c>
      <c r="M333" s="152" t="s">
        <v>712</v>
      </c>
      <c r="N333" s="152" t="s">
        <v>637</v>
      </c>
      <c r="O333" s="152" t="s">
        <v>647</v>
      </c>
      <c r="P333" s="152" t="s">
        <v>696</v>
      </c>
      <c r="Q333" s="152" t="s">
        <v>637</v>
      </c>
      <c r="R333" s="152" t="s">
        <v>701</v>
      </c>
      <c r="S333" s="152" t="s">
        <v>637</v>
      </c>
      <c r="T333" s="152" t="s">
        <v>701</v>
      </c>
      <c r="U333" s="152" t="s">
        <v>644</v>
      </c>
      <c r="V333" s="152" t="s">
        <v>96</v>
      </c>
      <c r="W333" s="152" t="s">
        <v>643</v>
      </c>
      <c r="Y333" s="152" t="s">
        <v>637</v>
      </c>
      <c r="Z333" s="152" t="s">
        <v>696</v>
      </c>
      <c r="AA333" s="152" t="s">
        <v>665</v>
      </c>
      <c r="AB333" s="152" t="s">
        <v>640</v>
      </c>
      <c r="AC333" s="152" t="s">
        <v>701</v>
      </c>
      <c r="AD333" s="152" t="s">
        <v>673</v>
      </c>
      <c r="AE333" s="152" t="s">
        <v>637</v>
      </c>
      <c r="AF333" s="152" t="s">
        <v>637</v>
      </c>
      <c r="AG333" s="152" t="s">
        <v>637</v>
      </c>
      <c r="AH333" s="152" t="s">
        <v>664</v>
      </c>
      <c r="AI333" s="152" t="s">
        <v>699</v>
      </c>
      <c r="AJ333" s="152" t="s">
        <v>696</v>
      </c>
      <c r="AL333" s="152" t="s">
        <v>637</v>
      </c>
      <c r="AM333" s="152" t="s">
        <v>977</v>
      </c>
      <c r="AO333" s="152" t="s">
        <v>715</v>
      </c>
      <c r="AP333" s="152" t="s">
        <v>697</v>
      </c>
      <c r="AQ333" s="152" t="s">
        <v>630</v>
      </c>
      <c r="AS333" s="152" t="s">
        <v>696</v>
      </c>
      <c r="AT333" s="152" t="s">
        <v>702</v>
      </c>
      <c r="AU333" s="152">
        <v>2019</v>
      </c>
      <c r="AV333" s="339">
        <v>5660</v>
      </c>
      <c r="AW333" s="339">
        <v>1916032</v>
      </c>
      <c r="AX333" s="152">
        <v>3</v>
      </c>
      <c r="AY333" s="152">
        <v>-1</v>
      </c>
      <c r="AZ333" s="152">
        <v>75</v>
      </c>
      <c r="BA333" s="152">
        <v>1.4926243E-2</v>
      </c>
      <c r="BB333" s="152">
        <v>609</v>
      </c>
      <c r="BC333" s="152">
        <v>90</v>
      </c>
      <c r="BD333" s="152">
        <v>4.0320001000000003</v>
      </c>
    </row>
    <row r="334" spans="1:56" x14ac:dyDescent="0.25">
      <c r="A334" s="152" t="s">
        <v>922</v>
      </c>
      <c r="B334" s="152">
        <v>43.666426000000001</v>
      </c>
      <c r="C334" s="152">
        <v>-97.314459999999997</v>
      </c>
      <c r="D334" s="152">
        <v>8</v>
      </c>
      <c r="E334" s="152" t="s">
        <v>697</v>
      </c>
      <c r="F334" s="152">
        <v>2016</v>
      </c>
      <c r="G334" s="340">
        <v>42532.217361111114</v>
      </c>
      <c r="H334" s="152" t="s">
        <v>637</v>
      </c>
      <c r="I334" s="152" t="s">
        <v>696</v>
      </c>
      <c r="J334" s="152" t="s">
        <v>697</v>
      </c>
      <c r="L334" s="152" t="s">
        <v>649</v>
      </c>
      <c r="M334" s="152" t="s">
        <v>693</v>
      </c>
      <c r="N334" s="152" t="s">
        <v>637</v>
      </c>
      <c r="O334" s="152" t="s">
        <v>647</v>
      </c>
      <c r="P334" s="152" t="s">
        <v>696</v>
      </c>
      <c r="Q334" s="152" t="s">
        <v>637</v>
      </c>
      <c r="R334" s="152" t="s">
        <v>701</v>
      </c>
      <c r="S334" s="152" t="s">
        <v>637</v>
      </c>
      <c r="T334" s="152" t="s">
        <v>701</v>
      </c>
      <c r="U334" s="152" t="s">
        <v>644</v>
      </c>
      <c r="V334" s="152" t="s">
        <v>96</v>
      </c>
      <c r="W334" s="152" t="s">
        <v>643</v>
      </c>
      <c r="Y334" s="152" t="s">
        <v>637</v>
      </c>
      <c r="Z334" s="152" t="s">
        <v>642</v>
      </c>
      <c r="AA334" s="152" t="s">
        <v>782</v>
      </c>
      <c r="AB334" s="152" t="s">
        <v>640</v>
      </c>
      <c r="AC334" s="152" t="s">
        <v>701</v>
      </c>
      <c r="AD334" s="152" t="s">
        <v>771</v>
      </c>
      <c r="AE334" s="152" t="s">
        <v>637</v>
      </c>
      <c r="AF334" s="152" t="s">
        <v>637</v>
      </c>
      <c r="AG334" s="152" t="s">
        <v>637</v>
      </c>
      <c r="AH334" s="152" t="s">
        <v>664</v>
      </c>
      <c r="AI334" s="152" t="s">
        <v>699</v>
      </c>
      <c r="AJ334" s="152" t="s">
        <v>696</v>
      </c>
      <c r="AL334" s="152" t="s">
        <v>637</v>
      </c>
      <c r="AM334" s="152" t="s">
        <v>976</v>
      </c>
      <c r="AO334" s="152" t="s">
        <v>715</v>
      </c>
      <c r="AP334" s="152" t="s">
        <v>697</v>
      </c>
      <c r="AQ334" s="152" t="s">
        <v>671</v>
      </c>
      <c r="AS334" s="152" t="s">
        <v>696</v>
      </c>
      <c r="AT334" s="152" t="s">
        <v>702</v>
      </c>
      <c r="AU334" s="152">
        <v>2016</v>
      </c>
      <c r="AV334" s="339">
        <v>5660</v>
      </c>
      <c r="AW334" s="339">
        <v>1606657</v>
      </c>
      <c r="AX334" s="152">
        <v>11</v>
      </c>
      <c r="AY334" s="152">
        <v>-1</v>
      </c>
      <c r="AZ334" s="152">
        <v>75</v>
      </c>
      <c r="BA334" s="152">
        <v>4.8279706999999998E-2</v>
      </c>
      <c r="BB334" s="152">
        <v>70</v>
      </c>
      <c r="BC334" s="152">
        <v>90</v>
      </c>
      <c r="BD334" s="152">
        <v>4.0320001000000003</v>
      </c>
    </row>
    <row r="335" spans="1:56" x14ac:dyDescent="0.25">
      <c r="A335" s="152" t="s">
        <v>922</v>
      </c>
      <c r="B335" s="152">
        <v>43.666471999999999</v>
      </c>
      <c r="C335" s="152">
        <v>-97.308149</v>
      </c>
      <c r="D335" s="152">
        <v>8</v>
      </c>
      <c r="E335" s="152" t="s">
        <v>821</v>
      </c>
      <c r="F335" s="152">
        <v>2018</v>
      </c>
      <c r="G335" s="340">
        <v>43322.732638888891</v>
      </c>
      <c r="H335" s="152" t="s">
        <v>637</v>
      </c>
      <c r="I335" s="152" t="s">
        <v>669</v>
      </c>
      <c r="J335" s="152" t="s">
        <v>975</v>
      </c>
      <c r="L335" s="152" t="s">
        <v>649</v>
      </c>
      <c r="M335" s="152" t="s">
        <v>648</v>
      </c>
      <c r="N335" s="152" t="s">
        <v>637</v>
      </c>
      <c r="O335" s="152" t="s">
        <v>647</v>
      </c>
      <c r="P335" s="152" t="s">
        <v>628</v>
      </c>
      <c r="Q335" s="152" t="s">
        <v>637</v>
      </c>
      <c r="R335" s="152" t="s">
        <v>974</v>
      </c>
      <c r="S335" s="152" t="s">
        <v>637</v>
      </c>
      <c r="T335" s="152" t="s">
        <v>708</v>
      </c>
      <c r="U335" s="152" t="s">
        <v>644</v>
      </c>
      <c r="V335" s="152" t="s">
        <v>96</v>
      </c>
      <c r="W335" s="152" t="s">
        <v>643</v>
      </c>
      <c r="Y335" s="152" t="s">
        <v>637</v>
      </c>
      <c r="Z335" s="152" t="s">
        <v>783</v>
      </c>
      <c r="AA335" s="152" t="s">
        <v>641</v>
      </c>
      <c r="AB335" s="152" t="s">
        <v>640</v>
      </c>
      <c r="AC335" s="152" t="s">
        <v>708</v>
      </c>
      <c r="AD335" s="152" t="s">
        <v>738</v>
      </c>
      <c r="AE335" s="152" t="s">
        <v>633</v>
      </c>
      <c r="AF335" s="152" t="s">
        <v>637</v>
      </c>
      <c r="AG335" s="152" t="s">
        <v>637</v>
      </c>
      <c r="AH335" s="152" t="s">
        <v>664</v>
      </c>
      <c r="AI335" s="152" t="s">
        <v>628</v>
      </c>
      <c r="AJ335" s="152" t="s">
        <v>680</v>
      </c>
      <c r="AK335" s="152" t="s">
        <v>973</v>
      </c>
      <c r="AL335" s="152" t="s">
        <v>637</v>
      </c>
      <c r="AM335" s="152" t="s">
        <v>735</v>
      </c>
      <c r="AO335" s="152" t="s">
        <v>715</v>
      </c>
      <c r="AP335" s="152" t="s">
        <v>628</v>
      </c>
      <c r="AQ335" s="152" t="s">
        <v>972</v>
      </c>
      <c r="AR335" s="152" t="s">
        <v>629</v>
      </c>
      <c r="AS335" s="152" t="s">
        <v>628</v>
      </c>
      <c r="AT335" s="152" t="s">
        <v>702</v>
      </c>
      <c r="AU335" s="152">
        <v>2018</v>
      </c>
      <c r="AV335" s="339">
        <v>5660</v>
      </c>
      <c r="AW335" s="339">
        <v>1809938</v>
      </c>
      <c r="AX335" s="152">
        <v>10</v>
      </c>
      <c r="AY335" s="152">
        <v>0</v>
      </c>
      <c r="AZ335" s="152">
        <v>75</v>
      </c>
      <c r="BA335" s="152">
        <v>6.3839857E-2</v>
      </c>
      <c r="BB335" s="152">
        <v>434</v>
      </c>
      <c r="BC335" s="152">
        <v>90</v>
      </c>
      <c r="BD335" s="152">
        <v>4.0320001000000003</v>
      </c>
    </row>
    <row r="336" spans="1:56" x14ac:dyDescent="0.25">
      <c r="A336" s="152" t="s">
        <v>922</v>
      </c>
      <c r="B336" s="152">
        <v>43.666193999999997</v>
      </c>
      <c r="C336" s="152">
        <v>-97.394407000000001</v>
      </c>
      <c r="D336" s="152">
        <v>28</v>
      </c>
      <c r="E336" s="152" t="s">
        <v>652</v>
      </c>
      <c r="F336" s="152">
        <v>2018</v>
      </c>
      <c r="G336" s="340">
        <v>43454.1875</v>
      </c>
      <c r="H336" s="152" t="s">
        <v>637</v>
      </c>
      <c r="I336" s="152" t="s">
        <v>669</v>
      </c>
      <c r="J336" s="152" t="s">
        <v>650</v>
      </c>
      <c r="L336" s="152" t="s">
        <v>649</v>
      </c>
      <c r="M336" s="152" t="s">
        <v>668</v>
      </c>
      <c r="N336" s="152" t="s">
        <v>637</v>
      </c>
      <c r="O336" s="152" t="s">
        <v>647</v>
      </c>
      <c r="P336" s="152" t="s">
        <v>684</v>
      </c>
      <c r="Q336" s="152" t="s">
        <v>637</v>
      </c>
      <c r="R336" s="152" t="s">
        <v>971</v>
      </c>
      <c r="S336" s="152" t="s">
        <v>637</v>
      </c>
      <c r="T336" s="152" t="s">
        <v>674</v>
      </c>
      <c r="U336" s="152" t="s">
        <v>644</v>
      </c>
      <c r="V336" s="152" t="s">
        <v>96</v>
      </c>
      <c r="W336" s="152" t="s">
        <v>643</v>
      </c>
      <c r="Y336" s="152" t="s">
        <v>637</v>
      </c>
      <c r="Z336" s="152" t="s">
        <v>783</v>
      </c>
      <c r="AA336" s="152" t="s">
        <v>665</v>
      </c>
      <c r="AB336" s="152" t="s">
        <v>640</v>
      </c>
      <c r="AC336" s="152" t="s">
        <v>674</v>
      </c>
      <c r="AD336" s="152" t="s">
        <v>681</v>
      </c>
      <c r="AE336" s="152" t="s">
        <v>637</v>
      </c>
      <c r="AF336" s="152" t="s">
        <v>637</v>
      </c>
      <c r="AG336" s="152" t="s">
        <v>637</v>
      </c>
      <c r="AH336" s="152" t="s">
        <v>664</v>
      </c>
      <c r="AI336" s="152" t="s">
        <v>699</v>
      </c>
      <c r="AJ336" s="152" t="s">
        <v>635</v>
      </c>
      <c r="AK336" s="152" t="s">
        <v>634</v>
      </c>
      <c r="AL336" s="152" t="s">
        <v>637</v>
      </c>
      <c r="AM336" s="152" t="s">
        <v>970</v>
      </c>
      <c r="AO336" s="152" t="s">
        <v>715</v>
      </c>
      <c r="AP336" s="152" t="s">
        <v>628</v>
      </c>
      <c r="AQ336" s="152" t="s">
        <v>671</v>
      </c>
      <c r="AR336" s="152" t="s">
        <v>629</v>
      </c>
      <c r="AS336" s="152" t="s">
        <v>628</v>
      </c>
      <c r="AT336" s="152" t="s">
        <v>702</v>
      </c>
      <c r="AU336" s="152">
        <v>2018</v>
      </c>
      <c r="AV336" s="339">
        <v>5620</v>
      </c>
      <c r="AW336" s="339">
        <v>1816969</v>
      </c>
      <c r="AX336" s="152">
        <v>20</v>
      </c>
      <c r="AY336" s="152">
        <v>0</v>
      </c>
      <c r="AZ336" s="152">
        <v>75</v>
      </c>
      <c r="BA336" s="152">
        <v>7.1946949999999996E-2</v>
      </c>
      <c r="BB336" s="152">
        <v>502</v>
      </c>
      <c r="BC336" s="152">
        <v>90</v>
      </c>
      <c r="BD336" s="152">
        <v>6.0229998</v>
      </c>
    </row>
    <row r="337" spans="1:56" x14ac:dyDescent="0.25">
      <c r="A337" s="152" t="s">
        <v>922</v>
      </c>
      <c r="B337" s="152">
        <v>43.666204999999998</v>
      </c>
      <c r="C337" s="152">
        <v>-97.395893999999998</v>
      </c>
      <c r="D337" s="152">
        <v>28</v>
      </c>
      <c r="E337" s="152" t="s">
        <v>697</v>
      </c>
      <c r="F337" s="152">
        <v>2020</v>
      </c>
      <c r="G337" s="340">
        <v>44159.75</v>
      </c>
      <c r="H337" s="152" t="s">
        <v>637</v>
      </c>
      <c r="I337" s="152" t="s">
        <v>696</v>
      </c>
      <c r="J337" s="152" t="s">
        <v>697</v>
      </c>
      <c r="L337" s="152" t="s">
        <v>649</v>
      </c>
      <c r="M337" s="152" t="s">
        <v>736</v>
      </c>
      <c r="N337" s="152" t="s">
        <v>637</v>
      </c>
      <c r="O337" s="152" t="s">
        <v>647</v>
      </c>
      <c r="P337" s="152" t="s">
        <v>696</v>
      </c>
      <c r="Q337" s="152" t="s">
        <v>637</v>
      </c>
      <c r="R337" s="152" t="s">
        <v>701</v>
      </c>
      <c r="S337" s="152" t="s">
        <v>637</v>
      </c>
      <c r="T337" s="152" t="s">
        <v>701</v>
      </c>
      <c r="U337" s="152" t="s">
        <v>644</v>
      </c>
      <c r="V337" s="152" t="s">
        <v>96</v>
      </c>
      <c r="W337" s="152" t="s">
        <v>643</v>
      </c>
      <c r="Y337" s="152" t="s">
        <v>637</v>
      </c>
      <c r="Z337" s="152" t="s">
        <v>696</v>
      </c>
      <c r="AA337" s="152" t="s">
        <v>665</v>
      </c>
      <c r="AB337" s="152" t="s">
        <v>640</v>
      </c>
      <c r="AC337" s="152" t="s">
        <v>701</v>
      </c>
      <c r="AD337" s="152" t="s">
        <v>673</v>
      </c>
      <c r="AE337" s="152" t="s">
        <v>637</v>
      </c>
      <c r="AF337" s="152" t="s">
        <v>637</v>
      </c>
      <c r="AG337" s="152" t="s">
        <v>637</v>
      </c>
      <c r="AH337" s="152" t="s">
        <v>664</v>
      </c>
      <c r="AI337" s="152" t="s">
        <v>699</v>
      </c>
      <c r="AJ337" s="152" t="s">
        <v>696</v>
      </c>
      <c r="AL337" s="152" t="s">
        <v>637</v>
      </c>
      <c r="AM337" s="152" t="s">
        <v>925</v>
      </c>
      <c r="AO337" s="152" t="s">
        <v>715</v>
      </c>
      <c r="AP337" s="152" t="s">
        <v>697</v>
      </c>
      <c r="AQ337" s="152" t="s">
        <v>630</v>
      </c>
      <c r="AS337" s="152" t="s">
        <v>696</v>
      </c>
      <c r="AT337" s="152" t="s">
        <v>702</v>
      </c>
      <c r="AU337" s="152">
        <v>2020</v>
      </c>
      <c r="AV337" s="339">
        <v>5620</v>
      </c>
      <c r="AW337" s="339">
        <v>2015483</v>
      </c>
      <c r="AX337" s="152">
        <v>24</v>
      </c>
      <c r="AY337" s="152">
        <v>-1</v>
      </c>
      <c r="AZ337" s="152">
        <v>75</v>
      </c>
      <c r="BA337" s="152">
        <v>0.103087357</v>
      </c>
      <c r="BB337" s="152">
        <v>772</v>
      </c>
      <c r="BC337" s="152">
        <v>90</v>
      </c>
      <c r="BD337" s="152">
        <v>6.0229998</v>
      </c>
    </row>
    <row r="338" spans="1:56" x14ac:dyDescent="0.25">
      <c r="A338" s="152" t="s">
        <v>922</v>
      </c>
      <c r="B338" s="152">
        <v>43.666226000000002</v>
      </c>
      <c r="C338" s="152">
        <v>-97.398482999999999</v>
      </c>
      <c r="D338" s="152">
        <v>28</v>
      </c>
      <c r="E338" s="152" t="s">
        <v>697</v>
      </c>
      <c r="F338" s="152">
        <v>2019</v>
      </c>
      <c r="G338" s="340">
        <v>43610.965277777781</v>
      </c>
      <c r="H338" s="152" t="s">
        <v>637</v>
      </c>
      <c r="I338" s="152" t="s">
        <v>696</v>
      </c>
      <c r="J338" s="152" t="s">
        <v>697</v>
      </c>
      <c r="L338" s="152" t="s">
        <v>649</v>
      </c>
      <c r="M338" s="152" t="s">
        <v>693</v>
      </c>
      <c r="N338" s="152" t="s">
        <v>637</v>
      </c>
      <c r="O338" s="152" t="s">
        <v>647</v>
      </c>
      <c r="P338" s="152" t="s">
        <v>696</v>
      </c>
      <c r="Q338" s="152" t="s">
        <v>637</v>
      </c>
      <c r="R338" s="152" t="s">
        <v>701</v>
      </c>
      <c r="S338" s="152" t="s">
        <v>637</v>
      </c>
      <c r="T338" s="152" t="s">
        <v>701</v>
      </c>
      <c r="U338" s="152" t="s">
        <v>644</v>
      </c>
      <c r="V338" s="152" t="s">
        <v>96</v>
      </c>
      <c r="W338" s="152" t="s">
        <v>643</v>
      </c>
      <c r="Y338" s="152" t="s">
        <v>637</v>
      </c>
      <c r="Z338" s="152" t="s">
        <v>696</v>
      </c>
      <c r="AA338" s="152" t="s">
        <v>665</v>
      </c>
      <c r="AB338" s="152" t="s">
        <v>640</v>
      </c>
      <c r="AC338" s="152" t="s">
        <v>701</v>
      </c>
      <c r="AD338" s="152" t="s">
        <v>752</v>
      </c>
      <c r="AE338" s="152" t="s">
        <v>637</v>
      </c>
      <c r="AF338" s="152" t="s">
        <v>637</v>
      </c>
      <c r="AG338" s="152" t="s">
        <v>637</v>
      </c>
      <c r="AH338" s="152" t="s">
        <v>664</v>
      </c>
      <c r="AI338" s="152" t="s">
        <v>699</v>
      </c>
      <c r="AJ338" s="152" t="s">
        <v>696</v>
      </c>
      <c r="AL338" s="152" t="s">
        <v>637</v>
      </c>
      <c r="AM338" s="152" t="s">
        <v>969</v>
      </c>
      <c r="AO338" s="152" t="s">
        <v>715</v>
      </c>
      <c r="AP338" s="152" t="s">
        <v>697</v>
      </c>
      <c r="AQ338" s="152" t="s">
        <v>630</v>
      </c>
      <c r="AS338" s="152" t="s">
        <v>696</v>
      </c>
      <c r="AT338" s="152" t="s">
        <v>702</v>
      </c>
      <c r="AU338" s="152">
        <v>2019</v>
      </c>
      <c r="AV338" s="339">
        <v>5620</v>
      </c>
      <c r="AW338" s="339">
        <v>1905699</v>
      </c>
      <c r="AX338" s="152">
        <v>25</v>
      </c>
      <c r="AY338" s="152">
        <v>-1</v>
      </c>
      <c r="AZ338" s="152">
        <v>75</v>
      </c>
      <c r="BA338" s="152">
        <v>0.161181294</v>
      </c>
      <c r="BB338" s="152">
        <v>549</v>
      </c>
      <c r="BC338" s="152">
        <v>90</v>
      </c>
      <c r="BD338" s="152">
        <v>6.0229998</v>
      </c>
    </row>
    <row r="339" spans="1:56" x14ac:dyDescent="0.25">
      <c r="A339" s="152" t="s">
        <v>922</v>
      </c>
      <c r="B339" s="152">
        <v>43.666226999999999</v>
      </c>
      <c r="C339" s="152">
        <v>-97.398619999999994</v>
      </c>
      <c r="D339" s="152">
        <v>28</v>
      </c>
      <c r="E339" s="152" t="s">
        <v>697</v>
      </c>
      <c r="F339" s="152">
        <v>2017</v>
      </c>
      <c r="G339" s="340">
        <v>42870.041666666664</v>
      </c>
      <c r="H339" s="152" t="s">
        <v>637</v>
      </c>
      <c r="I339" s="152" t="s">
        <v>696</v>
      </c>
      <c r="J339" s="152" t="s">
        <v>697</v>
      </c>
      <c r="L339" s="152" t="s">
        <v>649</v>
      </c>
      <c r="M339" s="152" t="s">
        <v>685</v>
      </c>
      <c r="N339" s="152" t="s">
        <v>637</v>
      </c>
      <c r="O339" s="152" t="s">
        <v>647</v>
      </c>
      <c r="P339" s="152" t="s">
        <v>696</v>
      </c>
      <c r="Q339" s="152" t="s">
        <v>637</v>
      </c>
      <c r="R339" s="152" t="s">
        <v>701</v>
      </c>
      <c r="S339" s="152" t="s">
        <v>637</v>
      </c>
      <c r="T339" s="152" t="s">
        <v>701</v>
      </c>
      <c r="U339" s="152" t="s">
        <v>644</v>
      </c>
      <c r="V339" s="152" t="s">
        <v>96</v>
      </c>
      <c r="W339" s="152" t="s">
        <v>643</v>
      </c>
      <c r="Y339" s="152" t="s">
        <v>637</v>
      </c>
      <c r="Z339" s="152" t="s">
        <v>642</v>
      </c>
      <c r="AA339" s="152" t="s">
        <v>665</v>
      </c>
      <c r="AB339" s="152" t="s">
        <v>640</v>
      </c>
      <c r="AC339" s="152" t="s">
        <v>701</v>
      </c>
      <c r="AD339" s="152" t="s">
        <v>752</v>
      </c>
      <c r="AE339" s="152" t="s">
        <v>637</v>
      </c>
      <c r="AF339" s="152" t="s">
        <v>637</v>
      </c>
      <c r="AG339" s="152" t="s">
        <v>637</v>
      </c>
      <c r="AH339" s="152" t="s">
        <v>664</v>
      </c>
      <c r="AI339" s="152" t="s">
        <v>699</v>
      </c>
      <c r="AJ339" s="152" t="s">
        <v>696</v>
      </c>
      <c r="AL339" s="152" t="s">
        <v>637</v>
      </c>
      <c r="AM339" s="152" t="s">
        <v>968</v>
      </c>
      <c r="AO339" s="152" t="s">
        <v>715</v>
      </c>
      <c r="AP339" s="152" t="s">
        <v>697</v>
      </c>
      <c r="AQ339" s="152" t="s">
        <v>630</v>
      </c>
      <c r="AS339" s="152" t="s">
        <v>696</v>
      </c>
      <c r="AT339" s="152" t="s">
        <v>702</v>
      </c>
      <c r="AU339" s="152">
        <v>2017</v>
      </c>
      <c r="AV339" s="339">
        <v>5620</v>
      </c>
      <c r="AW339" s="339">
        <v>1705746</v>
      </c>
      <c r="AX339" s="152">
        <v>15</v>
      </c>
      <c r="AY339" s="152">
        <v>-1</v>
      </c>
      <c r="AZ339" s="152">
        <v>75</v>
      </c>
      <c r="BA339" s="152">
        <v>0.28468834300000001</v>
      </c>
      <c r="BB339" s="152">
        <v>227</v>
      </c>
      <c r="BC339" s="152">
        <v>90</v>
      </c>
      <c r="BD339" s="152">
        <v>6.0229998</v>
      </c>
    </row>
    <row r="340" spans="1:56" x14ac:dyDescent="0.25">
      <c r="A340" s="152" t="s">
        <v>922</v>
      </c>
      <c r="B340" s="152">
        <v>43.666238</v>
      </c>
      <c r="C340" s="152">
        <v>-97.399801999999994</v>
      </c>
      <c r="D340" s="152">
        <v>28</v>
      </c>
      <c r="E340" s="152" t="s">
        <v>652</v>
      </c>
      <c r="F340" s="152">
        <v>2020</v>
      </c>
      <c r="G340" s="340">
        <v>43842.713888888888</v>
      </c>
      <c r="H340" s="152" t="s">
        <v>637</v>
      </c>
      <c r="I340" s="152" t="s">
        <v>669</v>
      </c>
      <c r="J340" s="152" t="s">
        <v>650</v>
      </c>
      <c r="L340" s="152" t="s">
        <v>649</v>
      </c>
      <c r="M340" s="152" t="s">
        <v>712</v>
      </c>
      <c r="N340" s="152" t="s">
        <v>637</v>
      </c>
      <c r="O340" s="152" t="s">
        <v>647</v>
      </c>
      <c r="P340" s="152" t="s">
        <v>646</v>
      </c>
      <c r="Q340" s="152" t="s">
        <v>637</v>
      </c>
      <c r="R340" s="152" t="s">
        <v>709</v>
      </c>
      <c r="S340" s="152" t="s">
        <v>637</v>
      </c>
      <c r="T340" s="152" t="s">
        <v>708</v>
      </c>
      <c r="U340" s="152" t="s">
        <v>644</v>
      </c>
      <c r="V340" s="152" t="s">
        <v>96</v>
      </c>
      <c r="W340" s="152" t="s">
        <v>643</v>
      </c>
      <c r="Y340" s="152" t="s">
        <v>637</v>
      </c>
      <c r="Z340" s="152" t="s">
        <v>642</v>
      </c>
      <c r="AA340" s="152" t="s">
        <v>665</v>
      </c>
      <c r="AB340" s="152" t="s">
        <v>640</v>
      </c>
      <c r="AC340" s="152" t="s">
        <v>708</v>
      </c>
      <c r="AD340" s="152" t="s">
        <v>638</v>
      </c>
      <c r="AE340" s="152" t="s">
        <v>637</v>
      </c>
      <c r="AF340" s="152" t="s">
        <v>637</v>
      </c>
      <c r="AG340" s="152" t="s">
        <v>637</v>
      </c>
      <c r="AH340" s="152" t="s">
        <v>677</v>
      </c>
      <c r="AI340" s="152" t="s">
        <v>655</v>
      </c>
      <c r="AJ340" s="152" t="s">
        <v>635</v>
      </c>
      <c r="AK340" s="152" t="s">
        <v>634</v>
      </c>
      <c r="AL340" s="152" t="s">
        <v>633</v>
      </c>
      <c r="AM340" s="152" t="s">
        <v>967</v>
      </c>
      <c r="AO340" s="152" t="s">
        <v>715</v>
      </c>
      <c r="AP340" s="152" t="s">
        <v>628</v>
      </c>
      <c r="AQ340" s="152" t="s">
        <v>703</v>
      </c>
      <c r="AR340" s="152" t="s">
        <v>629</v>
      </c>
      <c r="AS340" s="152" t="s">
        <v>628</v>
      </c>
      <c r="AT340" s="152" t="s">
        <v>677</v>
      </c>
      <c r="AU340" s="152">
        <v>2020</v>
      </c>
      <c r="AV340" s="339">
        <v>5620</v>
      </c>
      <c r="AW340" s="339">
        <v>2000554</v>
      </c>
      <c r="AX340" s="152">
        <v>12</v>
      </c>
      <c r="AY340" s="152">
        <v>0</v>
      </c>
      <c r="AZ340" s="152">
        <v>75</v>
      </c>
      <c r="BA340" s="152">
        <v>0.48321742000000001</v>
      </c>
      <c r="BB340" s="152">
        <v>646</v>
      </c>
      <c r="BC340" s="152">
        <v>90</v>
      </c>
      <c r="BD340" s="152">
        <v>6.0229998</v>
      </c>
    </row>
    <row r="341" spans="1:56" x14ac:dyDescent="0.25">
      <c r="A341" s="152" t="s">
        <v>922</v>
      </c>
      <c r="B341" s="152">
        <v>43.666248000000003</v>
      </c>
      <c r="C341" s="152">
        <v>-97.400272999999999</v>
      </c>
      <c r="D341" s="152">
        <v>28</v>
      </c>
      <c r="E341" s="152" t="s">
        <v>759</v>
      </c>
      <c r="F341" s="152">
        <v>2016</v>
      </c>
      <c r="G341" s="340">
        <v>42465.666666666664</v>
      </c>
      <c r="H341" s="152" t="s">
        <v>637</v>
      </c>
      <c r="I341" s="152" t="s">
        <v>669</v>
      </c>
      <c r="J341" s="152" t="s">
        <v>650</v>
      </c>
      <c r="L341" s="152" t="s">
        <v>649</v>
      </c>
      <c r="M341" s="152" t="s">
        <v>736</v>
      </c>
      <c r="N341" s="152" t="s">
        <v>637</v>
      </c>
      <c r="O341" s="152" t="s">
        <v>647</v>
      </c>
      <c r="P341" s="152" t="s">
        <v>864</v>
      </c>
      <c r="Q341" s="152" t="s">
        <v>637</v>
      </c>
      <c r="R341" s="152" t="s">
        <v>768</v>
      </c>
      <c r="S341" s="152" t="s">
        <v>637</v>
      </c>
      <c r="T341" s="152" t="s">
        <v>719</v>
      </c>
      <c r="U341" s="152" t="s">
        <v>644</v>
      </c>
      <c r="V341" s="152" t="s">
        <v>96</v>
      </c>
      <c r="W341" s="152" t="s">
        <v>643</v>
      </c>
      <c r="Y341" s="152" t="s">
        <v>637</v>
      </c>
      <c r="Z341" s="152" t="s">
        <v>642</v>
      </c>
      <c r="AA341" s="152" t="s">
        <v>641</v>
      </c>
      <c r="AB341" s="152" t="s">
        <v>640</v>
      </c>
      <c r="AC341" s="152" t="s">
        <v>719</v>
      </c>
      <c r="AD341" s="152" t="s">
        <v>787</v>
      </c>
      <c r="AE341" s="152" t="s">
        <v>637</v>
      </c>
      <c r="AF341" s="152" t="s">
        <v>637</v>
      </c>
      <c r="AG341" s="152" t="s">
        <v>637</v>
      </c>
      <c r="AH341" s="152" t="s">
        <v>664</v>
      </c>
      <c r="AI341" s="152" t="s">
        <v>628</v>
      </c>
      <c r="AJ341" s="152" t="s">
        <v>680</v>
      </c>
      <c r="AK341" s="152" t="s">
        <v>634</v>
      </c>
      <c r="AL341" s="152" t="s">
        <v>637</v>
      </c>
      <c r="AM341" s="152" t="s">
        <v>966</v>
      </c>
      <c r="AO341" s="152" t="s">
        <v>715</v>
      </c>
      <c r="AP341" s="152" t="s">
        <v>628</v>
      </c>
      <c r="AQ341" s="152" t="s">
        <v>671</v>
      </c>
      <c r="AR341" s="152" t="s">
        <v>629</v>
      </c>
      <c r="AS341" s="152" t="s">
        <v>628</v>
      </c>
      <c r="AT341" s="152" t="s">
        <v>695</v>
      </c>
      <c r="AU341" s="152">
        <v>2016</v>
      </c>
      <c r="AV341" s="339">
        <v>5620</v>
      </c>
      <c r="AW341" s="339">
        <v>1604426</v>
      </c>
      <c r="AX341" s="152">
        <v>5</v>
      </c>
      <c r="AY341" s="152">
        <v>0</v>
      </c>
      <c r="AZ341" s="152">
        <v>75</v>
      </c>
      <c r="BA341" s="152">
        <v>6.9843713000000002E-2</v>
      </c>
      <c r="BB341" s="152">
        <v>46</v>
      </c>
      <c r="BC341" s="152">
        <v>90</v>
      </c>
      <c r="BD341" s="152">
        <v>6.0229998</v>
      </c>
    </row>
    <row r="342" spans="1:56" x14ac:dyDescent="0.25">
      <c r="A342" s="152" t="s">
        <v>922</v>
      </c>
      <c r="B342" s="152">
        <v>43.666249999999998</v>
      </c>
      <c r="C342" s="152">
        <v>-97.400374999999997</v>
      </c>
      <c r="D342" s="152">
        <v>28</v>
      </c>
      <c r="E342" s="152" t="s">
        <v>652</v>
      </c>
      <c r="F342" s="152">
        <v>2020</v>
      </c>
      <c r="G342" s="340">
        <v>43849.006944444445</v>
      </c>
      <c r="H342" s="152" t="s">
        <v>637</v>
      </c>
      <c r="I342" s="152" t="s">
        <v>669</v>
      </c>
      <c r="J342" s="152" t="s">
        <v>650</v>
      </c>
      <c r="L342" s="152" t="s">
        <v>649</v>
      </c>
      <c r="M342" s="152" t="s">
        <v>712</v>
      </c>
      <c r="N342" s="152" t="s">
        <v>637</v>
      </c>
      <c r="O342" s="152" t="s">
        <v>647</v>
      </c>
      <c r="P342" s="152" t="s">
        <v>646</v>
      </c>
      <c r="Q342" s="152" t="s">
        <v>637</v>
      </c>
      <c r="R342" s="152" t="s">
        <v>965</v>
      </c>
      <c r="S342" s="152" t="s">
        <v>637</v>
      </c>
      <c r="T342" s="152" t="s">
        <v>719</v>
      </c>
      <c r="U342" s="152" t="s">
        <v>644</v>
      </c>
      <c r="V342" s="152" t="s">
        <v>96</v>
      </c>
      <c r="W342" s="152" t="s">
        <v>643</v>
      </c>
      <c r="Y342" s="152" t="s">
        <v>637</v>
      </c>
      <c r="Z342" s="152" t="s">
        <v>642</v>
      </c>
      <c r="AA342" s="152" t="s">
        <v>665</v>
      </c>
      <c r="AB342" s="152" t="s">
        <v>640</v>
      </c>
      <c r="AC342" s="152" t="s">
        <v>719</v>
      </c>
      <c r="AD342" s="152" t="s">
        <v>638</v>
      </c>
      <c r="AE342" s="152" t="s">
        <v>637</v>
      </c>
      <c r="AF342" s="152" t="s">
        <v>637</v>
      </c>
      <c r="AG342" s="152" t="s">
        <v>637</v>
      </c>
      <c r="AH342" s="152" t="s">
        <v>677</v>
      </c>
      <c r="AI342" s="152" t="s">
        <v>655</v>
      </c>
      <c r="AJ342" s="152" t="s">
        <v>635</v>
      </c>
      <c r="AK342" s="152" t="s">
        <v>634</v>
      </c>
      <c r="AL342" s="152" t="s">
        <v>633</v>
      </c>
      <c r="AM342" s="152" t="s">
        <v>964</v>
      </c>
      <c r="AO342" s="152" t="s">
        <v>715</v>
      </c>
      <c r="AP342" s="152" t="s">
        <v>628</v>
      </c>
      <c r="AQ342" s="152" t="s">
        <v>769</v>
      </c>
      <c r="AR342" s="152" t="s">
        <v>629</v>
      </c>
      <c r="AS342" s="152" t="s">
        <v>628</v>
      </c>
      <c r="AT342" s="152" t="s">
        <v>788</v>
      </c>
      <c r="AU342" s="152">
        <v>2020</v>
      </c>
      <c r="AV342" s="339">
        <v>5620</v>
      </c>
      <c r="AW342" s="339">
        <v>2000797</v>
      </c>
      <c r="AX342" s="152">
        <v>19</v>
      </c>
      <c r="AY342" s="152">
        <v>0</v>
      </c>
      <c r="AZ342" s="152">
        <v>75</v>
      </c>
      <c r="BA342" s="152">
        <v>1.0698987E-2</v>
      </c>
      <c r="BB342" s="152">
        <v>651</v>
      </c>
      <c r="BC342" s="152">
        <v>90</v>
      </c>
      <c r="BD342" s="152">
        <v>6.0229998</v>
      </c>
    </row>
    <row r="343" spans="1:56" x14ac:dyDescent="0.25">
      <c r="A343" s="152" t="s">
        <v>922</v>
      </c>
      <c r="B343" s="152">
        <v>43.666288000000002</v>
      </c>
      <c r="C343" s="152">
        <v>-97.404902000000007</v>
      </c>
      <c r="D343" s="152">
        <v>28</v>
      </c>
      <c r="E343" s="152" t="s">
        <v>697</v>
      </c>
      <c r="F343" s="152">
        <v>2017</v>
      </c>
      <c r="G343" s="340">
        <v>43056.246527777781</v>
      </c>
      <c r="H343" s="152" t="s">
        <v>637</v>
      </c>
      <c r="I343" s="152" t="s">
        <v>696</v>
      </c>
      <c r="J343" s="152" t="s">
        <v>697</v>
      </c>
      <c r="L343" s="152" t="s">
        <v>649</v>
      </c>
      <c r="M343" s="152" t="s">
        <v>648</v>
      </c>
      <c r="N343" s="152" t="s">
        <v>637</v>
      </c>
      <c r="O343" s="152" t="s">
        <v>647</v>
      </c>
      <c r="P343" s="152" t="s">
        <v>696</v>
      </c>
      <c r="Q343" s="152" t="s">
        <v>637</v>
      </c>
      <c r="R343" s="152" t="s">
        <v>701</v>
      </c>
      <c r="S343" s="152" t="s">
        <v>637</v>
      </c>
      <c r="T343" s="152" t="s">
        <v>701</v>
      </c>
      <c r="U343" s="152" t="s">
        <v>644</v>
      </c>
      <c r="V343" s="152" t="s">
        <v>96</v>
      </c>
      <c r="W343" s="152" t="s">
        <v>643</v>
      </c>
      <c r="Y343" s="152" t="s">
        <v>637</v>
      </c>
      <c r="Z343" s="152" t="s">
        <v>642</v>
      </c>
      <c r="AA343" s="152" t="s">
        <v>665</v>
      </c>
      <c r="AB343" s="152" t="s">
        <v>640</v>
      </c>
      <c r="AC343" s="152" t="s">
        <v>701</v>
      </c>
      <c r="AD343" s="152" t="s">
        <v>673</v>
      </c>
      <c r="AE343" s="152" t="s">
        <v>637</v>
      </c>
      <c r="AF343" s="152" t="s">
        <v>637</v>
      </c>
      <c r="AG343" s="152" t="s">
        <v>637</v>
      </c>
      <c r="AH343" s="152" t="s">
        <v>664</v>
      </c>
      <c r="AI343" s="152" t="s">
        <v>699</v>
      </c>
      <c r="AJ343" s="152" t="s">
        <v>696</v>
      </c>
      <c r="AL343" s="152" t="s">
        <v>637</v>
      </c>
      <c r="AM343" s="152" t="s">
        <v>963</v>
      </c>
      <c r="AO343" s="152" t="s">
        <v>715</v>
      </c>
      <c r="AP343" s="152" t="s">
        <v>697</v>
      </c>
      <c r="AQ343" s="152" t="s">
        <v>671</v>
      </c>
      <c r="AS343" s="152" t="s">
        <v>696</v>
      </c>
      <c r="AT343" s="152" t="s">
        <v>702</v>
      </c>
      <c r="AU343" s="152">
        <v>2017</v>
      </c>
      <c r="AV343" s="339">
        <v>5620</v>
      </c>
      <c r="AW343" s="339">
        <v>1715321</v>
      </c>
      <c r="AX343" s="152">
        <v>17</v>
      </c>
      <c r="AY343" s="152">
        <v>-1</v>
      </c>
      <c r="AZ343" s="152">
        <v>75</v>
      </c>
      <c r="BA343" s="152">
        <v>2.1933699350000002</v>
      </c>
      <c r="BB343" s="152">
        <v>300</v>
      </c>
      <c r="BC343" s="152">
        <v>90</v>
      </c>
      <c r="BD343" s="152">
        <v>6.0229998</v>
      </c>
    </row>
    <row r="344" spans="1:56" x14ac:dyDescent="0.25">
      <c r="A344" s="152" t="s">
        <v>922</v>
      </c>
      <c r="B344" s="152">
        <v>43.666328999999998</v>
      </c>
      <c r="C344" s="152">
        <v>-97.408524999999997</v>
      </c>
      <c r="D344" s="152">
        <v>28</v>
      </c>
      <c r="E344" s="152" t="s">
        <v>697</v>
      </c>
      <c r="F344" s="152">
        <v>2018</v>
      </c>
      <c r="G344" s="340">
        <v>43246.190972222219</v>
      </c>
      <c r="H344" s="152" t="s">
        <v>637</v>
      </c>
      <c r="I344" s="152" t="s">
        <v>696</v>
      </c>
      <c r="J344" s="152" t="s">
        <v>697</v>
      </c>
      <c r="L344" s="152" t="s">
        <v>649</v>
      </c>
      <c r="M344" s="152" t="s">
        <v>693</v>
      </c>
      <c r="N344" s="152" t="s">
        <v>637</v>
      </c>
      <c r="O344" s="152" t="s">
        <v>647</v>
      </c>
      <c r="P344" s="152" t="s">
        <v>696</v>
      </c>
      <c r="Q344" s="152" t="s">
        <v>637</v>
      </c>
      <c r="R344" s="152" t="s">
        <v>701</v>
      </c>
      <c r="S344" s="152" t="s">
        <v>637</v>
      </c>
      <c r="T344" s="152" t="s">
        <v>701</v>
      </c>
      <c r="U344" s="152" t="s">
        <v>644</v>
      </c>
      <c r="V344" s="152" t="s">
        <v>96</v>
      </c>
      <c r="W344" s="152" t="s">
        <v>643</v>
      </c>
      <c r="Y344" s="152" t="s">
        <v>637</v>
      </c>
      <c r="Z344" s="152" t="s">
        <v>642</v>
      </c>
      <c r="AA344" s="152" t="s">
        <v>665</v>
      </c>
      <c r="AB344" s="152" t="s">
        <v>640</v>
      </c>
      <c r="AC344" s="152" t="s">
        <v>701</v>
      </c>
      <c r="AD344" s="152" t="s">
        <v>752</v>
      </c>
      <c r="AE344" s="152" t="s">
        <v>637</v>
      </c>
      <c r="AF344" s="152" t="s">
        <v>637</v>
      </c>
      <c r="AG344" s="152" t="s">
        <v>637</v>
      </c>
      <c r="AH344" s="152" t="s">
        <v>664</v>
      </c>
      <c r="AI344" s="152" t="s">
        <v>699</v>
      </c>
      <c r="AJ344" s="152" t="s">
        <v>696</v>
      </c>
      <c r="AL344" s="152" t="s">
        <v>637</v>
      </c>
      <c r="AM344" s="152" t="s">
        <v>962</v>
      </c>
      <c r="AO344" s="152" t="s">
        <v>715</v>
      </c>
      <c r="AP344" s="152" t="s">
        <v>697</v>
      </c>
      <c r="AQ344" s="152" t="s">
        <v>630</v>
      </c>
      <c r="AS344" s="152" t="s">
        <v>696</v>
      </c>
      <c r="AT344" s="152" t="s">
        <v>702</v>
      </c>
      <c r="AU344" s="152">
        <v>2018</v>
      </c>
      <c r="AV344" s="339">
        <v>5620</v>
      </c>
      <c r="AW344" s="339">
        <v>1805840</v>
      </c>
      <c r="AX344" s="152">
        <v>26</v>
      </c>
      <c r="AY344" s="152">
        <v>-1</v>
      </c>
      <c r="AZ344" s="152">
        <v>75</v>
      </c>
      <c r="BA344" s="152">
        <v>6.8168899999999997E-4</v>
      </c>
      <c r="BB344" s="152">
        <v>397</v>
      </c>
      <c r="BC344" s="152">
        <v>90</v>
      </c>
      <c r="BD344" s="152">
        <v>6.0229998</v>
      </c>
    </row>
    <row r="345" spans="1:56" x14ac:dyDescent="0.25">
      <c r="A345" s="152" t="s">
        <v>922</v>
      </c>
      <c r="B345" s="152">
        <v>43.666407999999997</v>
      </c>
      <c r="C345" s="152">
        <v>-97.418499999999995</v>
      </c>
      <c r="D345" s="152">
        <v>28</v>
      </c>
      <c r="E345" s="152" t="s">
        <v>697</v>
      </c>
      <c r="F345" s="152">
        <v>2018</v>
      </c>
      <c r="G345" s="340">
        <v>43419.896527777775</v>
      </c>
      <c r="H345" s="152" t="s">
        <v>637</v>
      </c>
      <c r="I345" s="152" t="s">
        <v>696</v>
      </c>
      <c r="J345" s="152" t="s">
        <v>697</v>
      </c>
      <c r="L345" s="152" t="s">
        <v>649</v>
      </c>
      <c r="M345" s="152" t="s">
        <v>668</v>
      </c>
      <c r="N345" s="152" t="s">
        <v>637</v>
      </c>
      <c r="O345" s="152" t="s">
        <v>647</v>
      </c>
      <c r="P345" s="152" t="s">
        <v>696</v>
      </c>
      <c r="Q345" s="152" t="s">
        <v>637</v>
      </c>
      <c r="R345" s="152" t="s">
        <v>701</v>
      </c>
      <c r="S345" s="152" t="s">
        <v>637</v>
      </c>
      <c r="T345" s="152" t="s">
        <v>701</v>
      </c>
      <c r="U345" s="152" t="s">
        <v>644</v>
      </c>
      <c r="V345" s="152" t="s">
        <v>96</v>
      </c>
      <c r="W345" s="152" t="s">
        <v>643</v>
      </c>
      <c r="Y345" s="152" t="s">
        <v>637</v>
      </c>
      <c r="Z345" s="152" t="s">
        <v>642</v>
      </c>
      <c r="AA345" s="152" t="s">
        <v>665</v>
      </c>
      <c r="AB345" s="152" t="s">
        <v>640</v>
      </c>
      <c r="AC345" s="152" t="s">
        <v>701</v>
      </c>
      <c r="AD345" s="152" t="s">
        <v>673</v>
      </c>
      <c r="AE345" s="152" t="s">
        <v>637</v>
      </c>
      <c r="AF345" s="152" t="s">
        <v>637</v>
      </c>
      <c r="AG345" s="152" t="s">
        <v>637</v>
      </c>
      <c r="AH345" s="152" t="s">
        <v>664</v>
      </c>
      <c r="AI345" s="152" t="s">
        <v>699</v>
      </c>
      <c r="AJ345" s="152" t="s">
        <v>696</v>
      </c>
      <c r="AL345" s="152" t="s">
        <v>637</v>
      </c>
      <c r="AM345" s="152" t="s">
        <v>961</v>
      </c>
      <c r="AO345" s="152" t="s">
        <v>715</v>
      </c>
      <c r="AP345" s="152" t="s">
        <v>697</v>
      </c>
      <c r="AQ345" s="152" t="s">
        <v>630</v>
      </c>
      <c r="AS345" s="152" t="s">
        <v>696</v>
      </c>
      <c r="AT345" s="152" t="s">
        <v>702</v>
      </c>
      <c r="AU345" s="152">
        <v>2018</v>
      </c>
      <c r="AV345" s="339">
        <v>5620</v>
      </c>
      <c r="AW345" s="339">
        <v>1815286</v>
      </c>
      <c r="AX345" s="152">
        <v>15</v>
      </c>
      <c r="AY345" s="152">
        <v>-1</v>
      </c>
      <c r="AZ345" s="152">
        <v>75</v>
      </c>
      <c r="BA345" s="152">
        <v>8.4222543569999999</v>
      </c>
      <c r="BB345" s="152">
        <v>481</v>
      </c>
      <c r="BC345" s="152">
        <v>90</v>
      </c>
      <c r="BD345" s="152">
        <v>6.0229998</v>
      </c>
    </row>
    <row r="346" spans="1:56" x14ac:dyDescent="0.25">
      <c r="A346" s="152" t="s">
        <v>922</v>
      </c>
      <c r="B346" s="152">
        <v>43.666513000000002</v>
      </c>
      <c r="C346" s="152">
        <v>-97.427199999999999</v>
      </c>
      <c r="D346" s="152">
        <v>28</v>
      </c>
      <c r="E346" s="152" t="s">
        <v>652</v>
      </c>
      <c r="F346" s="152">
        <v>2017</v>
      </c>
      <c r="G346" s="340">
        <v>43073.975694444445</v>
      </c>
      <c r="H346" s="152" t="s">
        <v>637</v>
      </c>
      <c r="I346" s="152" t="s">
        <v>669</v>
      </c>
      <c r="J346" s="152" t="s">
        <v>660</v>
      </c>
      <c r="L346" s="152" t="s">
        <v>649</v>
      </c>
      <c r="M346" s="152" t="s">
        <v>685</v>
      </c>
      <c r="N346" s="152" t="s">
        <v>637</v>
      </c>
      <c r="O346" s="152" t="s">
        <v>647</v>
      </c>
      <c r="P346" s="152" t="s">
        <v>960</v>
      </c>
      <c r="Q346" s="152" t="s">
        <v>637</v>
      </c>
      <c r="R346" s="152" t="s">
        <v>656</v>
      </c>
      <c r="S346" s="152" t="s">
        <v>637</v>
      </c>
      <c r="T346" s="152" t="s">
        <v>656</v>
      </c>
      <c r="U346" s="152" t="s">
        <v>644</v>
      </c>
      <c r="V346" s="152" t="s">
        <v>96</v>
      </c>
      <c r="W346" s="152" t="s">
        <v>643</v>
      </c>
      <c r="Y346" s="152" t="s">
        <v>637</v>
      </c>
      <c r="Z346" s="152" t="s">
        <v>642</v>
      </c>
      <c r="AA346" s="152" t="s">
        <v>665</v>
      </c>
      <c r="AB346" s="152" t="s">
        <v>728</v>
      </c>
      <c r="AC346" s="152" t="s">
        <v>656</v>
      </c>
      <c r="AD346" s="152" t="s">
        <v>681</v>
      </c>
      <c r="AE346" s="152" t="s">
        <v>637</v>
      </c>
      <c r="AF346" s="152" t="s">
        <v>637</v>
      </c>
      <c r="AG346" s="152" t="s">
        <v>637</v>
      </c>
      <c r="AH346" s="152" t="s">
        <v>636</v>
      </c>
      <c r="AI346" s="152" t="s">
        <v>655</v>
      </c>
      <c r="AJ346" s="152" t="s">
        <v>635</v>
      </c>
      <c r="AK346" s="152" t="s">
        <v>634</v>
      </c>
      <c r="AL346" s="152" t="s">
        <v>637</v>
      </c>
      <c r="AM346" s="152" t="s">
        <v>959</v>
      </c>
      <c r="AO346" s="152" t="s">
        <v>715</v>
      </c>
      <c r="AP346" s="152" t="s">
        <v>628</v>
      </c>
      <c r="AQ346" s="152" t="s">
        <v>662</v>
      </c>
      <c r="AR346" s="152" t="s">
        <v>798</v>
      </c>
      <c r="AS346" s="152" t="s">
        <v>678</v>
      </c>
      <c r="AT346" s="152" t="s">
        <v>689</v>
      </c>
      <c r="AU346" s="152">
        <v>2017</v>
      </c>
      <c r="AV346" s="339">
        <v>5620</v>
      </c>
      <c r="AW346" s="339">
        <v>1716939</v>
      </c>
      <c r="AX346" s="152">
        <v>4</v>
      </c>
      <c r="AY346" s="152">
        <v>0</v>
      </c>
      <c r="AZ346" s="152">
        <v>75</v>
      </c>
      <c r="BA346" s="152">
        <v>0.175354659</v>
      </c>
      <c r="BB346" s="152">
        <v>309</v>
      </c>
      <c r="BC346" s="152">
        <v>90</v>
      </c>
      <c r="BD346" s="152">
        <v>6.0229998</v>
      </c>
    </row>
    <row r="347" spans="1:56" x14ac:dyDescent="0.25">
      <c r="A347" s="152" t="s">
        <v>922</v>
      </c>
      <c r="B347" s="152">
        <v>43.666513000000002</v>
      </c>
      <c r="C347" s="152">
        <v>-97.426764000000006</v>
      </c>
      <c r="D347" s="152">
        <v>28</v>
      </c>
      <c r="E347" s="152" t="s">
        <v>652</v>
      </c>
      <c r="F347" s="152">
        <v>2020</v>
      </c>
      <c r="G347" s="340">
        <v>43860.393750000003</v>
      </c>
      <c r="H347" s="152" t="s">
        <v>637</v>
      </c>
      <c r="I347" s="152" t="s">
        <v>651</v>
      </c>
      <c r="J347" s="152" t="s">
        <v>650</v>
      </c>
      <c r="K347" s="152" t="s">
        <v>659</v>
      </c>
      <c r="L347" s="152" t="s">
        <v>649</v>
      </c>
      <c r="M347" s="152" t="s">
        <v>668</v>
      </c>
      <c r="N347" s="152" t="s">
        <v>637</v>
      </c>
      <c r="O347" s="152" t="s">
        <v>647</v>
      </c>
      <c r="P347" s="152" t="s">
        <v>646</v>
      </c>
      <c r="Q347" s="152" t="s">
        <v>637</v>
      </c>
      <c r="R347" s="152" t="s">
        <v>957</v>
      </c>
      <c r="S347" s="152" t="s">
        <v>637</v>
      </c>
      <c r="T347" s="152" t="s">
        <v>956</v>
      </c>
      <c r="U347" s="152" t="s">
        <v>644</v>
      </c>
      <c r="V347" s="152" t="s">
        <v>96</v>
      </c>
      <c r="W347" s="152" t="s">
        <v>643</v>
      </c>
      <c r="Y347" s="152" t="s">
        <v>637</v>
      </c>
      <c r="Z347" s="152" t="s">
        <v>642</v>
      </c>
      <c r="AA347" s="152" t="s">
        <v>641</v>
      </c>
      <c r="AB347" s="152" t="s">
        <v>640</v>
      </c>
      <c r="AC347" s="152" t="s">
        <v>956</v>
      </c>
      <c r="AD347" s="152" t="s">
        <v>638</v>
      </c>
      <c r="AE347" s="152" t="s">
        <v>637</v>
      </c>
      <c r="AF347" s="152" t="s">
        <v>637</v>
      </c>
      <c r="AG347" s="152" t="s">
        <v>637</v>
      </c>
      <c r="AH347" s="152" t="s">
        <v>636</v>
      </c>
      <c r="AI347" s="152" t="s">
        <v>655</v>
      </c>
      <c r="AJ347" s="152" t="s">
        <v>635</v>
      </c>
      <c r="AK347" s="152" t="s">
        <v>634</v>
      </c>
      <c r="AL347" s="152" t="s">
        <v>633</v>
      </c>
      <c r="AM347" s="152" t="s">
        <v>958</v>
      </c>
      <c r="AO347" s="152" t="s">
        <v>715</v>
      </c>
      <c r="AP347" s="152" t="s">
        <v>628</v>
      </c>
      <c r="AQ347" s="152" t="s">
        <v>630</v>
      </c>
      <c r="AR347" s="152" t="s">
        <v>629</v>
      </c>
      <c r="AS347" s="152" t="s">
        <v>628</v>
      </c>
      <c r="AT347" s="152" t="s">
        <v>702</v>
      </c>
      <c r="AU347" s="152">
        <v>2020</v>
      </c>
      <c r="AV347" s="339">
        <v>5620</v>
      </c>
      <c r="AW347" s="339">
        <v>2002118</v>
      </c>
      <c r="AX347" s="152">
        <v>30</v>
      </c>
      <c r="AY347" s="152">
        <v>0</v>
      </c>
      <c r="AZ347" s="152">
        <v>75</v>
      </c>
      <c r="BA347" s="152">
        <v>0.84912010299999996</v>
      </c>
      <c r="BB347" s="152">
        <v>660</v>
      </c>
      <c r="BC347" s="152">
        <v>90</v>
      </c>
      <c r="BD347" s="152">
        <v>6.0229998</v>
      </c>
    </row>
    <row r="348" spans="1:56" x14ac:dyDescent="0.25">
      <c r="A348" s="152" t="s">
        <v>922</v>
      </c>
      <c r="B348" s="152">
        <v>43.666514999999997</v>
      </c>
      <c r="C348" s="152">
        <v>-97.427878000000007</v>
      </c>
      <c r="D348" s="152">
        <v>28</v>
      </c>
      <c r="E348" s="152" t="s">
        <v>697</v>
      </c>
      <c r="F348" s="152">
        <v>2018</v>
      </c>
      <c r="G348" s="340">
        <v>43164.020833333336</v>
      </c>
      <c r="H348" s="152" t="s">
        <v>637</v>
      </c>
      <c r="I348" s="152" t="s">
        <v>696</v>
      </c>
      <c r="J348" s="152" t="s">
        <v>697</v>
      </c>
      <c r="L348" s="152" t="s">
        <v>649</v>
      </c>
      <c r="M348" s="152" t="s">
        <v>685</v>
      </c>
      <c r="N348" s="152" t="s">
        <v>637</v>
      </c>
      <c r="O348" s="152" t="s">
        <v>647</v>
      </c>
      <c r="P348" s="152" t="s">
        <v>696</v>
      </c>
      <c r="Q348" s="152" t="s">
        <v>637</v>
      </c>
      <c r="R348" s="152" t="s">
        <v>701</v>
      </c>
      <c r="S348" s="152" t="s">
        <v>637</v>
      </c>
      <c r="T348" s="152" t="s">
        <v>701</v>
      </c>
      <c r="U348" s="152" t="s">
        <v>644</v>
      </c>
      <c r="V348" s="152" t="s">
        <v>96</v>
      </c>
      <c r="W348" s="152" t="s">
        <v>643</v>
      </c>
      <c r="Y348" s="152" t="s">
        <v>637</v>
      </c>
      <c r="Z348" s="152" t="s">
        <v>642</v>
      </c>
      <c r="AA348" s="152" t="s">
        <v>665</v>
      </c>
      <c r="AB348" s="152" t="s">
        <v>640</v>
      </c>
      <c r="AC348" s="152" t="s">
        <v>701</v>
      </c>
      <c r="AD348" s="152" t="s">
        <v>691</v>
      </c>
      <c r="AE348" s="152" t="s">
        <v>637</v>
      </c>
      <c r="AF348" s="152" t="s">
        <v>637</v>
      </c>
      <c r="AG348" s="152" t="s">
        <v>637</v>
      </c>
      <c r="AH348" s="152" t="s">
        <v>762</v>
      </c>
      <c r="AI348" s="152" t="s">
        <v>699</v>
      </c>
      <c r="AJ348" s="152" t="s">
        <v>696</v>
      </c>
      <c r="AL348" s="152" t="s">
        <v>637</v>
      </c>
      <c r="AM348" s="152" t="s">
        <v>934</v>
      </c>
      <c r="AO348" s="152" t="s">
        <v>715</v>
      </c>
      <c r="AP348" s="152" t="s">
        <v>697</v>
      </c>
      <c r="AQ348" s="152" t="s">
        <v>662</v>
      </c>
      <c r="AS348" s="152" t="s">
        <v>696</v>
      </c>
      <c r="AT348" s="152" t="s">
        <v>797</v>
      </c>
      <c r="AU348" s="152">
        <v>2018</v>
      </c>
      <c r="AV348" s="339">
        <v>5620</v>
      </c>
      <c r="AW348" s="339">
        <v>1803142</v>
      </c>
      <c r="AX348" s="152">
        <v>5</v>
      </c>
      <c r="AY348" s="152">
        <v>-1</v>
      </c>
      <c r="AZ348" s="152">
        <v>75</v>
      </c>
      <c r="BA348" s="152">
        <v>0.19733750799999999</v>
      </c>
      <c r="BB348" s="152">
        <v>344</v>
      </c>
      <c r="BC348" s="152">
        <v>90</v>
      </c>
      <c r="BD348" s="152">
        <v>6.0229998</v>
      </c>
    </row>
    <row r="349" spans="1:56" x14ac:dyDescent="0.25">
      <c r="A349" s="152" t="s">
        <v>922</v>
      </c>
      <c r="B349" s="152">
        <v>43.666514999999997</v>
      </c>
      <c r="C349" s="152">
        <v>-97.427854999999994</v>
      </c>
      <c r="D349" s="152">
        <v>28</v>
      </c>
      <c r="E349" s="152" t="s">
        <v>652</v>
      </c>
      <c r="F349" s="152">
        <v>2017</v>
      </c>
      <c r="G349" s="340">
        <v>42806.701388888891</v>
      </c>
      <c r="H349" s="152" t="s">
        <v>637</v>
      </c>
      <c r="I349" s="152" t="s">
        <v>669</v>
      </c>
      <c r="J349" s="152" t="s">
        <v>650</v>
      </c>
      <c r="L349" s="152" t="s">
        <v>649</v>
      </c>
      <c r="M349" s="152" t="s">
        <v>712</v>
      </c>
      <c r="N349" s="152" t="s">
        <v>637</v>
      </c>
      <c r="O349" s="152" t="s">
        <v>647</v>
      </c>
      <c r="P349" s="152" t="s">
        <v>646</v>
      </c>
      <c r="Q349" s="152" t="s">
        <v>637</v>
      </c>
      <c r="R349" s="152" t="s">
        <v>957</v>
      </c>
      <c r="S349" s="152" t="s">
        <v>637</v>
      </c>
      <c r="T349" s="152" t="s">
        <v>956</v>
      </c>
      <c r="U349" s="152" t="s">
        <v>644</v>
      </c>
      <c r="V349" s="152" t="s">
        <v>96</v>
      </c>
      <c r="W349" s="152" t="s">
        <v>643</v>
      </c>
      <c r="Y349" s="152" t="s">
        <v>637</v>
      </c>
      <c r="Z349" s="152" t="s">
        <v>642</v>
      </c>
      <c r="AA349" s="152" t="s">
        <v>641</v>
      </c>
      <c r="AB349" s="152" t="s">
        <v>640</v>
      </c>
      <c r="AC349" s="152" t="s">
        <v>956</v>
      </c>
      <c r="AD349" s="152" t="s">
        <v>691</v>
      </c>
      <c r="AE349" s="152" t="s">
        <v>637</v>
      </c>
      <c r="AF349" s="152" t="s">
        <v>637</v>
      </c>
      <c r="AG349" s="152" t="s">
        <v>637</v>
      </c>
      <c r="AH349" s="152" t="s">
        <v>677</v>
      </c>
      <c r="AI349" s="152" t="s">
        <v>655</v>
      </c>
      <c r="AJ349" s="152" t="s">
        <v>635</v>
      </c>
      <c r="AK349" s="152" t="s">
        <v>634</v>
      </c>
      <c r="AL349" s="152" t="s">
        <v>633</v>
      </c>
      <c r="AM349" s="152" t="s">
        <v>955</v>
      </c>
      <c r="AO349" s="152" t="s">
        <v>715</v>
      </c>
      <c r="AP349" s="152" t="s">
        <v>628</v>
      </c>
      <c r="AQ349" s="152" t="s">
        <v>703</v>
      </c>
      <c r="AR349" s="152" t="s">
        <v>629</v>
      </c>
      <c r="AS349" s="152" t="s">
        <v>628</v>
      </c>
      <c r="AT349" s="152" t="s">
        <v>689</v>
      </c>
      <c r="AU349" s="152">
        <v>2017</v>
      </c>
      <c r="AV349" s="339">
        <v>5620</v>
      </c>
      <c r="AW349" s="339">
        <v>1703358</v>
      </c>
      <c r="AX349" s="152">
        <v>12</v>
      </c>
      <c r="AY349" s="152">
        <v>0</v>
      </c>
      <c r="AZ349" s="152">
        <v>75</v>
      </c>
      <c r="BA349" s="152">
        <v>0.10747208</v>
      </c>
      <c r="BB349" s="152">
        <v>201</v>
      </c>
      <c r="BC349" s="152">
        <v>90</v>
      </c>
      <c r="BD349" s="152">
        <v>6.0229998</v>
      </c>
    </row>
    <row r="350" spans="1:56" x14ac:dyDescent="0.25">
      <c r="A350" s="152" t="s">
        <v>922</v>
      </c>
      <c r="B350" s="152">
        <v>43.666519000000001</v>
      </c>
      <c r="C350" s="152">
        <v>-97.428560000000004</v>
      </c>
      <c r="D350" s="152">
        <v>28</v>
      </c>
      <c r="E350" s="152" t="s">
        <v>697</v>
      </c>
      <c r="F350" s="152">
        <v>2016</v>
      </c>
      <c r="G350" s="340">
        <v>42679.131944444445</v>
      </c>
      <c r="H350" s="152" t="s">
        <v>637</v>
      </c>
      <c r="I350" s="152" t="s">
        <v>696</v>
      </c>
      <c r="J350" s="152" t="s">
        <v>697</v>
      </c>
      <c r="L350" s="152" t="s">
        <v>649</v>
      </c>
      <c r="M350" s="152" t="s">
        <v>693</v>
      </c>
      <c r="N350" s="152" t="s">
        <v>637</v>
      </c>
      <c r="O350" s="152" t="s">
        <v>647</v>
      </c>
      <c r="P350" s="152" t="s">
        <v>696</v>
      </c>
      <c r="Q350" s="152" t="s">
        <v>637</v>
      </c>
      <c r="R350" s="152" t="s">
        <v>701</v>
      </c>
      <c r="S350" s="152" t="s">
        <v>637</v>
      </c>
      <c r="T350" s="152" t="s">
        <v>701</v>
      </c>
      <c r="U350" s="152" t="s">
        <v>644</v>
      </c>
      <c r="V350" s="152" t="s">
        <v>96</v>
      </c>
      <c r="W350" s="152" t="s">
        <v>643</v>
      </c>
      <c r="Y350" s="152" t="s">
        <v>637</v>
      </c>
      <c r="Z350" s="152" t="s">
        <v>642</v>
      </c>
      <c r="AA350" s="152" t="s">
        <v>665</v>
      </c>
      <c r="AB350" s="152" t="s">
        <v>640</v>
      </c>
      <c r="AC350" s="152" t="s">
        <v>701</v>
      </c>
      <c r="AD350" s="152" t="s">
        <v>673</v>
      </c>
      <c r="AE350" s="152" t="s">
        <v>637</v>
      </c>
      <c r="AF350" s="152" t="s">
        <v>637</v>
      </c>
      <c r="AG350" s="152" t="s">
        <v>637</v>
      </c>
      <c r="AH350" s="152" t="s">
        <v>664</v>
      </c>
      <c r="AI350" s="152" t="s">
        <v>699</v>
      </c>
      <c r="AJ350" s="152" t="s">
        <v>696</v>
      </c>
      <c r="AL350" s="152" t="s">
        <v>637</v>
      </c>
      <c r="AM350" s="152" t="s">
        <v>954</v>
      </c>
      <c r="AO350" s="152" t="s">
        <v>715</v>
      </c>
      <c r="AP350" s="152" t="s">
        <v>697</v>
      </c>
      <c r="AQ350" s="152" t="s">
        <v>671</v>
      </c>
      <c r="AS350" s="152" t="s">
        <v>696</v>
      </c>
      <c r="AT350" s="152" t="s">
        <v>702</v>
      </c>
      <c r="AU350" s="152">
        <v>2016</v>
      </c>
      <c r="AV350" s="339">
        <v>5620</v>
      </c>
      <c r="AW350" s="339">
        <v>1614100</v>
      </c>
      <c r="AX350" s="152">
        <v>5</v>
      </c>
      <c r="AY350" s="152">
        <v>-1</v>
      </c>
      <c r="AZ350" s="152">
        <v>75</v>
      </c>
      <c r="BA350" s="152">
        <v>1.4111094719999999</v>
      </c>
      <c r="BB350" s="152">
        <v>123</v>
      </c>
      <c r="BC350" s="152">
        <v>90</v>
      </c>
      <c r="BD350" s="152">
        <v>6.0229998</v>
      </c>
    </row>
    <row r="351" spans="1:56" x14ac:dyDescent="0.25">
      <c r="A351" s="152" t="s">
        <v>922</v>
      </c>
      <c r="B351" s="152">
        <v>43.666519000000001</v>
      </c>
      <c r="C351" s="152">
        <v>-97.428560000000004</v>
      </c>
      <c r="D351" s="152">
        <v>28</v>
      </c>
      <c r="E351" s="152" t="s">
        <v>697</v>
      </c>
      <c r="F351" s="152">
        <v>2017</v>
      </c>
      <c r="G351" s="340">
        <v>42874.496527777781</v>
      </c>
      <c r="H351" s="152" t="s">
        <v>637</v>
      </c>
      <c r="I351" s="152" t="s">
        <v>696</v>
      </c>
      <c r="J351" s="152" t="s">
        <v>697</v>
      </c>
      <c r="L351" s="152" t="s">
        <v>649</v>
      </c>
      <c r="M351" s="152" t="s">
        <v>648</v>
      </c>
      <c r="N351" s="152" t="s">
        <v>637</v>
      </c>
      <c r="O351" s="152" t="s">
        <v>647</v>
      </c>
      <c r="P351" s="152" t="s">
        <v>696</v>
      </c>
      <c r="Q351" s="152" t="s">
        <v>637</v>
      </c>
      <c r="R351" s="152" t="s">
        <v>701</v>
      </c>
      <c r="S351" s="152" t="s">
        <v>637</v>
      </c>
      <c r="T351" s="152" t="s">
        <v>701</v>
      </c>
      <c r="U351" s="152" t="s">
        <v>644</v>
      </c>
      <c r="V351" s="152" t="s">
        <v>96</v>
      </c>
      <c r="W351" s="152" t="s">
        <v>643</v>
      </c>
      <c r="Y351" s="152" t="s">
        <v>637</v>
      </c>
      <c r="Z351" s="152" t="s">
        <v>642</v>
      </c>
      <c r="AA351" s="152" t="s">
        <v>641</v>
      </c>
      <c r="AB351" s="152" t="s">
        <v>640</v>
      </c>
      <c r="AC351" s="152" t="s">
        <v>701</v>
      </c>
      <c r="AD351" s="152" t="s">
        <v>752</v>
      </c>
      <c r="AE351" s="152" t="s">
        <v>637</v>
      </c>
      <c r="AF351" s="152" t="s">
        <v>637</v>
      </c>
      <c r="AG351" s="152" t="s">
        <v>637</v>
      </c>
      <c r="AH351" s="152" t="s">
        <v>664</v>
      </c>
      <c r="AI351" s="152" t="s">
        <v>699</v>
      </c>
      <c r="AJ351" s="152" t="s">
        <v>696</v>
      </c>
      <c r="AL351" s="152" t="s">
        <v>637</v>
      </c>
      <c r="AM351" s="152" t="s">
        <v>953</v>
      </c>
      <c r="AO351" s="152" t="s">
        <v>715</v>
      </c>
      <c r="AP351" s="152" t="s">
        <v>697</v>
      </c>
      <c r="AQ351" s="152" t="s">
        <v>769</v>
      </c>
      <c r="AS351" s="152" t="s">
        <v>696</v>
      </c>
      <c r="AT351" s="152" t="s">
        <v>695</v>
      </c>
      <c r="AU351" s="152">
        <v>2017</v>
      </c>
      <c r="AV351" s="339">
        <v>5620</v>
      </c>
      <c r="AW351" s="339">
        <v>1706685</v>
      </c>
      <c r="AX351" s="152">
        <v>19</v>
      </c>
      <c r="AY351" s="152">
        <v>-1</v>
      </c>
      <c r="AZ351" s="152">
        <v>75</v>
      </c>
      <c r="BA351" s="152">
        <v>1.4111094719999999</v>
      </c>
      <c r="BB351" s="152">
        <v>239</v>
      </c>
      <c r="BC351" s="152">
        <v>90</v>
      </c>
      <c r="BD351" s="152">
        <v>6.0229998</v>
      </c>
    </row>
    <row r="352" spans="1:56" x14ac:dyDescent="0.25">
      <c r="A352" s="152" t="s">
        <v>922</v>
      </c>
      <c r="B352" s="152">
        <v>43.666519000000001</v>
      </c>
      <c r="C352" s="152">
        <v>-97.428560000000004</v>
      </c>
      <c r="D352" s="152">
        <v>28</v>
      </c>
      <c r="E352" s="152" t="s">
        <v>652</v>
      </c>
      <c r="F352" s="152">
        <v>2020</v>
      </c>
      <c r="G352" s="340">
        <v>43842.65902777778</v>
      </c>
      <c r="H352" s="152" t="s">
        <v>637</v>
      </c>
      <c r="I352" s="152" t="s">
        <v>669</v>
      </c>
      <c r="J352" s="152" t="s">
        <v>650</v>
      </c>
      <c r="L352" s="152" t="s">
        <v>649</v>
      </c>
      <c r="M352" s="152" t="s">
        <v>712</v>
      </c>
      <c r="N352" s="152" t="s">
        <v>637</v>
      </c>
      <c r="O352" s="152" t="s">
        <v>647</v>
      </c>
      <c r="P352" s="152" t="s">
        <v>646</v>
      </c>
      <c r="Q352" s="152" t="s">
        <v>637</v>
      </c>
      <c r="R352" s="152" t="s">
        <v>952</v>
      </c>
      <c r="S352" s="152" t="s">
        <v>637</v>
      </c>
      <c r="T352" s="152" t="s">
        <v>639</v>
      </c>
      <c r="U352" s="152" t="s">
        <v>644</v>
      </c>
      <c r="V352" s="152" t="s">
        <v>96</v>
      </c>
      <c r="W352" s="152" t="s">
        <v>643</v>
      </c>
      <c r="Y352" s="152" t="s">
        <v>637</v>
      </c>
      <c r="Z352" s="152" t="s">
        <v>642</v>
      </c>
      <c r="AA352" s="152" t="s">
        <v>641</v>
      </c>
      <c r="AB352" s="152" t="s">
        <v>640</v>
      </c>
      <c r="AC352" s="152" t="s">
        <v>639</v>
      </c>
      <c r="AD352" s="152" t="s">
        <v>638</v>
      </c>
      <c r="AE352" s="152" t="s">
        <v>637</v>
      </c>
      <c r="AF352" s="152" t="s">
        <v>637</v>
      </c>
      <c r="AG352" s="152" t="s">
        <v>637</v>
      </c>
      <c r="AH352" s="152" t="s">
        <v>636</v>
      </c>
      <c r="AI352" s="152" t="s">
        <v>655</v>
      </c>
      <c r="AJ352" s="152" t="s">
        <v>635</v>
      </c>
      <c r="AK352" s="152" t="s">
        <v>634</v>
      </c>
      <c r="AL352" s="152" t="s">
        <v>633</v>
      </c>
      <c r="AM352" s="152" t="s">
        <v>951</v>
      </c>
      <c r="AO352" s="152" t="s">
        <v>715</v>
      </c>
      <c r="AP352" s="152" t="s">
        <v>628</v>
      </c>
      <c r="AQ352" s="152" t="s">
        <v>630</v>
      </c>
      <c r="AR352" s="152" t="s">
        <v>629</v>
      </c>
      <c r="AS352" s="152" t="s">
        <v>628</v>
      </c>
      <c r="AT352" s="152" t="s">
        <v>689</v>
      </c>
      <c r="AU352" s="152">
        <v>2020</v>
      </c>
      <c r="AV352" s="339">
        <v>5620</v>
      </c>
      <c r="AW352" s="339">
        <v>2000553</v>
      </c>
      <c r="AX352" s="152">
        <v>12</v>
      </c>
      <c r="AY352" s="152">
        <v>0</v>
      </c>
      <c r="AZ352" s="152">
        <v>75</v>
      </c>
      <c r="BA352" s="152">
        <v>1.4111094719999999</v>
      </c>
      <c r="BB352" s="152">
        <v>645</v>
      </c>
      <c r="BC352" s="152">
        <v>90</v>
      </c>
      <c r="BD352" s="152">
        <v>6.0229998</v>
      </c>
    </row>
    <row r="353" spans="1:56" x14ac:dyDescent="0.25">
      <c r="A353" s="152" t="s">
        <v>922</v>
      </c>
      <c r="B353" s="152">
        <v>43.666235</v>
      </c>
      <c r="C353" s="152">
        <v>-97.186809999999994</v>
      </c>
      <c r="D353" s="152">
        <v>32</v>
      </c>
      <c r="E353" s="152" t="s">
        <v>697</v>
      </c>
      <c r="F353" s="152">
        <v>2016</v>
      </c>
      <c r="G353" s="340">
        <v>42663.309027777781</v>
      </c>
      <c r="H353" s="152" t="s">
        <v>637</v>
      </c>
      <c r="I353" s="152" t="s">
        <v>696</v>
      </c>
      <c r="J353" s="152" t="s">
        <v>697</v>
      </c>
      <c r="L353" s="152" t="s">
        <v>649</v>
      </c>
      <c r="M353" s="152" t="s">
        <v>668</v>
      </c>
      <c r="N353" s="152" t="s">
        <v>637</v>
      </c>
      <c r="O353" s="152" t="s">
        <v>647</v>
      </c>
      <c r="P353" s="152" t="s">
        <v>696</v>
      </c>
      <c r="Q353" s="152" t="s">
        <v>637</v>
      </c>
      <c r="R353" s="152" t="s">
        <v>701</v>
      </c>
      <c r="S353" s="152" t="s">
        <v>637</v>
      </c>
      <c r="T353" s="152" t="s">
        <v>701</v>
      </c>
      <c r="U353" s="152" t="s">
        <v>644</v>
      </c>
      <c r="V353" s="152" t="s">
        <v>96</v>
      </c>
      <c r="W353" s="152" t="s">
        <v>643</v>
      </c>
      <c r="Y353" s="152" t="s">
        <v>637</v>
      </c>
      <c r="Z353" s="152" t="s">
        <v>642</v>
      </c>
      <c r="AA353" s="152" t="s">
        <v>782</v>
      </c>
      <c r="AB353" s="152" t="s">
        <v>640</v>
      </c>
      <c r="AC353" s="152" t="s">
        <v>701</v>
      </c>
      <c r="AD353" s="152" t="s">
        <v>700</v>
      </c>
      <c r="AE353" s="152" t="s">
        <v>637</v>
      </c>
      <c r="AF353" s="152" t="s">
        <v>637</v>
      </c>
      <c r="AG353" s="152" t="s">
        <v>637</v>
      </c>
      <c r="AH353" s="152" t="s">
        <v>664</v>
      </c>
      <c r="AI353" s="152" t="s">
        <v>699</v>
      </c>
      <c r="AJ353" s="152" t="s">
        <v>696</v>
      </c>
      <c r="AL353" s="152" t="s">
        <v>637</v>
      </c>
      <c r="AM353" s="152" t="s">
        <v>950</v>
      </c>
      <c r="AO353" s="152" t="s">
        <v>715</v>
      </c>
      <c r="AP353" s="152" t="s">
        <v>697</v>
      </c>
      <c r="AQ353" s="152" t="s">
        <v>862</v>
      </c>
      <c r="AS353" s="152" t="s">
        <v>696</v>
      </c>
      <c r="AT353" s="152" t="s">
        <v>695</v>
      </c>
      <c r="AU353" s="152">
        <v>2016</v>
      </c>
      <c r="AV353" s="339">
        <v>5995</v>
      </c>
      <c r="AW353" s="339">
        <v>1613158</v>
      </c>
      <c r="AX353" s="152">
        <v>20</v>
      </c>
      <c r="AY353" s="152">
        <v>-1</v>
      </c>
      <c r="AZ353" s="152">
        <v>75</v>
      </c>
      <c r="BA353" s="152">
        <v>4.6645077700000002</v>
      </c>
      <c r="BB353" s="152">
        <v>116</v>
      </c>
      <c r="BC353" s="152">
        <v>90</v>
      </c>
      <c r="BD353" s="152">
        <v>5.6079998</v>
      </c>
    </row>
    <row r="354" spans="1:56" x14ac:dyDescent="0.25">
      <c r="A354" s="152" t="s">
        <v>922</v>
      </c>
      <c r="B354" s="152">
        <v>43.666266</v>
      </c>
      <c r="C354" s="152">
        <v>-97.182582999999994</v>
      </c>
      <c r="D354" s="152">
        <v>32</v>
      </c>
      <c r="E354" s="152" t="s">
        <v>697</v>
      </c>
      <c r="F354" s="152">
        <v>2016</v>
      </c>
      <c r="G354" s="340">
        <v>42689.923611111109</v>
      </c>
      <c r="H354" s="152" t="s">
        <v>637</v>
      </c>
      <c r="I354" s="152" t="s">
        <v>696</v>
      </c>
      <c r="J354" s="152" t="s">
        <v>697</v>
      </c>
      <c r="L354" s="152" t="s">
        <v>649</v>
      </c>
      <c r="M354" s="152" t="s">
        <v>736</v>
      </c>
      <c r="N354" s="152" t="s">
        <v>637</v>
      </c>
      <c r="O354" s="152" t="s">
        <v>647</v>
      </c>
      <c r="P354" s="152" t="s">
        <v>696</v>
      </c>
      <c r="Q354" s="152" t="s">
        <v>637</v>
      </c>
      <c r="R354" s="152" t="s">
        <v>701</v>
      </c>
      <c r="S354" s="152" t="s">
        <v>637</v>
      </c>
      <c r="T354" s="152" t="s">
        <v>701</v>
      </c>
      <c r="U354" s="152" t="s">
        <v>644</v>
      </c>
      <c r="V354" s="152" t="s">
        <v>96</v>
      </c>
      <c r="W354" s="152" t="s">
        <v>643</v>
      </c>
      <c r="Y354" s="152" t="s">
        <v>637</v>
      </c>
      <c r="Z354" s="152" t="s">
        <v>642</v>
      </c>
      <c r="AA354" s="152" t="s">
        <v>665</v>
      </c>
      <c r="AB354" s="152" t="s">
        <v>640</v>
      </c>
      <c r="AC354" s="152" t="s">
        <v>701</v>
      </c>
      <c r="AD354" s="152" t="s">
        <v>673</v>
      </c>
      <c r="AE354" s="152" t="s">
        <v>637</v>
      </c>
      <c r="AF354" s="152" t="s">
        <v>637</v>
      </c>
      <c r="AG354" s="152" t="s">
        <v>637</v>
      </c>
      <c r="AH354" s="152" t="s">
        <v>664</v>
      </c>
      <c r="AI354" s="152" t="s">
        <v>699</v>
      </c>
      <c r="AJ354" s="152" t="s">
        <v>696</v>
      </c>
      <c r="AL354" s="152" t="s">
        <v>637</v>
      </c>
      <c r="AM354" s="152" t="s">
        <v>949</v>
      </c>
      <c r="AO354" s="152" t="s">
        <v>715</v>
      </c>
      <c r="AP354" s="152" t="s">
        <v>697</v>
      </c>
      <c r="AQ354" s="152" t="s">
        <v>769</v>
      </c>
      <c r="AS354" s="152" t="s">
        <v>696</v>
      </c>
      <c r="AT354" s="152" t="s">
        <v>702</v>
      </c>
      <c r="AU354" s="152">
        <v>2016</v>
      </c>
      <c r="AV354" s="339">
        <v>5995</v>
      </c>
      <c r="AW354" s="339">
        <v>1615510</v>
      </c>
      <c r="AX354" s="152">
        <v>15</v>
      </c>
      <c r="AY354" s="152">
        <v>-1</v>
      </c>
      <c r="AZ354" s="152">
        <v>75</v>
      </c>
      <c r="BA354" s="152">
        <v>4.1366092390000002</v>
      </c>
      <c r="BB354" s="152">
        <v>145</v>
      </c>
      <c r="BC354" s="152">
        <v>90</v>
      </c>
      <c r="BD354" s="152">
        <v>5.6079998</v>
      </c>
    </row>
    <row r="355" spans="1:56" x14ac:dyDescent="0.25">
      <c r="A355" s="152" t="s">
        <v>922</v>
      </c>
      <c r="B355" s="152">
        <v>43.666279000000003</v>
      </c>
      <c r="C355" s="152">
        <v>-97.180740999999998</v>
      </c>
      <c r="D355" s="152">
        <v>32</v>
      </c>
      <c r="E355" s="152" t="s">
        <v>652</v>
      </c>
      <c r="F355" s="152">
        <v>2020</v>
      </c>
      <c r="G355" s="340">
        <v>43845.333333333336</v>
      </c>
      <c r="H355" s="152" t="s">
        <v>637</v>
      </c>
      <c r="I355" s="152" t="s">
        <v>745</v>
      </c>
      <c r="J355" s="152" t="s">
        <v>650</v>
      </c>
      <c r="L355" s="152" t="s">
        <v>649</v>
      </c>
      <c r="M355" s="152" t="s">
        <v>676</v>
      </c>
      <c r="N355" s="152" t="s">
        <v>637</v>
      </c>
      <c r="O355" s="152" t="s">
        <v>647</v>
      </c>
      <c r="P355" s="152" t="s">
        <v>628</v>
      </c>
      <c r="Q355" s="152" t="s">
        <v>637</v>
      </c>
      <c r="R355" s="152" t="s">
        <v>948</v>
      </c>
      <c r="S355" s="152" t="s">
        <v>637</v>
      </c>
      <c r="T355" s="152" t="s">
        <v>708</v>
      </c>
      <c r="U355" s="152" t="s">
        <v>644</v>
      </c>
      <c r="V355" s="152" t="s">
        <v>96</v>
      </c>
      <c r="W355" s="152" t="s">
        <v>643</v>
      </c>
      <c r="Y355" s="152" t="s">
        <v>637</v>
      </c>
      <c r="Z355" s="152" t="s">
        <v>642</v>
      </c>
      <c r="AA355" s="152" t="s">
        <v>641</v>
      </c>
      <c r="AB355" s="152" t="s">
        <v>640</v>
      </c>
      <c r="AC355" s="152" t="s">
        <v>708</v>
      </c>
      <c r="AD355" s="152" t="s">
        <v>638</v>
      </c>
      <c r="AE355" s="152" t="s">
        <v>637</v>
      </c>
      <c r="AF355" s="152" t="s">
        <v>637</v>
      </c>
      <c r="AG355" s="152" t="s">
        <v>637</v>
      </c>
      <c r="AH355" s="152" t="s">
        <v>636</v>
      </c>
      <c r="AI355" s="152" t="s">
        <v>655</v>
      </c>
      <c r="AJ355" s="152" t="s">
        <v>635</v>
      </c>
      <c r="AK355" s="152" t="s">
        <v>634</v>
      </c>
      <c r="AL355" s="152" t="s">
        <v>637</v>
      </c>
      <c r="AM355" s="152" t="s">
        <v>732</v>
      </c>
      <c r="AO355" s="152" t="s">
        <v>715</v>
      </c>
      <c r="AP355" s="152" t="s">
        <v>628</v>
      </c>
      <c r="AQ355" s="152" t="s">
        <v>671</v>
      </c>
      <c r="AR355" s="152" t="s">
        <v>629</v>
      </c>
      <c r="AS355" s="152" t="s">
        <v>678</v>
      </c>
      <c r="AT355" s="152" t="s">
        <v>900</v>
      </c>
      <c r="AU355" s="152">
        <v>2020</v>
      </c>
      <c r="AV355" s="339">
        <v>5995</v>
      </c>
      <c r="AW355" s="339">
        <v>2001031</v>
      </c>
      <c r="AX355" s="152">
        <v>15</v>
      </c>
      <c r="AY355" s="152">
        <v>0</v>
      </c>
      <c r="AZ355" s="152">
        <v>75</v>
      </c>
      <c r="BA355" s="152">
        <v>4.8061383659999999</v>
      </c>
      <c r="BB355" s="152">
        <v>654</v>
      </c>
      <c r="BC355" s="152">
        <v>90</v>
      </c>
      <c r="BD355" s="152">
        <v>5.6079998</v>
      </c>
    </row>
    <row r="356" spans="1:56" x14ac:dyDescent="0.25">
      <c r="A356" s="152" t="s">
        <v>922</v>
      </c>
      <c r="B356" s="152">
        <v>43.666279000000003</v>
      </c>
      <c r="C356" s="152">
        <v>-97.180728999999999</v>
      </c>
      <c r="D356" s="152">
        <v>32</v>
      </c>
      <c r="E356" s="152" t="s">
        <v>947</v>
      </c>
      <c r="F356" s="152">
        <v>2018</v>
      </c>
      <c r="G356" s="340">
        <v>43161.967361111114</v>
      </c>
      <c r="H356" s="152" t="s">
        <v>637</v>
      </c>
      <c r="I356" s="152" t="s">
        <v>669</v>
      </c>
      <c r="J356" s="152" t="s">
        <v>694</v>
      </c>
      <c r="L356" s="152" t="s">
        <v>649</v>
      </c>
      <c r="M356" s="152" t="s">
        <v>648</v>
      </c>
      <c r="N356" s="152" t="s">
        <v>637</v>
      </c>
      <c r="O356" s="152" t="s">
        <v>647</v>
      </c>
      <c r="P356" s="152" t="s">
        <v>721</v>
      </c>
      <c r="Q356" s="152" t="s">
        <v>637</v>
      </c>
      <c r="R356" s="152" t="s">
        <v>946</v>
      </c>
      <c r="S356" s="152" t="s">
        <v>637</v>
      </c>
      <c r="T356" s="152" t="s">
        <v>777</v>
      </c>
      <c r="U356" s="152" t="s">
        <v>644</v>
      </c>
      <c r="V356" s="152" t="s">
        <v>96</v>
      </c>
      <c r="W356" s="152" t="s">
        <v>643</v>
      </c>
      <c r="Y356" s="152" t="s">
        <v>637</v>
      </c>
      <c r="Z356" s="152" t="s">
        <v>642</v>
      </c>
      <c r="AA356" s="152" t="s">
        <v>665</v>
      </c>
      <c r="AB356" s="152" t="s">
        <v>640</v>
      </c>
      <c r="AC356" s="152" t="s">
        <v>708</v>
      </c>
      <c r="AD356" s="152" t="s">
        <v>691</v>
      </c>
      <c r="AE356" s="152" t="s">
        <v>637</v>
      </c>
      <c r="AF356" s="152" t="s">
        <v>637</v>
      </c>
      <c r="AG356" s="152" t="s">
        <v>637</v>
      </c>
      <c r="AH356" s="152" t="s">
        <v>664</v>
      </c>
      <c r="AI356" s="152" t="s">
        <v>628</v>
      </c>
      <c r="AJ356" s="152" t="s">
        <v>635</v>
      </c>
      <c r="AK356" s="152" t="s">
        <v>634</v>
      </c>
      <c r="AL356" s="152" t="s">
        <v>637</v>
      </c>
      <c r="AM356" s="152" t="s">
        <v>945</v>
      </c>
      <c r="AO356" s="152" t="s">
        <v>715</v>
      </c>
      <c r="AP356" s="152" t="s">
        <v>628</v>
      </c>
      <c r="AQ356" s="152" t="s">
        <v>769</v>
      </c>
      <c r="AR356" s="152" t="s">
        <v>629</v>
      </c>
      <c r="AS356" s="152" t="s">
        <v>628</v>
      </c>
      <c r="AT356" s="152" t="s">
        <v>702</v>
      </c>
      <c r="AU356" s="152">
        <v>2018</v>
      </c>
      <c r="AV356" s="339">
        <v>5995</v>
      </c>
      <c r="AW356" s="339">
        <v>1803133</v>
      </c>
      <c r="AX356" s="152">
        <v>2</v>
      </c>
      <c r="AY356" s="152">
        <v>0</v>
      </c>
      <c r="AZ356" s="152">
        <v>75</v>
      </c>
      <c r="BA356" s="152">
        <v>4.8423614300000004</v>
      </c>
      <c r="BB356" s="152">
        <v>342</v>
      </c>
      <c r="BC356" s="152">
        <v>90</v>
      </c>
      <c r="BD356" s="152">
        <v>5.6079998</v>
      </c>
    </row>
    <row r="357" spans="1:56" x14ac:dyDescent="0.25">
      <c r="A357" s="152" t="s">
        <v>922</v>
      </c>
      <c r="B357" s="152">
        <v>43.666367000000001</v>
      </c>
      <c r="C357" s="152">
        <v>-97.169398000000001</v>
      </c>
      <c r="D357" s="152">
        <v>32</v>
      </c>
      <c r="E357" s="152" t="s">
        <v>652</v>
      </c>
      <c r="F357" s="152">
        <v>2017</v>
      </c>
      <c r="G357" s="340">
        <v>43090.914583333331</v>
      </c>
      <c r="H357" s="152" t="s">
        <v>637</v>
      </c>
      <c r="I357" s="152" t="s">
        <v>669</v>
      </c>
      <c r="J357" s="152" t="s">
        <v>650</v>
      </c>
      <c r="L357" s="152" t="s">
        <v>649</v>
      </c>
      <c r="M357" s="152" t="s">
        <v>668</v>
      </c>
      <c r="N357" s="152" t="s">
        <v>637</v>
      </c>
      <c r="O357" s="152" t="s">
        <v>647</v>
      </c>
      <c r="P357" s="152" t="s">
        <v>646</v>
      </c>
      <c r="Q357" s="152" t="s">
        <v>637</v>
      </c>
      <c r="R357" s="152" t="s">
        <v>944</v>
      </c>
      <c r="S357" s="152" t="s">
        <v>637</v>
      </c>
      <c r="T357" s="152" t="s">
        <v>723</v>
      </c>
      <c r="U357" s="152" t="s">
        <v>644</v>
      </c>
      <c r="V357" s="152" t="s">
        <v>96</v>
      </c>
      <c r="W357" s="152" t="s">
        <v>643</v>
      </c>
      <c r="Y357" s="152" t="s">
        <v>637</v>
      </c>
      <c r="Z357" s="152" t="s">
        <v>642</v>
      </c>
      <c r="AA357" s="152" t="s">
        <v>665</v>
      </c>
      <c r="AB357" s="152" t="s">
        <v>640</v>
      </c>
      <c r="AC357" s="152" t="s">
        <v>708</v>
      </c>
      <c r="AD357" s="152" t="s">
        <v>681</v>
      </c>
      <c r="AE357" s="152" t="s">
        <v>637</v>
      </c>
      <c r="AF357" s="152" t="s">
        <v>637</v>
      </c>
      <c r="AG357" s="152" t="s">
        <v>637</v>
      </c>
      <c r="AH357" s="152" t="s">
        <v>677</v>
      </c>
      <c r="AI357" s="152" t="s">
        <v>655</v>
      </c>
      <c r="AJ357" s="152" t="s">
        <v>635</v>
      </c>
      <c r="AK357" s="152" t="s">
        <v>634</v>
      </c>
      <c r="AL357" s="152" t="s">
        <v>633</v>
      </c>
      <c r="AM357" s="152" t="s">
        <v>943</v>
      </c>
      <c r="AO357" s="152" t="s">
        <v>715</v>
      </c>
      <c r="AP357" s="152" t="s">
        <v>628</v>
      </c>
      <c r="AQ357" s="152" t="s">
        <v>671</v>
      </c>
      <c r="AR357" s="152" t="s">
        <v>629</v>
      </c>
      <c r="AS357" s="152" t="s">
        <v>628</v>
      </c>
      <c r="AT357" s="152" t="s">
        <v>677</v>
      </c>
      <c r="AU357" s="152">
        <v>2017</v>
      </c>
      <c r="AV357" s="339">
        <v>5995</v>
      </c>
      <c r="AW357" s="339">
        <v>1718050</v>
      </c>
      <c r="AX357" s="152">
        <v>21</v>
      </c>
      <c r="AY357" s="152">
        <v>0</v>
      </c>
      <c r="AZ357" s="152">
        <v>75</v>
      </c>
      <c r="BA357" s="152">
        <v>5.9973049820000002</v>
      </c>
      <c r="BB357" s="152">
        <v>319</v>
      </c>
      <c r="BC357" s="152">
        <v>90</v>
      </c>
      <c r="BD357" s="152">
        <v>5.6079998</v>
      </c>
    </row>
    <row r="358" spans="1:56" x14ac:dyDescent="0.25">
      <c r="A358" s="152" t="s">
        <v>922</v>
      </c>
      <c r="B358" s="152">
        <v>43.666367999999999</v>
      </c>
      <c r="C358" s="152">
        <v>-97.169483</v>
      </c>
      <c r="D358" s="152">
        <v>32</v>
      </c>
      <c r="E358" s="152" t="s">
        <v>652</v>
      </c>
      <c r="F358" s="152">
        <v>2020</v>
      </c>
      <c r="G358" s="340">
        <v>44165.128472222219</v>
      </c>
      <c r="H358" s="152" t="s">
        <v>637</v>
      </c>
      <c r="I358" s="152" t="s">
        <v>669</v>
      </c>
      <c r="J358" s="152" t="s">
        <v>650</v>
      </c>
      <c r="L358" s="152" t="s">
        <v>649</v>
      </c>
      <c r="M358" s="152" t="s">
        <v>685</v>
      </c>
      <c r="N358" s="152" t="s">
        <v>637</v>
      </c>
      <c r="O358" s="152" t="s">
        <v>647</v>
      </c>
      <c r="P358" s="152" t="s">
        <v>628</v>
      </c>
      <c r="Q358" s="152" t="s">
        <v>637</v>
      </c>
      <c r="R358" s="152" t="s">
        <v>942</v>
      </c>
      <c r="S358" s="152" t="s">
        <v>637</v>
      </c>
      <c r="T358" s="152" t="s">
        <v>701</v>
      </c>
      <c r="U358" s="152" t="s">
        <v>644</v>
      </c>
      <c r="V358" s="152" t="s">
        <v>96</v>
      </c>
      <c r="W358" s="152" t="s">
        <v>643</v>
      </c>
      <c r="Y358" s="152" t="s">
        <v>637</v>
      </c>
      <c r="Z358" s="152" t="s">
        <v>642</v>
      </c>
      <c r="AA358" s="152" t="s">
        <v>665</v>
      </c>
      <c r="AB358" s="152" t="s">
        <v>640</v>
      </c>
      <c r="AC358" s="152" t="s">
        <v>723</v>
      </c>
      <c r="AD358" s="152" t="s">
        <v>673</v>
      </c>
      <c r="AE358" s="152" t="s">
        <v>637</v>
      </c>
      <c r="AF358" s="152" t="s">
        <v>637</v>
      </c>
      <c r="AG358" s="152" t="s">
        <v>637</v>
      </c>
      <c r="AH358" s="152" t="s">
        <v>664</v>
      </c>
      <c r="AI358" s="152" t="s">
        <v>699</v>
      </c>
      <c r="AJ358" s="152" t="s">
        <v>635</v>
      </c>
      <c r="AK358" s="152" t="s">
        <v>634</v>
      </c>
      <c r="AL358" s="152" t="s">
        <v>637</v>
      </c>
      <c r="AM358" s="152" t="s">
        <v>941</v>
      </c>
      <c r="AO358" s="152" t="s">
        <v>715</v>
      </c>
      <c r="AP358" s="152" t="s">
        <v>628</v>
      </c>
      <c r="AQ358" s="152" t="s">
        <v>630</v>
      </c>
      <c r="AR358" s="152" t="s">
        <v>629</v>
      </c>
      <c r="AS358" s="152" t="s">
        <v>628</v>
      </c>
      <c r="AT358" s="152" t="s">
        <v>702</v>
      </c>
      <c r="AU358" s="152">
        <v>2020</v>
      </c>
      <c r="AV358" s="339">
        <v>5995</v>
      </c>
      <c r="AW358" s="339">
        <v>2015960</v>
      </c>
      <c r="AX358" s="152">
        <v>30</v>
      </c>
      <c r="AY358" s="152">
        <v>0</v>
      </c>
      <c r="AZ358" s="152">
        <v>75</v>
      </c>
      <c r="BA358" s="152">
        <v>5.4063021979999997</v>
      </c>
      <c r="BB358" s="152">
        <v>773</v>
      </c>
      <c r="BC358" s="152">
        <v>90</v>
      </c>
      <c r="BD358" s="152">
        <v>5.6079998</v>
      </c>
    </row>
    <row r="359" spans="1:56" x14ac:dyDescent="0.25">
      <c r="A359" s="152" t="s">
        <v>922</v>
      </c>
      <c r="B359" s="152">
        <v>43.666369000000003</v>
      </c>
      <c r="C359" s="152">
        <v>-97.169453000000004</v>
      </c>
      <c r="D359" s="152">
        <v>32</v>
      </c>
      <c r="E359" s="152" t="s">
        <v>697</v>
      </c>
      <c r="F359" s="152">
        <v>2017</v>
      </c>
      <c r="G359" s="340">
        <v>43058.736111111109</v>
      </c>
      <c r="H359" s="152" t="s">
        <v>637</v>
      </c>
      <c r="I359" s="152" t="s">
        <v>696</v>
      </c>
      <c r="J359" s="152" t="s">
        <v>697</v>
      </c>
      <c r="L359" s="152" t="s">
        <v>649</v>
      </c>
      <c r="M359" s="152" t="s">
        <v>712</v>
      </c>
      <c r="N359" s="152" t="s">
        <v>637</v>
      </c>
      <c r="O359" s="152" t="s">
        <v>647</v>
      </c>
      <c r="P359" s="152" t="s">
        <v>696</v>
      </c>
      <c r="Q359" s="152" t="s">
        <v>637</v>
      </c>
      <c r="R359" s="152" t="s">
        <v>701</v>
      </c>
      <c r="S359" s="152" t="s">
        <v>637</v>
      </c>
      <c r="T359" s="152" t="s">
        <v>701</v>
      </c>
      <c r="U359" s="152" t="s">
        <v>644</v>
      </c>
      <c r="V359" s="152" t="s">
        <v>96</v>
      </c>
      <c r="W359" s="152" t="s">
        <v>643</v>
      </c>
      <c r="Y359" s="152" t="s">
        <v>637</v>
      </c>
      <c r="Z359" s="152" t="s">
        <v>642</v>
      </c>
      <c r="AA359" s="152" t="s">
        <v>641</v>
      </c>
      <c r="AB359" s="152" t="s">
        <v>640</v>
      </c>
      <c r="AC359" s="152" t="s">
        <v>701</v>
      </c>
      <c r="AD359" s="152" t="s">
        <v>673</v>
      </c>
      <c r="AE359" s="152" t="s">
        <v>637</v>
      </c>
      <c r="AF359" s="152" t="s">
        <v>637</v>
      </c>
      <c r="AG359" s="152" t="s">
        <v>637</v>
      </c>
      <c r="AH359" s="152" t="s">
        <v>664</v>
      </c>
      <c r="AI359" s="152" t="s">
        <v>699</v>
      </c>
      <c r="AJ359" s="152" t="s">
        <v>696</v>
      </c>
      <c r="AL359" s="152" t="s">
        <v>637</v>
      </c>
      <c r="AM359" s="152" t="s">
        <v>940</v>
      </c>
      <c r="AO359" s="152" t="s">
        <v>715</v>
      </c>
      <c r="AP359" s="152" t="s">
        <v>697</v>
      </c>
      <c r="AQ359" s="152" t="s">
        <v>630</v>
      </c>
      <c r="AS359" s="152" t="s">
        <v>696</v>
      </c>
      <c r="AT359" s="152" t="s">
        <v>702</v>
      </c>
      <c r="AU359" s="152">
        <v>2017</v>
      </c>
      <c r="AV359" s="339">
        <v>5995</v>
      </c>
      <c r="AW359" s="339">
        <v>1715981</v>
      </c>
      <c r="AX359" s="152">
        <v>19</v>
      </c>
      <c r="AY359" s="152">
        <v>-1</v>
      </c>
      <c r="AZ359" s="152">
        <v>75</v>
      </c>
      <c r="BA359" s="152">
        <v>5.1216996520000002</v>
      </c>
      <c r="BB359" s="152">
        <v>306</v>
      </c>
      <c r="BC359" s="152">
        <v>90</v>
      </c>
      <c r="BD359" s="152">
        <v>5.6079998</v>
      </c>
    </row>
    <row r="360" spans="1:56" x14ac:dyDescent="0.25">
      <c r="A360" s="152" t="s">
        <v>922</v>
      </c>
      <c r="B360" s="152">
        <v>43.666373999999998</v>
      </c>
      <c r="C360" s="152">
        <v>-97.171981000000002</v>
      </c>
      <c r="D360" s="152">
        <v>32</v>
      </c>
      <c r="E360" s="152" t="s">
        <v>697</v>
      </c>
      <c r="F360" s="152">
        <v>2016</v>
      </c>
      <c r="G360" s="340">
        <v>42700.875</v>
      </c>
      <c r="H360" s="152" t="s">
        <v>637</v>
      </c>
      <c r="I360" s="152" t="s">
        <v>696</v>
      </c>
      <c r="J360" s="152" t="s">
        <v>697</v>
      </c>
      <c r="L360" s="152" t="s">
        <v>649</v>
      </c>
      <c r="M360" s="152" t="s">
        <v>693</v>
      </c>
      <c r="N360" s="152" t="s">
        <v>637</v>
      </c>
      <c r="O360" s="152" t="s">
        <v>647</v>
      </c>
      <c r="P360" s="152" t="s">
        <v>696</v>
      </c>
      <c r="Q360" s="152" t="s">
        <v>637</v>
      </c>
      <c r="R360" s="152" t="s">
        <v>701</v>
      </c>
      <c r="S360" s="152" t="s">
        <v>637</v>
      </c>
      <c r="T360" s="152" t="s">
        <v>701</v>
      </c>
      <c r="U360" s="152" t="s">
        <v>644</v>
      </c>
      <c r="V360" s="152" t="s">
        <v>96</v>
      </c>
      <c r="W360" s="152" t="s">
        <v>643</v>
      </c>
      <c r="Y360" s="152" t="s">
        <v>637</v>
      </c>
      <c r="Z360" s="152" t="s">
        <v>642</v>
      </c>
      <c r="AA360" s="152" t="s">
        <v>665</v>
      </c>
      <c r="AB360" s="152" t="s">
        <v>640</v>
      </c>
      <c r="AC360" s="152" t="s">
        <v>701</v>
      </c>
      <c r="AD360" s="152" t="s">
        <v>673</v>
      </c>
      <c r="AE360" s="152" t="s">
        <v>637</v>
      </c>
      <c r="AF360" s="152" t="s">
        <v>637</v>
      </c>
      <c r="AG360" s="152" t="s">
        <v>637</v>
      </c>
      <c r="AH360" s="152" t="s">
        <v>664</v>
      </c>
      <c r="AI360" s="152" t="s">
        <v>699</v>
      </c>
      <c r="AJ360" s="152" t="s">
        <v>696</v>
      </c>
      <c r="AL360" s="152" t="s">
        <v>637</v>
      </c>
      <c r="AM360" s="152" t="s">
        <v>939</v>
      </c>
      <c r="AO360" s="152" t="s">
        <v>715</v>
      </c>
      <c r="AP360" s="152" t="s">
        <v>697</v>
      </c>
      <c r="AQ360" s="152" t="s">
        <v>769</v>
      </c>
      <c r="AS360" s="152" t="s">
        <v>696</v>
      </c>
      <c r="AT360" s="152" t="s">
        <v>702</v>
      </c>
      <c r="AU360" s="152">
        <v>2016</v>
      </c>
      <c r="AV360" s="339">
        <v>5995</v>
      </c>
      <c r="AW360" s="339">
        <v>1615514</v>
      </c>
      <c r="AX360" s="152">
        <v>26</v>
      </c>
      <c r="AY360" s="152">
        <v>-1</v>
      </c>
      <c r="AZ360" s="152">
        <v>75</v>
      </c>
      <c r="BA360" s="152">
        <v>1.31593195</v>
      </c>
      <c r="BB360" s="152">
        <v>148</v>
      </c>
      <c r="BC360" s="152">
        <v>90</v>
      </c>
      <c r="BD360" s="152">
        <v>5.6079998</v>
      </c>
    </row>
    <row r="361" spans="1:56" x14ac:dyDescent="0.25">
      <c r="A361" s="152" t="s">
        <v>922</v>
      </c>
      <c r="B361" s="152">
        <v>43.666400000000003</v>
      </c>
      <c r="C361" s="152">
        <v>-97.164328999999995</v>
      </c>
      <c r="D361" s="152">
        <v>32</v>
      </c>
      <c r="E361" s="152" t="s">
        <v>652</v>
      </c>
      <c r="F361" s="152">
        <v>2016</v>
      </c>
      <c r="G361" s="340">
        <v>42394.625</v>
      </c>
      <c r="H361" s="152" t="s">
        <v>637</v>
      </c>
      <c r="I361" s="152" t="s">
        <v>713</v>
      </c>
      <c r="J361" s="152" t="s">
        <v>650</v>
      </c>
      <c r="L361" s="152" t="s">
        <v>649</v>
      </c>
      <c r="M361" s="152" t="s">
        <v>685</v>
      </c>
      <c r="N361" s="152" t="s">
        <v>637</v>
      </c>
      <c r="O361" s="152" t="s">
        <v>647</v>
      </c>
      <c r="P361" s="152" t="s">
        <v>628</v>
      </c>
      <c r="Q361" s="152" t="s">
        <v>637</v>
      </c>
      <c r="R361" s="152" t="s">
        <v>825</v>
      </c>
      <c r="S361" s="152" t="s">
        <v>637</v>
      </c>
      <c r="T361" s="152" t="s">
        <v>708</v>
      </c>
      <c r="U361" s="152" t="s">
        <v>644</v>
      </c>
      <c r="V361" s="152" t="s">
        <v>96</v>
      </c>
      <c r="W361" s="152" t="s">
        <v>643</v>
      </c>
      <c r="Y361" s="152" t="s">
        <v>637</v>
      </c>
      <c r="Z361" s="152" t="s">
        <v>642</v>
      </c>
      <c r="AA361" s="152" t="s">
        <v>641</v>
      </c>
      <c r="AB361" s="152" t="s">
        <v>640</v>
      </c>
      <c r="AC361" s="152" t="s">
        <v>708</v>
      </c>
      <c r="AD361" s="152" t="s">
        <v>638</v>
      </c>
      <c r="AE361" s="152" t="s">
        <v>637</v>
      </c>
      <c r="AF361" s="152" t="s">
        <v>637</v>
      </c>
      <c r="AG361" s="152" t="s">
        <v>637</v>
      </c>
      <c r="AH361" s="152" t="s">
        <v>636</v>
      </c>
      <c r="AI361" s="152" t="s">
        <v>655</v>
      </c>
      <c r="AJ361" s="152" t="s">
        <v>635</v>
      </c>
      <c r="AK361" s="152" t="s">
        <v>634</v>
      </c>
      <c r="AL361" s="152" t="s">
        <v>637</v>
      </c>
      <c r="AM361" s="152" t="s">
        <v>938</v>
      </c>
      <c r="AO361" s="152" t="s">
        <v>715</v>
      </c>
      <c r="AP361" s="152" t="s">
        <v>937</v>
      </c>
      <c r="AQ361" s="152" t="s">
        <v>703</v>
      </c>
      <c r="AR361" s="152" t="s">
        <v>629</v>
      </c>
      <c r="AS361" s="152" t="s">
        <v>678</v>
      </c>
      <c r="AT361" s="152" t="s">
        <v>670</v>
      </c>
      <c r="AU361" s="152">
        <v>2016</v>
      </c>
      <c r="AV361" s="339">
        <v>5995</v>
      </c>
      <c r="AW361" s="339">
        <v>1603547</v>
      </c>
      <c r="AX361" s="152">
        <v>25</v>
      </c>
      <c r="AY361" s="152">
        <v>0</v>
      </c>
      <c r="AZ361" s="152">
        <v>75</v>
      </c>
      <c r="BA361" s="152">
        <v>8.3695094310000009</v>
      </c>
      <c r="BB361" s="152">
        <v>45</v>
      </c>
      <c r="BC361" s="152">
        <v>90</v>
      </c>
      <c r="BD361" s="152">
        <v>5.6079998</v>
      </c>
    </row>
    <row r="362" spans="1:56" x14ac:dyDescent="0.25">
      <c r="A362" s="152" t="s">
        <v>922</v>
      </c>
      <c r="B362" s="152">
        <v>43.666452999999997</v>
      </c>
      <c r="C362" s="152">
        <v>-97.159378000000004</v>
      </c>
      <c r="D362" s="152">
        <v>32</v>
      </c>
      <c r="E362" s="152" t="s">
        <v>697</v>
      </c>
      <c r="F362" s="152">
        <v>2018</v>
      </c>
      <c r="G362" s="340">
        <v>43260.822916666664</v>
      </c>
      <c r="H362" s="152" t="s">
        <v>637</v>
      </c>
      <c r="I362" s="152" t="s">
        <v>696</v>
      </c>
      <c r="J362" s="152" t="s">
        <v>697</v>
      </c>
      <c r="L362" s="152" t="s">
        <v>649</v>
      </c>
      <c r="M362" s="152" t="s">
        <v>693</v>
      </c>
      <c r="N362" s="152" t="s">
        <v>637</v>
      </c>
      <c r="O362" s="152" t="s">
        <v>647</v>
      </c>
      <c r="P362" s="152" t="s">
        <v>696</v>
      </c>
      <c r="Q362" s="152" t="s">
        <v>637</v>
      </c>
      <c r="R362" s="152" t="s">
        <v>701</v>
      </c>
      <c r="S362" s="152" t="s">
        <v>637</v>
      </c>
      <c r="T362" s="152" t="s">
        <v>701</v>
      </c>
      <c r="U362" s="152" t="s">
        <v>644</v>
      </c>
      <c r="V362" s="152" t="s">
        <v>96</v>
      </c>
      <c r="W362" s="152" t="s">
        <v>643</v>
      </c>
      <c r="Y362" s="152" t="s">
        <v>637</v>
      </c>
      <c r="Z362" s="152" t="s">
        <v>642</v>
      </c>
      <c r="AA362" s="152" t="s">
        <v>641</v>
      </c>
      <c r="AB362" s="152" t="s">
        <v>640</v>
      </c>
      <c r="AC362" s="152" t="s">
        <v>701</v>
      </c>
      <c r="AD362" s="152" t="s">
        <v>771</v>
      </c>
      <c r="AE362" s="152" t="s">
        <v>637</v>
      </c>
      <c r="AF362" s="152" t="s">
        <v>637</v>
      </c>
      <c r="AG362" s="152" t="s">
        <v>637</v>
      </c>
      <c r="AH362" s="152" t="s">
        <v>664</v>
      </c>
      <c r="AI362" s="152" t="s">
        <v>699</v>
      </c>
      <c r="AJ362" s="152" t="s">
        <v>696</v>
      </c>
      <c r="AL362" s="152" t="s">
        <v>637</v>
      </c>
      <c r="AM362" s="152" t="s">
        <v>936</v>
      </c>
      <c r="AO362" s="152" t="s">
        <v>715</v>
      </c>
      <c r="AP362" s="152" t="s">
        <v>697</v>
      </c>
      <c r="AQ362" s="152" t="s">
        <v>671</v>
      </c>
      <c r="AS362" s="152" t="s">
        <v>696</v>
      </c>
      <c r="AT362" s="152" t="s">
        <v>702</v>
      </c>
      <c r="AU362" s="152">
        <v>2018</v>
      </c>
      <c r="AV362" s="339">
        <v>5995</v>
      </c>
      <c r="AW362" s="339">
        <v>1806467</v>
      </c>
      <c r="AX362" s="152">
        <v>9</v>
      </c>
      <c r="AY362" s="152">
        <v>-1</v>
      </c>
      <c r="AZ362" s="152">
        <v>75</v>
      </c>
      <c r="BA362" s="152">
        <v>3.6752694000000002E-2</v>
      </c>
      <c r="BB362" s="152">
        <v>403</v>
      </c>
      <c r="BC362" s="152">
        <v>90</v>
      </c>
      <c r="BD362" s="152">
        <v>5.6079998</v>
      </c>
    </row>
    <row r="363" spans="1:56" x14ac:dyDescent="0.25">
      <c r="A363" s="152" t="s">
        <v>922</v>
      </c>
      <c r="B363" s="152">
        <v>43.666452999999997</v>
      </c>
      <c r="C363" s="152">
        <v>-97.159356000000002</v>
      </c>
      <c r="D363" s="152">
        <v>32</v>
      </c>
      <c r="E363" s="152" t="s">
        <v>652</v>
      </c>
      <c r="F363" s="152">
        <v>2016</v>
      </c>
      <c r="G363" s="340">
        <v>42514.020833333336</v>
      </c>
      <c r="H363" s="152" t="s">
        <v>637</v>
      </c>
      <c r="I363" s="152" t="s">
        <v>669</v>
      </c>
      <c r="J363" s="152" t="s">
        <v>935</v>
      </c>
      <c r="L363" s="152" t="s">
        <v>649</v>
      </c>
      <c r="M363" s="152" t="s">
        <v>736</v>
      </c>
      <c r="N363" s="152" t="s">
        <v>633</v>
      </c>
      <c r="O363" s="152" t="s">
        <v>647</v>
      </c>
      <c r="P363" s="152" t="s">
        <v>866</v>
      </c>
      <c r="Q363" s="152" t="s">
        <v>637</v>
      </c>
      <c r="R363" s="152" t="s">
        <v>656</v>
      </c>
      <c r="S363" s="152" t="s">
        <v>637</v>
      </c>
      <c r="T363" s="152" t="s">
        <v>656</v>
      </c>
      <c r="U363" s="152" t="s">
        <v>644</v>
      </c>
      <c r="V363" s="152" t="s">
        <v>96</v>
      </c>
      <c r="W363" s="152" t="s">
        <v>643</v>
      </c>
      <c r="Y363" s="152" t="s">
        <v>637</v>
      </c>
      <c r="Z363" s="152" t="s">
        <v>642</v>
      </c>
      <c r="AA363" s="152" t="s">
        <v>665</v>
      </c>
      <c r="AB363" s="152" t="s">
        <v>728</v>
      </c>
      <c r="AC363" s="152" t="s">
        <v>656</v>
      </c>
      <c r="AD363" s="152" t="s">
        <v>752</v>
      </c>
      <c r="AE363" s="152" t="s">
        <v>637</v>
      </c>
      <c r="AF363" s="152" t="s">
        <v>637</v>
      </c>
      <c r="AG363" s="152" t="s">
        <v>637</v>
      </c>
      <c r="AH363" s="152" t="s">
        <v>762</v>
      </c>
      <c r="AI363" s="152" t="s">
        <v>628</v>
      </c>
      <c r="AJ363" s="152" t="s">
        <v>635</v>
      </c>
      <c r="AK363" s="152" t="s">
        <v>634</v>
      </c>
      <c r="AL363" s="152" t="s">
        <v>637</v>
      </c>
      <c r="AM363" s="152" t="s">
        <v>934</v>
      </c>
      <c r="AO363" s="152" t="s">
        <v>715</v>
      </c>
      <c r="AP363" s="152" t="s">
        <v>628</v>
      </c>
      <c r="AQ363" s="152" t="s">
        <v>933</v>
      </c>
      <c r="AR363" s="152" t="s">
        <v>932</v>
      </c>
      <c r="AS363" s="152" t="s">
        <v>678</v>
      </c>
      <c r="AT363" s="152" t="s">
        <v>661</v>
      </c>
      <c r="AU363" s="152">
        <v>2016</v>
      </c>
      <c r="AV363" s="339">
        <v>5995</v>
      </c>
      <c r="AW363" s="339">
        <v>1606186</v>
      </c>
      <c r="AX363" s="152">
        <v>24</v>
      </c>
      <c r="AY363" s="152">
        <v>0</v>
      </c>
      <c r="AZ363" s="152">
        <v>75</v>
      </c>
      <c r="BA363" s="152">
        <v>3.650698E-3</v>
      </c>
      <c r="BB363" s="152">
        <v>67</v>
      </c>
      <c r="BC363" s="152">
        <v>90</v>
      </c>
      <c r="BD363" s="152">
        <v>5.6079998</v>
      </c>
    </row>
    <row r="364" spans="1:56" x14ac:dyDescent="0.25">
      <c r="A364" s="152" t="s">
        <v>922</v>
      </c>
      <c r="B364" s="152">
        <v>43.666452999999997</v>
      </c>
      <c r="C364" s="152">
        <v>-97.159356000000002</v>
      </c>
      <c r="D364" s="152">
        <v>32</v>
      </c>
      <c r="E364" s="152" t="s">
        <v>697</v>
      </c>
      <c r="F364" s="152">
        <v>2018</v>
      </c>
      <c r="G364" s="340">
        <v>43392.849305555559</v>
      </c>
      <c r="H364" s="152" t="s">
        <v>637</v>
      </c>
      <c r="I364" s="152" t="s">
        <v>696</v>
      </c>
      <c r="J364" s="152" t="s">
        <v>697</v>
      </c>
      <c r="L364" s="152" t="s">
        <v>649</v>
      </c>
      <c r="M364" s="152" t="s">
        <v>648</v>
      </c>
      <c r="N364" s="152" t="s">
        <v>637</v>
      </c>
      <c r="O364" s="152" t="s">
        <v>647</v>
      </c>
      <c r="P364" s="152" t="s">
        <v>696</v>
      </c>
      <c r="Q364" s="152" t="s">
        <v>637</v>
      </c>
      <c r="R364" s="152" t="s">
        <v>701</v>
      </c>
      <c r="S364" s="152" t="s">
        <v>637</v>
      </c>
      <c r="T364" s="152" t="s">
        <v>701</v>
      </c>
      <c r="U364" s="152" t="s">
        <v>644</v>
      </c>
      <c r="V364" s="152" t="s">
        <v>96</v>
      </c>
      <c r="W364" s="152" t="s">
        <v>643</v>
      </c>
      <c r="Y364" s="152" t="s">
        <v>637</v>
      </c>
      <c r="Z364" s="152" t="s">
        <v>642</v>
      </c>
      <c r="AA364" s="152" t="s">
        <v>665</v>
      </c>
      <c r="AB364" s="152" t="s">
        <v>640</v>
      </c>
      <c r="AC364" s="152" t="s">
        <v>701</v>
      </c>
      <c r="AD364" s="152" t="s">
        <v>700</v>
      </c>
      <c r="AE364" s="152" t="s">
        <v>637</v>
      </c>
      <c r="AF364" s="152" t="s">
        <v>637</v>
      </c>
      <c r="AG364" s="152" t="s">
        <v>637</v>
      </c>
      <c r="AH364" s="152" t="s">
        <v>664</v>
      </c>
      <c r="AI364" s="152" t="s">
        <v>699</v>
      </c>
      <c r="AJ364" s="152" t="s">
        <v>696</v>
      </c>
      <c r="AL364" s="152" t="s">
        <v>637</v>
      </c>
      <c r="AM364" s="152" t="s">
        <v>931</v>
      </c>
      <c r="AO364" s="152" t="s">
        <v>715</v>
      </c>
      <c r="AP364" s="152" t="s">
        <v>697</v>
      </c>
      <c r="AQ364" s="152" t="s">
        <v>703</v>
      </c>
      <c r="AS364" s="152" t="s">
        <v>696</v>
      </c>
      <c r="AT364" s="152" t="s">
        <v>702</v>
      </c>
      <c r="AU364" s="152">
        <v>2018</v>
      </c>
      <c r="AV364" s="339">
        <v>5995</v>
      </c>
      <c r="AW364" s="339">
        <v>1813224</v>
      </c>
      <c r="AX364" s="152">
        <v>19</v>
      </c>
      <c r="AY364" s="152">
        <v>-1</v>
      </c>
      <c r="AZ364" s="152">
        <v>75</v>
      </c>
      <c r="BA364" s="152">
        <v>3.650698E-3</v>
      </c>
      <c r="BB364" s="152">
        <v>456</v>
      </c>
      <c r="BC364" s="152">
        <v>90</v>
      </c>
      <c r="BD364" s="152">
        <v>5.6079998</v>
      </c>
    </row>
    <row r="365" spans="1:56" x14ac:dyDescent="0.25">
      <c r="A365" s="152" t="s">
        <v>922</v>
      </c>
      <c r="B365" s="152">
        <v>43.666465000000002</v>
      </c>
      <c r="C365" s="152">
        <v>-97.154368000000005</v>
      </c>
      <c r="D365" s="152">
        <v>32</v>
      </c>
      <c r="E365" s="152" t="s">
        <v>697</v>
      </c>
      <c r="F365" s="152">
        <v>2019</v>
      </c>
      <c r="G365" s="340">
        <v>43793.729166666664</v>
      </c>
      <c r="H365" s="152" t="s">
        <v>637</v>
      </c>
      <c r="I365" s="152" t="s">
        <v>696</v>
      </c>
      <c r="J365" s="152" t="s">
        <v>697</v>
      </c>
      <c r="L365" s="152" t="s">
        <v>649</v>
      </c>
      <c r="M365" s="152" t="s">
        <v>712</v>
      </c>
      <c r="N365" s="152" t="s">
        <v>637</v>
      </c>
      <c r="O365" s="152" t="s">
        <v>647</v>
      </c>
      <c r="P365" s="152" t="s">
        <v>696</v>
      </c>
      <c r="Q365" s="152" t="s">
        <v>637</v>
      </c>
      <c r="R365" s="152" t="s">
        <v>701</v>
      </c>
      <c r="S365" s="152" t="s">
        <v>637</v>
      </c>
      <c r="T365" s="152" t="s">
        <v>701</v>
      </c>
      <c r="U365" s="152" t="s">
        <v>644</v>
      </c>
      <c r="V365" s="152" t="s">
        <v>96</v>
      </c>
      <c r="W365" s="152" t="s">
        <v>643</v>
      </c>
      <c r="Y365" s="152" t="s">
        <v>637</v>
      </c>
      <c r="Z365" s="152" t="s">
        <v>696</v>
      </c>
      <c r="AA365" s="152" t="s">
        <v>665</v>
      </c>
      <c r="AB365" s="152" t="s">
        <v>640</v>
      </c>
      <c r="AC365" s="152" t="s">
        <v>701</v>
      </c>
      <c r="AD365" s="152" t="s">
        <v>673</v>
      </c>
      <c r="AE365" s="152" t="s">
        <v>637</v>
      </c>
      <c r="AF365" s="152" t="s">
        <v>637</v>
      </c>
      <c r="AG365" s="152" t="s">
        <v>637</v>
      </c>
      <c r="AH365" s="152" t="s">
        <v>664</v>
      </c>
      <c r="AI365" s="152" t="s">
        <v>699</v>
      </c>
      <c r="AJ365" s="152" t="s">
        <v>696</v>
      </c>
      <c r="AL365" s="152" t="s">
        <v>637</v>
      </c>
      <c r="AM365" s="152" t="s">
        <v>930</v>
      </c>
      <c r="AO365" s="152" t="s">
        <v>715</v>
      </c>
      <c r="AP365" s="152" t="s">
        <v>697</v>
      </c>
      <c r="AQ365" s="152" t="s">
        <v>630</v>
      </c>
      <c r="AS365" s="152" t="s">
        <v>696</v>
      </c>
      <c r="AT365" s="152" t="s">
        <v>702</v>
      </c>
      <c r="AU365" s="152">
        <v>2019</v>
      </c>
      <c r="AV365" s="339">
        <v>5995</v>
      </c>
      <c r="AW365" s="339">
        <v>1917832</v>
      </c>
      <c r="AX365" s="152">
        <v>24</v>
      </c>
      <c r="AY365" s="152">
        <v>-1</v>
      </c>
      <c r="AZ365" s="152">
        <v>75</v>
      </c>
      <c r="BA365" s="152">
        <v>0.148788373</v>
      </c>
      <c r="BB365" s="152">
        <v>624</v>
      </c>
      <c r="BC365" s="152">
        <v>90</v>
      </c>
      <c r="BD365" s="152">
        <v>5.6079998</v>
      </c>
    </row>
    <row r="366" spans="1:56" x14ac:dyDescent="0.25">
      <c r="A366" s="152" t="s">
        <v>922</v>
      </c>
      <c r="B366" s="152">
        <v>43.666474000000001</v>
      </c>
      <c r="C366" s="152">
        <v>-97.149457999999996</v>
      </c>
      <c r="D366" s="152">
        <v>32</v>
      </c>
      <c r="E366" s="152" t="s">
        <v>652</v>
      </c>
      <c r="F366" s="152">
        <v>2017</v>
      </c>
      <c r="G366" s="340">
        <v>42806.552083333336</v>
      </c>
      <c r="H366" s="152" t="s">
        <v>637</v>
      </c>
      <c r="I366" s="152" t="s">
        <v>713</v>
      </c>
      <c r="J366" s="152" t="s">
        <v>650</v>
      </c>
      <c r="L366" s="152" t="s">
        <v>649</v>
      </c>
      <c r="M366" s="152" t="s">
        <v>712</v>
      </c>
      <c r="N366" s="152" t="s">
        <v>637</v>
      </c>
      <c r="O366" s="152" t="s">
        <v>647</v>
      </c>
      <c r="P366" s="152" t="s">
        <v>628</v>
      </c>
      <c r="Q366" s="152" t="s">
        <v>637</v>
      </c>
      <c r="R366" s="152" t="s">
        <v>830</v>
      </c>
      <c r="S366" s="152" t="s">
        <v>637</v>
      </c>
      <c r="T366" s="152" t="s">
        <v>723</v>
      </c>
      <c r="U366" s="152" t="s">
        <v>644</v>
      </c>
      <c r="V366" s="152" t="s">
        <v>96</v>
      </c>
      <c r="W366" s="152" t="s">
        <v>643</v>
      </c>
      <c r="Y366" s="152" t="s">
        <v>637</v>
      </c>
      <c r="Z366" s="152" t="s">
        <v>642</v>
      </c>
      <c r="AA366" s="152" t="s">
        <v>641</v>
      </c>
      <c r="AB366" s="152" t="s">
        <v>640</v>
      </c>
      <c r="AC366" s="152" t="s">
        <v>723</v>
      </c>
      <c r="AD366" s="152" t="s">
        <v>691</v>
      </c>
      <c r="AE366" s="152" t="s">
        <v>637</v>
      </c>
      <c r="AF366" s="152" t="s">
        <v>637</v>
      </c>
      <c r="AG366" s="152" t="s">
        <v>637</v>
      </c>
      <c r="AH366" s="152" t="s">
        <v>636</v>
      </c>
      <c r="AI366" s="152" t="s">
        <v>655</v>
      </c>
      <c r="AJ366" s="152" t="s">
        <v>635</v>
      </c>
      <c r="AK366" s="152" t="s">
        <v>634</v>
      </c>
      <c r="AL366" s="152" t="s">
        <v>637</v>
      </c>
      <c r="AM366" s="152" t="s">
        <v>929</v>
      </c>
      <c r="AO366" s="152" t="s">
        <v>715</v>
      </c>
      <c r="AP366" s="152" t="s">
        <v>628</v>
      </c>
      <c r="AQ366" s="152" t="s">
        <v>703</v>
      </c>
      <c r="AR366" s="152" t="s">
        <v>629</v>
      </c>
      <c r="AS366" s="152" t="s">
        <v>628</v>
      </c>
      <c r="AT366" s="152" t="s">
        <v>702</v>
      </c>
      <c r="AU366" s="152">
        <v>2017</v>
      </c>
      <c r="AV366" s="339">
        <v>5995</v>
      </c>
      <c r="AW366" s="339">
        <v>1703266</v>
      </c>
      <c r="AX366" s="152">
        <v>12</v>
      </c>
      <c r="AY366" s="152">
        <v>0</v>
      </c>
      <c r="AZ366" s="152">
        <v>75</v>
      </c>
      <c r="BA366" s="152">
        <v>4.181614261</v>
      </c>
      <c r="BB366" s="152">
        <v>200</v>
      </c>
      <c r="BC366" s="152">
        <v>90</v>
      </c>
      <c r="BD366" s="152">
        <v>5.6079998</v>
      </c>
    </row>
    <row r="367" spans="1:56" x14ac:dyDescent="0.25">
      <c r="A367" s="152" t="s">
        <v>922</v>
      </c>
      <c r="B367" s="152">
        <v>43.666476000000003</v>
      </c>
      <c r="C367" s="152">
        <v>-97.149523000000002</v>
      </c>
      <c r="D367" s="152">
        <v>32</v>
      </c>
      <c r="E367" s="152" t="s">
        <v>652</v>
      </c>
      <c r="F367" s="152">
        <v>2017</v>
      </c>
      <c r="G367" s="340">
        <v>42737.166666666664</v>
      </c>
      <c r="H367" s="152" t="s">
        <v>637</v>
      </c>
      <c r="I367" s="152" t="s">
        <v>713</v>
      </c>
      <c r="J367" s="152" t="s">
        <v>650</v>
      </c>
      <c r="L367" s="152" t="s">
        <v>649</v>
      </c>
      <c r="M367" s="152" t="s">
        <v>685</v>
      </c>
      <c r="N367" s="152" t="s">
        <v>637</v>
      </c>
      <c r="O367" s="152" t="s">
        <v>647</v>
      </c>
      <c r="P367" s="152" t="s">
        <v>628</v>
      </c>
      <c r="Q367" s="152" t="s">
        <v>637</v>
      </c>
      <c r="R367" s="152" t="s">
        <v>802</v>
      </c>
      <c r="S367" s="152" t="s">
        <v>637</v>
      </c>
      <c r="T367" s="152" t="s">
        <v>708</v>
      </c>
      <c r="U367" s="152" t="s">
        <v>644</v>
      </c>
      <c r="V367" s="152" t="s">
        <v>96</v>
      </c>
      <c r="W367" s="152" t="s">
        <v>643</v>
      </c>
      <c r="Y367" s="152" t="s">
        <v>637</v>
      </c>
      <c r="Z367" s="152" t="s">
        <v>642</v>
      </c>
      <c r="AA367" s="152" t="s">
        <v>665</v>
      </c>
      <c r="AB367" s="152" t="s">
        <v>640</v>
      </c>
      <c r="AC367" s="152" t="s">
        <v>708</v>
      </c>
      <c r="AD367" s="152" t="s">
        <v>638</v>
      </c>
      <c r="AE367" s="152" t="s">
        <v>637</v>
      </c>
      <c r="AF367" s="152" t="s">
        <v>637</v>
      </c>
      <c r="AG367" s="152" t="s">
        <v>637</v>
      </c>
      <c r="AH367" s="152" t="s">
        <v>636</v>
      </c>
      <c r="AI367" s="152" t="s">
        <v>655</v>
      </c>
      <c r="AJ367" s="152" t="s">
        <v>635</v>
      </c>
      <c r="AK367" s="152" t="s">
        <v>634</v>
      </c>
      <c r="AL367" s="152" t="s">
        <v>637</v>
      </c>
      <c r="AM367" s="152" t="s">
        <v>827</v>
      </c>
      <c r="AO367" s="152" t="s">
        <v>715</v>
      </c>
      <c r="AP367" s="152" t="s">
        <v>628</v>
      </c>
      <c r="AQ367" s="152" t="s">
        <v>806</v>
      </c>
      <c r="AR367" s="152" t="s">
        <v>629</v>
      </c>
      <c r="AS367" s="152" t="s">
        <v>678</v>
      </c>
      <c r="AT367" s="152" t="s">
        <v>670</v>
      </c>
      <c r="AU367" s="152">
        <v>2017</v>
      </c>
      <c r="AV367" s="339">
        <v>5995</v>
      </c>
      <c r="AW367" s="339">
        <v>1700026</v>
      </c>
      <c r="AX367" s="152">
        <v>2</v>
      </c>
      <c r="AY367" s="152">
        <v>0</v>
      </c>
      <c r="AZ367" s="152">
        <v>75</v>
      </c>
      <c r="BA367" s="152">
        <v>3.1403559959999998</v>
      </c>
      <c r="BB367" s="152">
        <v>176</v>
      </c>
      <c r="BC367" s="152">
        <v>90</v>
      </c>
      <c r="BD367" s="152">
        <v>5.6079998</v>
      </c>
    </row>
    <row r="368" spans="1:56" x14ac:dyDescent="0.25">
      <c r="A368" s="152" t="s">
        <v>922</v>
      </c>
      <c r="B368" s="152">
        <v>43.666477999999998</v>
      </c>
      <c r="C368" s="152">
        <v>-97.149012999999997</v>
      </c>
      <c r="D368" s="152">
        <v>32</v>
      </c>
      <c r="E368" s="152" t="s">
        <v>652</v>
      </c>
      <c r="F368" s="152">
        <v>2018</v>
      </c>
      <c r="G368" s="340">
        <v>43208.409722222219</v>
      </c>
      <c r="H368" s="152" t="s">
        <v>637</v>
      </c>
      <c r="I368" s="152" t="s">
        <v>669</v>
      </c>
      <c r="J368" s="152" t="s">
        <v>650</v>
      </c>
      <c r="K368" s="152" t="s">
        <v>659</v>
      </c>
      <c r="L368" s="152" t="s">
        <v>649</v>
      </c>
      <c r="M368" s="152" t="s">
        <v>676</v>
      </c>
      <c r="N368" s="152" t="s">
        <v>637</v>
      </c>
      <c r="O368" s="152" t="s">
        <v>647</v>
      </c>
      <c r="P368" s="152" t="s">
        <v>646</v>
      </c>
      <c r="Q368" s="152" t="s">
        <v>637</v>
      </c>
      <c r="R368" s="152" t="s">
        <v>928</v>
      </c>
      <c r="S368" s="152" t="s">
        <v>637</v>
      </c>
      <c r="T368" s="152" t="s">
        <v>719</v>
      </c>
      <c r="U368" s="152" t="s">
        <v>644</v>
      </c>
      <c r="V368" s="152" t="s">
        <v>96</v>
      </c>
      <c r="W368" s="152" t="s">
        <v>643</v>
      </c>
      <c r="Y368" s="152" t="s">
        <v>637</v>
      </c>
      <c r="Z368" s="152" t="s">
        <v>642</v>
      </c>
      <c r="AA368" s="152" t="s">
        <v>641</v>
      </c>
      <c r="AB368" s="152" t="s">
        <v>640</v>
      </c>
      <c r="AC368" s="152" t="s">
        <v>719</v>
      </c>
      <c r="AD368" s="152" t="s">
        <v>787</v>
      </c>
      <c r="AE368" s="152" t="s">
        <v>637</v>
      </c>
      <c r="AF368" s="152" t="s">
        <v>637</v>
      </c>
      <c r="AG368" s="152" t="s">
        <v>637</v>
      </c>
      <c r="AH368" s="152" t="s">
        <v>677</v>
      </c>
      <c r="AI368" s="152" t="s">
        <v>655</v>
      </c>
      <c r="AJ368" s="152" t="s">
        <v>635</v>
      </c>
      <c r="AK368" s="152" t="s">
        <v>634</v>
      </c>
      <c r="AL368" s="152" t="s">
        <v>633</v>
      </c>
      <c r="AM368" s="152" t="s">
        <v>927</v>
      </c>
      <c r="AO368" s="152" t="s">
        <v>715</v>
      </c>
      <c r="AP368" s="152" t="s">
        <v>628</v>
      </c>
      <c r="AQ368" s="152" t="s">
        <v>862</v>
      </c>
      <c r="AR368" s="152" t="s">
        <v>629</v>
      </c>
      <c r="AS368" s="152" t="s">
        <v>628</v>
      </c>
      <c r="AT368" s="152" t="s">
        <v>689</v>
      </c>
      <c r="AU368" s="152">
        <v>2018</v>
      </c>
      <c r="AV368" s="339">
        <v>5995</v>
      </c>
      <c r="AW368" s="339">
        <v>1804711</v>
      </c>
      <c r="AX368" s="152">
        <v>18</v>
      </c>
      <c r="AY368" s="152">
        <v>0</v>
      </c>
      <c r="AZ368" s="152">
        <v>75</v>
      </c>
      <c r="BA368" s="152">
        <v>4.8628245919999999</v>
      </c>
      <c r="BB368" s="152">
        <v>370</v>
      </c>
      <c r="BC368" s="152">
        <v>90</v>
      </c>
      <c r="BD368" s="152">
        <v>5.6079998</v>
      </c>
    </row>
    <row r="369" spans="1:56" x14ac:dyDescent="0.25">
      <c r="A369" s="152" t="s">
        <v>922</v>
      </c>
      <c r="B369" s="152">
        <v>43.666494</v>
      </c>
      <c r="C369" s="152">
        <v>-97.144492</v>
      </c>
      <c r="D369" s="152">
        <v>32</v>
      </c>
      <c r="E369" s="152" t="s">
        <v>697</v>
      </c>
      <c r="F369" s="152">
        <v>2016</v>
      </c>
      <c r="G369" s="340">
        <v>42716.885416666664</v>
      </c>
      <c r="H369" s="152" t="s">
        <v>637</v>
      </c>
      <c r="I369" s="152" t="s">
        <v>696</v>
      </c>
      <c r="J369" s="152" t="s">
        <v>697</v>
      </c>
      <c r="L369" s="152" t="s">
        <v>649</v>
      </c>
      <c r="M369" s="152" t="s">
        <v>685</v>
      </c>
      <c r="N369" s="152" t="s">
        <v>637</v>
      </c>
      <c r="O369" s="152" t="s">
        <v>647</v>
      </c>
      <c r="P369" s="152" t="s">
        <v>696</v>
      </c>
      <c r="Q369" s="152" t="s">
        <v>637</v>
      </c>
      <c r="R369" s="152" t="s">
        <v>701</v>
      </c>
      <c r="S369" s="152" t="s">
        <v>637</v>
      </c>
      <c r="T369" s="152" t="s">
        <v>701</v>
      </c>
      <c r="U369" s="152" t="s">
        <v>644</v>
      </c>
      <c r="V369" s="152" t="s">
        <v>96</v>
      </c>
      <c r="W369" s="152" t="s">
        <v>643</v>
      </c>
      <c r="Y369" s="152" t="s">
        <v>637</v>
      </c>
      <c r="Z369" s="152" t="s">
        <v>642</v>
      </c>
      <c r="AA369" s="152" t="s">
        <v>665</v>
      </c>
      <c r="AB369" s="152" t="s">
        <v>640</v>
      </c>
      <c r="AC369" s="152" t="s">
        <v>701</v>
      </c>
      <c r="AD369" s="152" t="s">
        <v>681</v>
      </c>
      <c r="AE369" s="152" t="s">
        <v>637</v>
      </c>
      <c r="AF369" s="152" t="s">
        <v>637</v>
      </c>
      <c r="AG369" s="152" t="s">
        <v>637</v>
      </c>
      <c r="AH369" s="152" t="s">
        <v>664</v>
      </c>
      <c r="AI369" s="152" t="s">
        <v>699</v>
      </c>
      <c r="AJ369" s="152" t="s">
        <v>696</v>
      </c>
      <c r="AL369" s="152" t="s">
        <v>637</v>
      </c>
      <c r="AM369" s="152" t="s">
        <v>926</v>
      </c>
      <c r="AO369" s="152" t="s">
        <v>715</v>
      </c>
      <c r="AP369" s="152" t="s">
        <v>697</v>
      </c>
      <c r="AQ369" s="152" t="s">
        <v>769</v>
      </c>
      <c r="AS369" s="152" t="s">
        <v>696</v>
      </c>
      <c r="AT369" s="152" t="s">
        <v>695</v>
      </c>
      <c r="AU369" s="152">
        <v>2016</v>
      </c>
      <c r="AV369" s="339">
        <v>5995</v>
      </c>
      <c r="AW369" s="339">
        <v>1616564</v>
      </c>
      <c r="AX369" s="152">
        <v>12</v>
      </c>
      <c r="AY369" s="152">
        <v>-1</v>
      </c>
      <c r="AZ369" s="152">
        <v>75</v>
      </c>
      <c r="BA369" s="152">
        <v>6.0412302699999998</v>
      </c>
      <c r="BB369" s="152">
        <v>166</v>
      </c>
      <c r="BC369" s="152">
        <v>90</v>
      </c>
      <c r="BD369" s="152">
        <v>5.6079998</v>
      </c>
    </row>
    <row r="370" spans="1:56" x14ac:dyDescent="0.25">
      <c r="A370" s="152" t="s">
        <v>922</v>
      </c>
      <c r="B370" s="152">
        <v>43.666500999999997</v>
      </c>
      <c r="C370" s="152">
        <v>-97.141891000000001</v>
      </c>
      <c r="D370" s="152">
        <v>32</v>
      </c>
      <c r="E370" s="152" t="s">
        <v>652</v>
      </c>
      <c r="F370" s="152">
        <v>2017</v>
      </c>
      <c r="G370" s="340">
        <v>42789.75</v>
      </c>
      <c r="H370" s="152" t="s">
        <v>637</v>
      </c>
      <c r="I370" s="152" t="s">
        <v>713</v>
      </c>
      <c r="J370" s="152" t="s">
        <v>694</v>
      </c>
      <c r="L370" s="152" t="s">
        <v>649</v>
      </c>
      <c r="M370" s="152" t="s">
        <v>668</v>
      </c>
      <c r="N370" s="152" t="s">
        <v>637</v>
      </c>
      <c r="O370" s="152" t="s">
        <v>647</v>
      </c>
      <c r="P370" s="152" t="s">
        <v>628</v>
      </c>
      <c r="Q370" s="152" t="s">
        <v>637</v>
      </c>
      <c r="R370" s="152" t="s">
        <v>874</v>
      </c>
      <c r="S370" s="152" t="s">
        <v>637</v>
      </c>
      <c r="T370" s="152" t="s">
        <v>687</v>
      </c>
      <c r="U370" s="152" t="s">
        <v>644</v>
      </c>
      <c r="V370" s="152" t="s">
        <v>96</v>
      </c>
      <c r="W370" s="152" t="s">
        <v>643</v>
      </c>
      <c r="Y370" s="152" t="s">
        <v>637</v>
      </c>
      <c r="Z370" s="152" t="s">
        <v>642</v>
      </c>
      <c r="AA370" s="152" t="s">
        <v>641</v>
      </c>
      <c r="AB370" s="152" t="s">
        <v>640</v>
      </c>
      <c r="AC370" s="152" t="s">
        <v>687</v>
      </c>
      <c r="AD370" s="152" t="s">
        <v>718</v>
      </c>
      <c r="AE370" s="152" t="s">
        <v>637</v>
      </c>
      <c r="AF370" s="152" t="s">
        <v>637</v>
      </c>
      <c r="AG370" s="152" t="s">
        <v>637</v>
      </c>
      <c r="AH370" s="152" t="s">
        <v>636</v>
      </c>
      <c r="AI370" s="152" t="s">
        <v>655</v>
      </c>
      <c r="AJ370" s="152" t="s">
        <v>635</v>
      </c>
      <c r="AK370" s="152" t="s">
        <v>634</v>
      </c>
      <c r="AL370" s="152" t="s">
        <v>637</v>
      </c>
      <c r="AM370" s="152" t="s">
        <v>925</v>
      </c>
      <c r="AO370" s="152" t="s">
        <v>715</v>
      </c>
      <c r="AP370" s="152" t="s">
        <v>628</v>
      </c>
      <c r="AQ370" s="152" t="s">
        <v>662</v>
      </c>
      <c r="AR370" s="152" t="s">
        <v>629</v>
      </c>
      <c r="AS370" s="152" t="s">
        <v>628</v>
      </c>
      <c r="AT370" s="152" t="s">
        <v>670</v>
      </c>
      <c r="AU370" s="152">
        <v>2017</v>
      </c>
      <c r="AV370" s="339">
        <v>5995</v>
      </c>
      <c r="AW370" s="339">
        <v>1702590</v>
      </c>
      <c r="AX370" s="152">
        <v>23</v>
      </c>
      <c r="AY370" s="152">
        <v>0</v>
      </c>
      <c r="AZ370" s="152">
        <v>75</v>
      </c>
      <c r="BA370" s="152">
        <v>6.6963499369999999</v>
      </c>
      <c r="BB370" s="152">
        <v>193</v>
      </c>
      <c r="BC370" s="152">
        <v>90</v>
      </c>
      <c r="BD370" s="152">
        <v>5.6079998</v>
      </c>
    </row>
    <row r="371" spans="1:56" x14ac:dyDescent="0.25">
      <c r="A371" s="152" t="s">
        <v>922</v>
      </c>
      <c r="B371" s="152">
        <v>43.666510000000002</v>
      </c>
      <c r="C371" s="152">
        <v>-97.139538999999999</v>
      </c>
      <c r="D371" s="152">
        <v>32</v>
      </c>
      <c r="E371" s="152" t="s">
        <v>697</v>
      </c>
      <c r="F371" s="152">
        <v>2018</v>
      </c>
      <c r="G371" s="340">
        <v>43265.21875</v>
      </c>
      <c r="H371" s="152" t="s">
        <v>637</v>
      </c>
      <c r="I371" s="152" t="s">
        <v>696</v>
      </c>
      <c r="J371" s="152" t="s">
        <v>697</v>
      </c>
      <c r="L371" s="152" t="s">
        <v>649</v>
      </c>
      <c r="M371" s="152" t="s">
        <v>668</v>
      </c>
      <c r="N371" s="152" t="s">
        <v>637</v>
      </c>
      <c r="O371" s="152" t="s">
        <v>647</v>
      </c>
      <c r="P371" s="152" t="s">
        <v>696</v>
      </c>
      <c r="Q371" s="152" t="s">
        <v>637</v>
      </c>
      <c r="R371" s="152" t="s">
        <v>701</v>
      </c>
      <c r="S371" s="152" t="s">
        <v>637</v>
      </c>
      <c r="T371" s="152" t="s">
        <v>701</v>
      </c>
      <c r="U371" s="152" t="s">
        <v>644</v>
      </c>
      <c r="V371" s="152" t="s">
        <v>96</v>
      </c>
      <c r="W371" s="152" t="s">
        <v>643</v>
      </c>
      <c r="Y371" s="152" t="s">
        <v>637</v>
      </c>
      <c r="Z371" s="152" t="s">
        <v>642</v>
      </c>
      <c r="AA371" s="152" t="s">
        <v>665</v>
      </c>
      <c r="AB371" s="152" t="s">
        <v>640</v>
      </c>
      <c r="AC371" s="152" t="s">
        <v>701</v>
      </c>
      <c r="AD371" s="152" t="s">
        <v>771</v>
      </c>
      <c r="AE371" s="152" t="s">
        <v>637</v>
      </c>
      <c r="AF371" s="152" t="s">
        <v>637</v>
      </c>
      <c r="AG371" s="152" t="s">
        <v>637</v>
      </c>
      <c r="AH371" s="152" t="s">
        <v>664</v>
      </c>
      <c r="AI371" s="152" t="s">
        <v>699</v>
      </c>
      <c r="AJ371" s="152" t="s">
        <v>696</v>
      </c>
      <c r="AL371" s="152" t="s">
        <v>637</v>
      </c>
      <c r="AM371" s="152" t="s">
        <v>924</v>
      </c>
      <c r="AO371" s="152" t="s">
        <v>715</v>
      </c>
      <c r="AP371" s="152" t="s">
        <v>697</v>
      </c>
      <c r="AQ371" s="152" t="s">
        <v>703</v>
      </c>
      <c r="AS371" s="152" t="s">
        <v>696</v>
      </c>
      <c r="AT371" s="152" t="s">
        <v>702</v>
      </c>
      <c r="AU371" s="152">
        <v>2018</v>
      </c>
      <c r="AV371" s="339">
        <v>5995</v>
      </c>
      <c r="AW371" s="339">
        <v>1806642</v>
      </c>
      <c r="AX371" s="152">
        <v>14</v>
      </c>
      <c r="AY371" s="152">
        <v>-1</v>
      </c>
      <c r="AZ371" s="152">
        <v>75</v>
      </c>
      <c r="BA371" s="152">
        <v>5.8124214289999996</v>
      </c>
      <c r="BB371" s="152">
        <v>407</v>
      </c>
      <c r="BC371" s="152">
        <v>90</v>
      </c>
      <c r="BD371" s="152">
        <v>5.6079998</v>
      </c>
    </row>
    <row r="372" spans="1:56" x14ac:dyDescent="0.25">
      <c r="A372" s="152" t="s">
        <v>922</v>
      </c>
      <c r="B372" s="152">
        <v>43.666525</v>
      </c>
      <c r="C372" s="152">
        <v>-97.134371999999999</v>
      </c>
      <c r="D372" s="152">
        <v>32</v>
      </c>
      <c r="E372" s="152" t="s">
        <v>697</v>
      </c>
      <c r="F372" s="152">
        <v>2016</v>
      </c>
      <c r="G372" s="340">
        <v>42512.892361111109</v>
      </c>
      <c r="H372" s="152" t="s">
        <v>637</v>
      </c>
      <c r="I372" s="152" t="s">
        <v>696</v>
      </c>
      <c r="J372" s="152" t="s">
        <v>697</v>
      </c>
      <c r="L372" s="152" t="s">
        <v>649</v>
      </c>
      <c r="M372" s="152" t="s">
        <v>712</v>
      </c>
      <c r="N372" s="152" t="s">
        <v>637</v>
      </c>
      <c r="O372" s="152" t="s">
        <v>647</v>
      </c>
      <c r="P372" s="152" t="s">
        <v>696</v>
      </c>
      <c r="Q372" s="152" t="s">
        <v>637</v>
      </c>
      <c r="R372" s="152" t="s">
        <v>701</v>
      </c>
      <c r="S372" s="152" t="s">
        <v>637</v>
      </c>
      <c r="T372" s="152" t="s">
        <v>701</v>
      </c>
      <c r="U372" s="152" t="s">
        <v>644</v>
      </c>
      <c r="V372" s="152" t="s">
        <v>96</v>
      </c>
      <c r="W372" s="152" t="s">
        <v>643</v>
      </c>
      <c r="Y372" s="152" t="s">
        <v>637</v>
      </c>
      <c r="Z372" s="152" t="s">
        <v>642</v>
      </c>
      <c r="AA372" s="152" t="s">
        <v>665</v>
      </c>
      <c r="AB372" s="152" t="s">
        <v>640</v>
      </c>
      <c r="AC372" s="152" t="s">
        <v>701</v>
      </c>
      <c r="AD372" s="152" t="s">
        <v>752</v>
      </c>
      <c r="AE372" s="152" t="s">
        <v>637</v>
      </c>
      <c r="AF372" s="152" t="s">
        <v>637</v>
      </c>
      <c r="AG372" s="152" t="s">
        <v>637</v>
      </c>
      <c r="AH372" s="152" t="s">
        <v>664</v>
      </c>
      <c r="AI372" s="152" t="s">
        <v>699</v>
      </c>
      <c r="AJ372" s="152" t="s">
        <v>696</v>
      </c>
      <c r="AL372" s="152" t="s">
        <v>637</v>
      </c>
      <c r="AM372" s="152" t="s">
        <v>923</v>
      </c>
      <c r="AO372" s="152" t="s">
        <v>715</v>
      </c>
      <c r="AP372" s="152" t="s">
        <v>697</v>
      </c>
      <c r="AQ372" s="152" t="s">
        <v>671</v>
      </c>
      <c r="AS372" s="152" t="s">
        <v>696</v>
      </c>
      <c r="AT372" s="152" t="s">
        <v>702</v>
      </c>
      <c r="AU372" s="152">
        <v>2016</v>
      </c>
      <c r="AV372" s="339">
        <v>5995</v>
      </c>
      <c r="AW372" s="339">
        <v>1605839</v>
      </c>
      <c r="AX372" s="152">
        <v>22</v>
      </c>
      <c r="AY372" s="152">
        <v>-1</v>
      </c>
      <c r="AZ372" s="152">
        <v>75</v>
      </c>
      <c r="BA372" s="152">
        <v>6.8367602950000004</v>
      </c>
      <c r="BB372" s="152">
        <v>60</v>
      </c>
      <c r="BC372" s="152">
        <v>90</v>
      </c>
      <c r="BD372" s="152">
        <v>5.6079998</v>
      </c>
    </row>
    <row r="373" spans="1:56" x14ac:dyDescent="0.25">
      <c r="A373" s="152" t="s">
        <v>922</v>
      </c>
      <c r="B373" s="152">
        <v>43.666542999999997</v>
      </c>
      <c r="C373" s="152">
        <v>-97.129857999999999</v>
      </c>
      <c r="D373" s="152">
        <v>32</v>
      </c>
      <c r="E373" s="152" t="s">
        <v>652</v>
      </c>
      <c r="F373" s="152">
        <v>2018</v>
      </c>
      <c r="G373" s="340">
        <v>43154.4375</v>
      </c>
      <c r="H373" s="152" t="s">
        <v>637</v>
      </c>
      <c r="I373" s="152" t="s">
        <v>669</v>
      </c>
      <c r="J373" s="152" t="s">
        <v>650</v>
      </c>
      <c r="L373" s="152" t="s">
        <v>649</v>
      </c>
      <c r="M373" s="152" t="s">
        <v>648</v>
      </c>
      <c r="N373" s="152" t="s">
        <v>637</v>
      </c>
      <c r="O373" s="152" t="s">
        <v>647</v>
      </c>
      <c r="P373" s="152" t="s">
        <v>628</v>
      </c>
      <c r="Q373" s="152" t="s">
        <v>637</v>
      </c>
      <c r="R373" s="152" t="s">
        <v>709</v>
      </c>
      <c r="S373" s="152" t="s">
        <v>637</v>
      </c>
      <c r="T373" s="152" t="s">
        <v>708</v>
      </c>
      <c r="U373" s="152" t="s">
        <v>644</v>
      </c>
      <c r="V373" s="152" t="s">
        <v>96</v>
      </c>
      <c r="W373" s="152" t="s">
        <v>643</v>
      </c>
      <c r="Y373" s="152" t="s">
        <v>637</v>
      </c>
      <c r="Z373" s="152" t="s">
        <v>642</v>
      </c>
      <c r="AA373" s="152" t="s">
        <v>641</v>
      </c>
      <c r="AB373" s="152" t="s">
        <v>640</v>
      </c>
      <c r="AC373" s="152" t="s">
        <v>708</v>
      </c>
      <c r="AD373" s="152" t="s">
        <v>718</v>
      </c>
      <c r="AE373" s="152" t="s">
        <v>637</v>
      </c>
      <c r="AF373" s="152" t="s">
        <v>637</v>
      </c>
      <c r="AG373" s="152" t="s">
        <v>637</v>
      </c>
      <c r="AH373" s="152" t="s">
        <v>677</v>
      </c>
      <c r="AI373" s="152" t="s">
        <v>655</v>
      </c>
      <c r="AJ373" s="152" t="s">
        <v>635</v>
      </c>
      <c r="AK373" s="152" t="s">
        <v>634</v>
      </c>
      <c r="AL373" s="152" t="s">
        <v>637</v>
      </c>
      <c r="AM373" s="152" t="s">
        <v>776</v>
      </c>
      <c r="AO373" s="152" t="s">
        <v>715</v>
      </c>
      <c r="AP373" s="152" t="s">
        <v>628</v>
      </c>
      <c r="AQ373" s="152" t="s">
        <v>769</v>
      </c>
      <c r="AR373" s="152" t="s">
        <v>629</v>
      </c>
      <c r="AS373" s="152" t="s">
        <v>628</v>
      </c>
      <c r="AT373" s="152" t="s">
        <v>677</v>
      </c>
      <c r="AU373" s="152">
        <v>2018</v>
      </c>
      <c r="AV373" s="339">
        <v>5995</v>
      </c>
      <c r="AW373" s="339">
        <v>1819845</v>
      </c>
      <c r="AX373" s="152">
        <v>23</v>
      </c>
      <c r="AY373" s="152">
        <v>0</v>
      </c>
      <c r="AZ373" s="152">
        <v>75</v>
      </c>
      <c r="BA373" s="152">
        <v>5.9483138679999996</v>
      </c>
      <c r="BB373" s="152">
        <v>707</v>
      </c>
      <c r="BC373" s="152">
        <v>90</v>
      </c>
      <c r="BD373" s="152">
        <v>5.6079998</v>
      </c>
    </row>
    <row r="374" spans="1:56" x14ac:dyDescent="0.25">
      <c r="A374" s="152" t="s">
        <v>653</v>
      </c>
      <c r="B374" s="152">
        <v>43.666179999999997</v>
      </c>
      <c r="C374" s="152">
        <v>-97.226510000000005</v>
      </c>
      <c r="D374" s="152">
        <v>12</v>
      </c>
      <c r="E374" s="152" t="s">
        <v>652</v>
      </c>
      <c r="F374" s="152">
        <v>2018</v>
      </c>
      <c r="G374" s="340">
        <v>43302.659722222219</v>
      </c>
      <c r="H374" s="152" t="s">
        <v>637</v>
      </c>
      <c r="I374" s="152" t="s">
        <v>669</v>
      </c>
      <c r="J374" s="152" t="s">
        <v>660</v>
      </c>
      <c r="K374" s="152" t="s">
        <v>743</v>
      </c>
      <c r="L374" s="152" t="s">
        <v>649</v>
      </c>
      <c r="M374" s="152" t="s">
        <v>693</v>
      </c>
      <c r="N374" s="152" t="s">
        <v>637</v>
      </c>
      <c r="O374" s="152" t="s">
        <v>647</v>
      </c>
      <c r="P374" s="152" t="s">
        <v>803</v>
      </c>
      <c r="Q374" s="152" t="s">
        <v>637</v>
      </c>
      <c r="R374" s="152" t="s">
        <v>656</v>
      </c>
      <c r="S374" s="152" t="s">
        <v>633</v>
      </c>
      <c r="T374" s="152" t="s">
        <v>656</v>
      </c>
      <c r="U374" s="152" t="s">
        <v>644</v>
      </c>
      <c r="V374" s="152" t="s">
        <v>199</v>
      </c>
      <c r="W374" s="152" t="s">
        <v>643</v>
      </c>
      <c r="Y374" s="152" t="s">
        <v>637</v>
      </c>
      <c r="Z374" s="152" t="s">
        <v>642</v>
      </c>
      <c r="AA374" s="152" t="s">
        <v>641</v>
      </c>
      <c r="AB374" s="152" t="s">
        <v>740</v>
      </c>
      <c r="AC374" s="152" t="s">
        <v>656</v>
      </c>
      <c r="AD374" s="152" t="s">
        <v>805</v>
      </c>
      <c r="AE374" s="152" t="s">
        <v>637</v>
      </c>
      <c r="AF374" s="152" t="s">
        <v>637</v>
      </c>
      <c r="AG374" s="152" t="s">
        <v>637</v>
      </c>
      <c r="AH374" s="152" t="s">
        <v>664</v>
      </c>
      <c r="AI374" s="152" t="s">
        <v>628</v>
      </c>
      <c r="AJ374" s="152" t="s">
        <v>635</v>
      </c>
      <c r="AK374" s="152" t="s">
        <v>634</v>
      </c>
      <c r="AL374" s="152" t="s">
        <v>637</v>
      </c>
      <c r="AM374" s="152" t="s">
        <v>792</v>
      </c>
      <c r="AO374" s="152" t="s">
        <v>631</v>
      </c>
      <c r="AP374" s="152" t="s">
        <v>628</v>
      </c>
      <c r="AQ374" s="152" t="s">
        <v>921</v>
      </c>
      <c r="AR374" s="152" t="s">
        <v>629</v>
      </c>
      <c r="AS374" s="152" t="s">
        <v>628</v>
      </c>
      <c r="AT374" s="152" t="s">
        <v>702</v>
      </c>
      <c r="AU374" s="152">
        <v>2018</v>
      </c>
      <c r="AV374" s="339">
        <v>5615</v>
      </c>
      <c r="AW374" s="339">
        <v>1808981</v>
      </c>
      <c r="AX374" s="152">
        <v>21</v>
      </c>
      <c r="AY374" s="152">
        <v>0</v>
      </c>
      <c r="AZ374" s="152">
        <v>75</v>
      </c>
      <c r="BA374" s="152">
        <v>7.3929116000000003E-2</v>
      </c>
      <c r="BB374" s="152">
        <v>426</v>
      </c>
      <c r="BC374" s="152">
        <v>90</v>
      </c>
      <c r="BD374" s="152">
        <v>5.9679998999999997</v>
      </c>
    </row>
    <row r="375" spans="1:56" x14ac:dyDescent="0.25">
      <c r="A375" s="152" t="s">
        <v>653</v>
      </c>
      <c r="B375" s="152">
        <v>43.666186000000003</v>
      </c>
      <c r="C375" s="152">
        <v>-97.230722</v>
      </c>
      <c r="D375" s="152">
        <v>12</v>
      </c>
      <c r="E375" s="152" t="s">
        <v>652</v>
      </c>
      <c r="F375" s="152">
        <v>2018</v>
      </c>
      <c r="G375" s="340">
        <v>43165.586805555555</v>
      </c>
      <c r="H375" s="152" t="s">
        <v>637</v>
      </c>
      <c r="I375" s="152" t="s">
        <v>669</v>
      </c>
      <c r="J375" s="152" t="s">
        <v>660</v>
      </c>
      <c r="K375" s="152" t="s">
        <v>659</v>
      </c>
      <c r="L375" s="152" t="s">
        <v>649</v>
      </c>
      <c r="M375" s="152" t="s">
        <v>736</v>
      </c>
      <c r="N375" s="152" t="s">
        <v>637</v>
      </c>
      <c r="O375" s="152" t="s">
        <v>647</v>
      </c>
      <c r="P375" s="152" t="s">
        <v>835</v>
      </c>
      <c r="Q375" s="152" t="s">
        <v>637</v>
      </c>
      <c r="R375" s="152" t="s">
        <v>656</v>
      </c>
      <c r="S375" s="152" t="s">
        <v>637</v>
      </c>
      <c r="T375" s="152" t="s">
        <v>656</v>
      </c>
      <c r="U375" s="152" t="s">
        <v>644</v>
      </c>
      <c r="V375" s="152" t="s">
        <v>199</v>
      </c>
      <c r="W375" s="152" t="s">
        <v>643</v>
      </c>
      <c r="Y375" s="152" t="s">
        <v>637</v>
      </c>
      <c r="Z375" s="152" t="s">
        <v>642</v>
      </c>
      <c r="AA375" s="152" t="s">
        <v>641</v>
      </c>
      <c r="AB375" s="152" t="s">
        <v>657</v>
      </c>
      <c r="AC375" s="152" t="s">
        <v>656</v>
      </c>
      <c r="AD375" s="152" t="s">
        <v>691</v>
      </c>
      <c r="AE375" s="152" t="s">
        <v>637</v>
      </c>
      <c r="AF375" s="152" t="s">
        <v>637</v>
      </c>
      <c r="AG375" s="152" t="s">
        <v>637</v>
      </c>
      <c r="AH375" s="152" t="s">
        <v>677</v>
      </c>
      <c r="AI375" s="152" t="s">
        <v>655</v>
      </c>
      <c r="AJ375" s="152" t="s">
        <v>635</v>
      </c>
      <c r="AK375" s="152" t="s">
        <v>634</v>
      </c>
      <c r="AL375" s="152" t="s">
        <v>633</v>
      </c>
      <c r="AM375" s="152" t="s">
        <v>837</v>
      </c>
      <c r="AO375" s="152" t="s">
        <v>631</v>
      </c>
      <c r="AP375" s="152" t="s">
        <v>628</v>
      </c>
      <c r="AQ375" s="152" t="s">
        <v>920</v>
      </c>
      <c r="AR375" s="152" t="s">
        <v>798</v>
      </c>
      <c r="AS375" s="152" t="s">
        <v>628</v>
      </c>
      <c r="AT375" s="152" t="s">
        <v>695</v>
      </c>
      <c r="AU375" s="152">
        <v>2018</v>
      </c>
      <c r="AV375" s="339">
        <v>5615</v>
      </c>
      <c r="AW375" s="339">
        <v>1803138</v>
      </c>
      <c r="AX375" s="152">
        <v>6</v>
      </c>
      <c r="AY375" s="152">
        <v>0</v>
      </c>
      <c r="AZ375" s="152">
        <v>75</v>
      </c>
      <c r="BA375" s="152">
        <v>0.22397278500000001</v>
      </c>
      <c r="BB375" s="152">
        <v>343</v>
      </c>
      <c r="BC375" s="152">
        <v>90</v>
      </c>
      <c r="BD375" s="152">
        <v>5.9679998999999997</v>
      </c>
    </row>
    <row r="376" spans="1:56" x14ac:dyDescent="0.25">
      <c r="A376" s="152" t="s">
        <v>653</v>
      </c>
      <c r="B376" s="152">
        <v>43.666190999999998</v>
      </c>
      <c r="C376" s="152">
        <v>-97.225074000000006</v>
      </c>
      <c r="D376" s="152">
        <v>12</v>
      </c>
      <c r="E376" s="152" t="s">
        <v>821</v>
      </c>
      <c r="F376" s="152">
        <v>2019</v>
      </c>
      <c r="G376" s="340">
        <v>43545.819444444445</v>
      </c>
      <c r="H376" s="152" t="s">
        <v>637</v>
      </c>
      <c r="I376" s="152" t="s">
        <v>669</v>
      </c>
      <c r="J376" s="152" t="s">
        <v>660</v>
      </c>
      <c r="L376" s="152" t="s">
        <v>649</v>
      </c>
      <c r="M376" s="152" t="s">
        <v>668</v>
      </c>
      <c r="N376" s="152" t="s">
        <v>637</v>
      </c>
      <c r="O376" s="152" t="s">
        <v>647</v>
      </c>
      <c r="P376" s="152" t="s">
        <v>628</v>
      </c>
      <c r="Q376" s="152" t="s">
        <v>637</v>
      </c>
      <c r="R376" s="152" t="s">
        <v>656</v>
      </c>
      <c r="S376" s="152" t="s">
        <v>637</v>
      </c>
      <c r="T376" s="152" t="s">
        <v>656</v>
      </c>
      <c r="U376" s="152" t="s">
        <v>644</v>
      </c>
      <c r="V376" s="152" t="s">
        <v>199</v>
      </c>
      <c r="W376" s="152" t="s">
        <v>643</v>
      </c>
      <c r="Y376" s="152" t="s">
        <v>637</v>
      </c>
      <c r="Z376" s="152" t="s">
        <v>642</v>
      </c>
      <c r="AA376" s="152" t="s">
        <v>641</v>
      </c>
      <c r="AB376" s="152" t="s">
        <v>740</v>
      </c>
      <c r="AC376" s="152" t="s">
        <v>656</v>
      </c>
      <c r="AD376" s="152" t="s">
        <v>691</v>
      </c>
      <c r="AE376" s="152" t="s">
        <v>637</v>
      </c>
      <c r="AF376" s="152" t="s">
        <v>637</v>
      </c>
      <c r="AG376" s="152" t="s">
        <v>637</v>
      </c>
      <c r="AH376" s="152" t="s">
        <v>664</v>
      </c>
      <c r="AI376" s="152" t="s">
        <v>628</v>
      </c>
      <c r="AJ376" s="152" t="s">
        <v>635</v>
      </c>
      <c r="AK376" s="152" t="s">
        <v>634</v>
      </c>
      <c r="AL376" s="152" t="s">
        <v>637</v>
      </c>
      <c r="AM376" s="152" t="s">
        <v>919</v>
      </c>
      <c r="AO376" s="152" t="s">
        <v>631</v>
      </c>
      <c r="AP376" s="152" t="s">
        <v>628</v>
      </c>
      <c r="AQ376" s="152" t="s">
        <v>630</v>
      </c>
      <c r="AR376" s="152" t="s">
        <v>629</v>
      </c>
      <c r="AS376" s="152" t="s">
        <v>918</v>
      </c>
      <c r="AT376" s="152" t="s">
        <v>702</v>
      </c>
      <c r="AU376" s="152">
        <v>2019</v>
      </c>
      <c r="AV376" s="339">
        <v>5615</v>
      </c>
      <c r="AW376" s="339">
        <v>1903056</v>
      </c>
      <c r="AX376" s="152">
        <v>21</v>
      </c>
      <c r="AY376" s="152">
        <v>0</v>
      </c>
      <c r="AZ376" s="152">
        <v>75</v>
      </c>
      <c r="BA376" s="152">
        <v>0.18902707199999999</v>
      </c>
      <c r="BB376" s="152">
        <v>526</v>
      </c>
      <c r="BC376" s="152">
        <v>90</v>
      </c>
      <c r="BD376" s="152">
        <v>5.9679998999999997</v>
      </c>
    </row>
    <row r="377" spans="1:56" x14ac:dyDescent="0.25">
      <c r="A377" s="152" t="s">
        <v>653</v>
      </c>
      <c r="B377" s="152">
        <v>43.666221</v>
      </c>
      <c r="C377" s="152">
        <v>-97.221069</v>
      </c>
      <c r="D377" s="152">
        <v>12</v>
      </c>
      <c r="E377" s="152" t="s">
        <v>697</v>
      </c>
      <c r="F377" s="152">
        <v>2018</v>
      </c>
      <c r="G377" s="340">
        <v>43417.748611111114</v>
      </c>
      <c r="H377" s="152" t="s">
        <v>637</v>
      </c>
      <c r="I377" s="152" t="s">
        <v>696</v>
      </c>
      <c r="J377" s="152" t="s">
        <v>697</v>
      </c>
      <c r="L377" s="152" t="s">
        <v>649</v>
      </c>
      <c r="M377" s="152" t="s">
        <v>736</v>
      </c>
      <c r="N377" s="152" t="s">
        <v>637</v>
      </c>
      <c r="O377" s="152" t="s">
        <v>647</v>
      </c>
      <c r="P377" s="152" t="s">
        <v>696</v>
      </c>
      <c r="Q377" s="152" t="s">
        <v>637</v>
      </c>
      <c r="R377" s="152" t="s">
        <v>701</v>
      </c>
      <c r="S377" s="152" t="s">
        <v>637</v>
      </c>
      <c r="T377" s="152" t="s">
        <v>701</v>
      </c>
      <c r="U377" s="152" t="s">
        <v>644</v>
      </c>
      <c r="V377" s="152" t="s">
        <v>199</v>
      </c>
      <c r="W377" s="152" t="s">
        <v>643</v>
      </c>
      <c r="Y377" s="152" t="s">
        <v>637</v>
      </c>
      <c r="Z377" s="152" t="s">
        <v>642</v>
      </c>
      <c r="AA377" s="152" t="s">
        <v>665</v>
      </c>
      <c r="AB377" s="152" t="s">
        <v>640</v>
      </c>
      <c r="AC377" s="152" t="s">
        <v>701</v>
      </c>
      <c r="AD377" s="152" t="s">
        <v>673</v>
      </c>
      <c r="AE377" s="152" t="s">
        <v>637</v>
      </c>
      <c r="AF377" s="152" t="s">
        <v>637</v>
      </c>
      <c r="AG377" s="152" t="s">
        <v>637</v>
      </c>
      <c r="AH377" s="152" t="s">
        <v>664</v>
      </c>
      <c r="AI377" s="152" t="s">
        <v>699</v>
      </c>
      <c r="AJ377" s="152" t="s">
        <v>696</v>
      </c>
      <c r="AL377" s="152" t="s">
        <v>637</v>
      </c>
      <c r="AM377" s="152" t="s">
        <v>917</v>
      </c>
      <c r="AO377" s="152" t="s">
        <v>631</v>
      </c>
      <c r="AP377" s="152" t="s">
        <v>697</v>
      </c>
      <c r="AQ377" s="152" t="s">
        <v>630</v>
      </c>
      <c r="AS377" s="152" t="s">
        <v>696</v>
      </c>
      <c r="AT377" s="152" t="s">
        <v>702</v>
      </c>
      <c r="AU377" s="152">
        <v>2018</v>
      </c>
      <c r="AV377" s="339">
        <v>5615</v>
      </c>
      <c r="AW377" s="339">
        <v>1814562</v>
      </c>
      <c r="AX377" s="152">
        <v>13</v>
      </c>
      <c r="AY377" s="152">
        <v>-1</v>
      </c>
      <c r="AZ377" s="152">
        <v>75</v>
      </c>
      <c r="BA377" s="152">
        <v>3.1587584000000002E-2</v>
      </c>
      <c r="BB377" s="152">
        <v>472</v>
      </c>
      <c r="BC377" s="152">
        <v>90</v>
      </c>
      <c r="BD377" s="152">
        <v>5.9679998999999997</v>
      </c>
    </row>
    <row r="378" spans="1:56" x14ac:dyDescent="0.25">
      <c r="A378" s="152" t="s">
        <v>653</v>
      </c>
      <c r="B378" s="152">
        <v>43.666237000000002</v>
      </c>
      <c r="C378" s="152">
        <v>-97.219013000000004</v>
      </c>
      <c r="D378" s="152">
        <v>12</v>
      </c>
      <c r="E378" s="152" t="s">
        <v>652</v>
      </c>
      <c r="F378" s="152">
        <v>2019</v>
      </c>
      <c r="G378" s="340">
        <v>43642.864583333336</v>
      </c>
      <c r="H378" s="152" t="s">
        <v>633</v>
      </c>
      <c r="I378" s="152" t="s">
        <v>745</v>
      </c>
      <c r="J378" s="152" t="s">
        <v>916</v>
      </c>
      <c r="K378" s="152" t="s">
        <v>915</v>
      </c>
      <c r="L378" s="152" t="s">
        <v>649</v>
      </c>
      <c r="M378" s="152" t="s">
        <v>676</v>
      </c>
      <c r="N378" s="152" t="s">
        <v>637</v>
      </c>
      <c r="O378" s="152" t="s">
        <v>647</v>
      </c>
      <c r="P378" s="152" t="s">
        <v>914</v>
      </c>
      <c r="Q378" s="152" t="s">
        <v>637</v>
      </c>
      <c r="R378" s="152" t="s">
        <v>656</v>
      </c>
      <c r="S378" s="152" t="s">
        <v>637</v>
      </c>
      <c r="T378" s="152" t="s">
        <v>656</v>
      </c>
      <c r="U378" s="152" t="s">
        <v>644</v>
      </c>
      <c r="V378" s="152" t="s">
        <v>199</v>
      </c>
      <c r="W378" s="152" t="s">
        <v>643</v>
      </c>
      <c r="Y378" s="152" t="s">
        <v>637</v>
      </c>
      <c r="Z378" s="152" t="s">
        <v>642</v>
      </c>
      <c r="AA378" s="152" t="s">
        <v>641</v>
      </c>
      <c r="AB378" s="152" t="s">
        <v>740</v>
      </c>
      <c r="AC378" s="152" t="s">
        <v>656</v>
      </c>
      <c r="AD378" s="152" t="s">
        <v>771</v>
      </c>
      <c r="AE378" s="152" t="s">
        <v>637</v>
      </c>
      <c r="AF378" s="152" t="s">
        <v>637</v>
      </c>
      <c r="AG378" s="152" t="s">
        <v>637</v>
      </c>
      <c r="AH378" s="152" t="s">
        <v>664</v>
      </c>
      <c r="AI378" s="152" t="s">
        <v>628</v>
      </c>
      <c r="AJ378" s="152" t="s">
        <v>635</v>
      </c>
      <c r="AK378" s="152" t="s">
        <v>634</v>
      </c>
      <c r="AL378" s="152" t="s">
        <v>637</v>
      </c>
      <c r="AM378" s="152" t="s">
        <v>868</v>
      </c>
      <c r="AO378" s="152" t="s">
        <v>631</v>
      </c>
      <c r="AP378" s="152" t="s">
        <v>628</v>
      </c>
      <c r="AQ378" s="152" t="s">
        <v>913</v>
      </c>
      <c r="AR378" s="152" t="s">
        <v>798</v>
      </c>
      <c r="AS378" s="152" t="s">
        <v>628</v>
      </c>
      <c r="AT378" s="152" t="s">
        <v>702</v>
      </c>
      <c r="AU378" s="152">
        <v>2019</v>
      </c>
      <c r="AV378" s="339">
        <v>5615</v>
      </c>
      <c r="AW378" s="339">
        <v>1907767</v>
      </c>
      <c r="AX378" s="152">
        <v>26</v>
      </c>
      <c r="AY378" s="152">
        <v>0</v>
      </c>
      <c r="AZ378" s="152">
        <v>75</v>
      </c>
      <c r="BA378" s="152">
        <v>0.188704712</v>
      </c>
      <c r="BB378" s="152">
        <v>562</v>
      </c>
      <c r="BC378" s="152">
        <v>90</v>
      </c>
      <c r="BD378" s="152">
        <v>5.9679998999999997</v>
      </c>
    </row>
    <row r="379" spans="1:56" x14ac:dyDescent="0.25">
      <c r="A379" s="152" t="s">
        <v>653</v>
      </c>
      <c r="B379" s="152">
        <v>43.666271999999999</v>
      </c>
      <c r="C379" s="152">
        <v>-97.214324000000005</v>
      </c>
      <c r="D379" s="152">
        <v>12</v>
      </c>
      <c r="E379" s="152" t="s">
        <v>652</v>
      </c>
      <c r="F379" s="152">
        <v>2019</v>
      </c>
      <c r="G379" s="340">
        <v>43534.352777777778</v>
      </c>
      <c r="H379" s="152" t="s">
        <v>637</v>
      </c>
      <c r="I379" s="152" t="s">
        <v>669</v>
      </c>
      <c r="J379" s="152" t="s">
        <v>650</v>
      </c>
      <c r="L379" s="152" t="s">
        <v>649</v>
      </c>
      <c r="M379" s="152" t="s">
        <v>712</v>
      </c>
      <c r="N379" s="152" t="s">
        <v>637</v>
      </c>
      <c r="O379" s="152" t="s">
        <v>647</v>
      </c>
      <c r="P379" s="152" t="s">
        <v>646</v>
      </c>
      <c r="Q379" s="152" t="s">
        <v>637</v>
      </c>
      <c r="R379" s="152" t="s">
        <v>874</v>
      </c>
      <c r="S379" s="152" t="s">
        <v>637</v>
      </c>
      <c r="T379" s="152" t="s">
        <v>687</v>
      </c>
      <c r="U379" s="152" t="s">
        <v>644</v>
      </c>
      <c r="V379" s="152" t="s">
        <v>199</v>
      </c>
      <c r="W379" s="152" t="s">
        <v>643</v>
      </c>
      <c r="Y379" s="152" t="s">
        <v>637</v>
      </c>
      <c r="Z379" s="152" t="s">
        <v>642</v>
      </c>
      <c r="AA379" s="152" t="s">
        <v>641</v>
      </c>
      <c r="AB379" s="152" t="s">
        <v>640</v>
      </c>
      <c r="AC379" s="152" t="s">
        <v>687</v>
      </c>
      <c r="AD379" s="152" t="s">
        <v>691</v>
      </c>
      <c r="AE379" s="152" t="s">
        <v>637</v>
      </c>
      <c r="AF379" s="152" t="s">
        <v>637</v>
      </c>
      <c r="AG379" s="152" t="s">
        <v>637</v>
      </c>
      <c r="AH379" s="152" t="s">
        <v>636</v>
      </c>
      <c r="AI379" s="152" t="s">
        <v>655</v>
      </c>
      <c r="AJ379" s="152" t="s">
        <v>635</v>
      </c>
      <c r="AK379" s="152" t="s">
        <v>634</v>
      </c>
      <c r="AL379" s="152" t="s">
        <v>633</v>
      </c>
      <c r="AM379" s="152" t="s">
        <v>912</v>
      </c>
      <c r="AO379" s="152" t="s">
        <v>631</v>
      </c>
      <c r="AP379" s="152" t="s">
        <v>628</v>
      </c>
      <c r="AQ379" s="152" t="s">
        <v>662</v>
      </c>
      <c r="AR379" s="152" t="s">
        <v>629</v>
      </c>
      <c r="AS379" s="152" t="s">
        <v>628</v>
      </c>
      <c r="AT379" s="152" t="s">
        <v>702</v>
      </c>
      <c r="AU379" s="152">
        <v>2019</v>
      </c>
      <c r="AV379" s="339">
        <v>5615</v>
      </c>
      <c r="AW379" s="339">
        <v>1902521</v>
      </c>
      <c r="AX379" s="152">
        <v>10</v>
      </c>
      <c r="AY379" s="152">
        <v>0</v>
      </c>
      <c r="AZ379" s="152">
        <v>75</v>
      </c>
      <c r="BA379" s="152">
        <v>5.4781608000000002E-2</v>
      </c>
      <c r="BB379" s="152">
        <v>523</v>
      </c>
      <c r="BC379" s="152">
        <v>90</v>
      </c>
      <c r="BD379" s="152">
        <v>5.9679998999999997</v>
      </c>
    </row>
    <row r="380" spans="1:56" x14ac:dyDescent="0.25">
      <c r="A380" s="152" t="s">
        <v>653</v>
      </c>
      <c r="B380" s="152">
        <v>43.666283999999997</v>
      </c>
      <c r="C380" s="152">
        <v>-97.212762999999995</v>
      </c>
      <c r="D380" s="152">
        <v>12</v>
      </c>
      <c r="E380" s="152" t="s">
        <v>652</v>
      </c>
      <c r="F380" s="152">
        <v>2017</v>
      </c>
      <c r="G380" s="340">
        <v>43089.513888888891</v>
      </c>
      <c r="H380" s="152" t="s">
        <v>637</v>
      </c>
      <c r="I380" s="152" t="s">
        <v>669</v>
      </c>
      <c r="J380" s="152" t="s">
        <v>650</v>
      </c>
      <c r="L380" s="152" t="s">
        <v>649</v>
      </c>
      <c r="M380" s="152" t="s">
        <v>676</v>
      </c>
      <c r="N380" s="152" t="s">
        <v>637</v>
      </c>
      <c r="O380" s="152" t="s">
        <v>647</v>
      </c>
      <c r="P380" s="152" t="s">
        <v>628</v>
      </c>
      <c r="Q380" s="152" t="s">
        <v>637</v>
      </c>
      <c r="R380" s="152" t="s">
        <v>911</v>
      </c>
      <c r="S380" s="152" t="s">
        <v>637</v>
      </c>
      <c r="T380" s="152" t="s">
        <v>708</v>
      </c>
      <c r="U380" s="152" t="s">
        <v>644</v>
      </c>
      <c r="V380" s="152" t="s">
        <v>199</v>
      </c>
      <c r="W380" s="152" t="s">
        <v>643</v>
      </c>
      <c r="Y380" s="152" t="s">
        <v>637</v>
      </c>
      <c r="Z380" s="152" t="s">
        <v>642</v>
      </c>
      <c r="AA380" s="152" t="s">
        <v>641</v>
      </c>
      <c r="AB380" s="152" t="s">
        <v>640</v>
      </c>
      <c r="AC380" s="152" t="s">
        <v>708</v>
      </c>
      <c r="AD380" s="152" t="s">
        <v>681</v>
      </c>
      <c r="AE380" s="152" t="s">
        <v>637</v>
      </c>
      <c r="AF380" s="152" t="s">
        <v>637</v>
      </c>
      <c r="AG380" s="152" t="s">
        <v>637</v>
      </c>
      <c r="AH380" s="152" t="s">
        <v>664</v>
      </c>
      <c r="AI380" s="152" t="s">
        <v>628</v>
      </c>
      <c r="AJ380" s="152" t="s">
        <v>635</v>
      </c>
      <c r="AK380" s="152" t="s">
        <v>634</v>
      </c>
      <c r="AL380" s="152" t="s">
        <v>637</v>
      </c>
      <c r="AM380" s="152" t="s">
        <v>910</v>
      </c>
      <c r="AO380" s="152" t="s">
        <v>715</v>
      </c>
      <c r="AP380" s="152" t="s">
        <v>909</v>
      </c>
      <c r="AQ380" s="152" t="s">
        <v>908</v>
      </c>
      <c r="AR380" s="152" t="s">
        <v>629</v>
      </c>
      <c r="AS380" s="152" t="s">
        <v>628</v>
      </c>
      <c r="AT380" s="152" t="s">
        <v>702</v>
      </c>
      <c r="AU380" s="152">
        <v>2017</v>
      </c>
      <c r="AV380" s="339">
        <v>5615</v>
      </c>
      <c r="AW380" s="339">
        <v>1718381</v>
      </c>
      <c r="AX380" s="152">
        <v>20</v>
      </c>
      <c r="AY380" s="152">
        <v>0</v>
      </c>
      <c r="AZ380" s="152">
        <v>75</v>
      </c>
      <c r="BA380" s="152">
        <v>0.152730331</v>
      </c>
      <c r="BB380" s="152">
        <v>321</v>
      </c>
      <c r="BC380" s="152">
        <v>90</v>
      </c>
      <c r="BD380" s="152">
        <v>5.9679998999999997</v>
      </c>
    </row>
    <row r="381" spans="1:56" x14ac:dyDescent="0.25">
      <c r="A381" s="152" t="s">
        <v>653</v>
      </c>
      <c r="B381" s="152">
        <v>43.666311999999998</v>
      </c>
      <c r="C381" s="152">
        <v>-97.209168000000005</v>
      </c>
      <c r="D381" s="152">
        <v>12</v>
      </c>
      <c r="E381" s="152" t="s">
        <v>697</v>
      </c>
      <c r="F381" s="152">
        <v>2016</v>
      </c>
      <c r="G381" s="340">
        <v>42512.895833333336</v>
      </c>
      <c r="H381" s="152" t="s">
        <v>637</v>
      </c>
      <c r="I381" s="152" t="s">
        <v>696</v>
      </c>
      <c r="J381" s="152" t="s">
        <v>697</v>
      </c>
      <c r="L381" s="152" t="s">
        <v>649</v>
      </c>
      <c r="M381" s="152" t="s">
        <v>712</v>
      </c>
      <c r="N381" s="152" t="s">
        <v>637</v>
      </c>
      <c r="O381" s="152" t="s">
        <v>647</v>
      </c>
      <c r="P381" s="152" t="s">
        <v>696</v>
      </c>
      <c r="Q381" s="152" t="s">
        <v>637</v>
      </c>
      <c r="R381" s="152" t="s">
        <v>701</v>
      </c>
      <c r="S381" s="152" t="s">
        <v>637</v>
      </c>
      <c r="T381" s="152" t="s">
        <v>701</v>
      </c>
      <c r="U381" s="152" t="s">
        <v>644</v>
      </c>
      <c r="V381" s="152" t="s">
        <v>199</v>
      </c>
      <c r="W381" s="152" t="s">
        <v>643</v>
      </c>
      <c r="Y381" s="152" t="s">
        <v>637</v>
      </c>
      <c r="Z381" s="152" t="s">
        <v>642</v>
      </c>
      <c r="AA381" s="152" t="s">
        <v>665</v>
      </c>
      <c r="AB381" s="152" t="s">
        <v>640</v>
      </c>
      <c r="AC381" s="152" t="s">
        <v>701</v>
      </c>
      <c r="AD381" s="152" t="s">
        <v>752</v>
      </c>
      <c r="AE381" s="152" t="s">
        <v>637</v>
      </c>
      <c r="AF381" s="152" t="s">
        <v>637</v>
      </c>
      <c r="AG381" s="152" t="s">
        <v>637</v>
      </c>
      <c r="AH381" s="152" t="s">
        <v>664</v>
      </c>
      <c r="AI381" s="152" t="s">
        <v>699</v>
      </c>
      <c r="AJ381" s="152" t="s">
        <v>696</v>
      </c>
      <c r="AL381" s="152" t="s">
        <v>637</v>
      </c>
      <c r="AM381" s="152" t="s">
        <v>843</v>
      </c>
      <c r="AO381" s="152" t="s">
        <v>631</v>
      </c>
      <c r="AP381" s="152" t="s">
        <v>697</v>
      </c>
      <c r="AQ381" s="152" t="s">
        <v>630</v>
      </c>
      <c r="AS381" s="152" t="s">
        <v>696</v>
      </c>
      <c r="AT381" s="152" t="s">
        <v>702</v>
      </c>
      <c r="AU381" s="152">
        <v>2016</v>
      </c>
      <c r="AV381" s="339">
        <v>5615</v>
      </c>
      <c r="AW381" s="339">
        <v>1606185</v>
      </c>
      <c r="AX381" s="152">
        <v>22</v>
      </c>
      <c r="AY381" s="152">
        <v>-1</v>
      </c>
      <c r="AZ381" s="152">
        <v>75</v>
      </c>
      <c r="BA381" s="152">
        <v>8.6517266999999995E-2</v>
      </c>
      <c r="BB381" s="152">
        <v>64</v>
      </c>
      <c r="BC381" s="152">
        <v>90</v>
      </c>
      <c r="BD381" s="152">
        <v>5.9679998999999997</v>
      </c>
    </row>
    <row r="382" spans="1:56" x14ac:dyDescent="0.25">
      <c r="A382" s="152" t="s">
        <v>653</v>
      </c>
      <c r="B382" s="152">
        <v>43.666314999999997</v>
      </c>
      <c r="C382" s="152">
        <v>-97.2089</v>
      </c>
      <c r="D382" s="152">
        <v>12</v>
      </c>
      <c r="E382" s="152" t="s">
        <v>759</v>
      </c>
      <c r="F382" s="152">
        <v>2018</v>
      </c>
      <c r="G382" s="340">
        <v>43193.638888888891</v>
      </c>
      <c r="H382" s="152" t="s">
        <v>637</v>
      </c>
      <c r="I382" s="152" t="s">
        <v>669</v>
      </c>
      <c r="J382" s="152" t="s">
        <v>660</v>
      </c>
      <c r="L382" s="152" t="s">
        <v>649</v>
      </c>
      <c r="M382" s="152" t="s">
        <v>736</v>
      </c>
      <c r="N382" s="152" t="s">
        <v>637</v>
      </c>
      <c r="O382" s="152" t="s">
        <v>647</v>
      </c>
      <c r="P382" s="152" t="s">
        <v>907</v>
      </c>
      <c r="Q382" s="152" t="s">
        <v>637</v>
      </c>
      <c r="R382" s="152" t="s">
        <v>729</v>
      </c>
      <c r="S382" s="152" t="s">
        <v>637</v>
      </c>
      <c r="T382" s="152" t="s">
        <v>656</v>
      </c>
      <c r="U382" s="152" t="s">
        <v>644</v>
      </c>
      <c r="V382" s="152" t="s">
        <v>199</v>
      </c>
      <c r="W382" s="152" t="s">
        <v>643</v>
      </c>
      <c r="Y382" s="152" t="s">
        <v>637</v>
      </c>
      <c r="Z382" s="152" t="s">
        <v>642</v>
      </c>
      <c r="AA382" s="152" t="s">
        <v>641</v>
      </c>
      <c r="AB382" s="152" t="s">
        <v>740</v>
      </c>
      <c r="AC382" s="152" t="s">
        <v>656</v>
      </c>
      <c r="AD382" s="152" t="s">
        <v>787</v>
      </c>
      <c r="AE382" s="152" t="s">
        <v>637</v>
      </c>
      <c r="AF382" s="152" t="s">
        <v>633</v>
      </c>
      <c r="AG382" s="152" t="s">
        <v>637</v>
      </c>
      <c r="AH382" s="152" t="s">
        <v>636</v>
      </c>
      <c r="AI382" s="152" t="s">
        <v>655</v>
      </c>
      <c r="AJ382" s="152" t="s">
        <v>635</v>
      </c>
      <c r="AK382" s="152" t="s">
        <v>634</v>
      </c>
      <c r="AL382" s="152" t="s">
        <v>633</v>
      </c>
      <c r="AM382" s="152" t="s">
        <v>906</v>
      </c>
      <c r="AO382" s="152" t="s">
        <v>631</v>
      </c>
      <c r="AP382" s="152" t="s">
        <v>628</v>
      </c>
      <c r="AQ382" s="152" t="s">
        <v>773</v>
      </c>
      <c r="AR382" s="152" t="s">
        <v>629</v>
      </c>
      <c r="AS382" s="152" t="s">
        <v>905</v>
      </c>
      <c r="AT382" s="152" t="s">
        <v>689</v>
      </c>
      <c r="AU382" s="152">
        <v>2018</v>
      </c>
      <c r="AV382" s="339">
        <v>5615</v>
      </c>
      <c r="AW382" s="339">
        <v>1804441</v>
      </c>
      <c r="AX382" s="152">
        <v>3</v>
      </c>
      <c r="AY382" s="152">
        <v>0</v>
      </c>
      <c r="AZ382" s="152">
        <v>75</v>
      </c>
      <c r="BA382" s="152">
        <v>0.14675317800000001</v>
      </c>
      <c r="BB382" s="152">
        <v>366</v>
      </c>
      <c r="BC382" s="152">
        <v>90</v>
      </c>
      <c r="BD382" s="152">
        <v>5.9679998999999997</v>
      </c>
    </row>
    <row r="383" spans="1:56" x14ac:dyDescent="0.25">
      <c r="A383" s="152" t="s">
        <v>653</v>
      </c>
      <c r="B383" s="152">
        <v>43.666328999999998</v>
      </c>
      <c r="C383" s="152">
        <v>-97.207311000000004</v>
      </c>
      <c r="D383" s="152">
        <v>12</v>
      </c>
      <c r="E383" s="152" t="s">
        <v>652</v>
      </c>
      <c r="F383" s="152">
        <v>2020</v>
      </c>
      <c r="G383" s="340">
        <v>43923.815972222219</v>
      </c>
      <c r="H383" s="152" t="s">
        <v>637</v>
      </c>
      <c r="I383" s="152" t="s">
        <v>669</v>
      </c>
      <c r="J383" s="152" t="s">
        <v>650</v>
      </c>
      <c r="L383" s="152" t="s">
        <v>649</v>
      </c>
      <c r="M383" s="152" t="s">
        <v>668</v>
      </c>
      <c r="N383" s="152" t="s">
        <v>637</v>
      </c>
      <c r="O383" s="152" t="s">
        <v>647</v>
      </c>
      <c r="P383" s="152" t="s">
        <v>628</v>
      </c>
      <c r="Q383" s="152" t="s">
        <v>637</v>
      </c>
      <c r="R383" s="152" t="s">
        <v>688</v>
      </c>
      <c r="S383" s="152" t="s">
        <v>637</v>
      </c>
      <c r="T383" s="152" t="s">
        <v>687</v>
      </c>
      <c r="U383" s="152" t="s">
        <v>644</v>
      </c>
      <c r="V383" s="152" t="s">
        <v>199</v>
      </c>
      <c r="W383" s="152" t="s">
        <v>643</v>
      </c>
      <c r="Y383" s="152" t="s">
        <v>637</v>
      </c>
      <c r="Z383" s="152" t="s">
        <v>642</v>
      </c>
      <c r="AA383" s="152" t="s">
        <v>641</v>
      </c>
      <c r="AB383" s="152" t="s">
        <v>640</v>
      </c>
      <c r="AC383" s="152" t="s">
        <v>687</v>
      </c>
      <c r="AD383" s="152" t="s">
        <v>787</v>
      </c>
      <c r="AE383" s="152" t="s">
        <v>637</v>
      </c>
      <c r="AF383" s="152" t="s">
        <v>637</v>
      </c>
      <c r="AG383" s="152" t="s">
        <v>637</v>
      </c>
      <c r="AH383" s="152" t="s">
        <v>636</v>
      </c>
      <c r="AI383" s="152" t="s">
        <v>655</v>
      </c>
      <c r="AJ383" s="152" t="s">
        <v>635</v>
      </c>
      <c r="AK383" s="152" t="s">
        <v>634</v>
      </c>
      <c r="AL383" s="152" t="s">
        <v>637</v>
      </c>
      <c r="AM383" s="152" t="s">
        <v>904</v>
      </c>
      <c r="AO383" s="152" t="s">
        <v>631</v>
      </c>
      <c r="AP383" s="152" t="s">
        <v>628</v>
      </c>
      <c r="AQ383" s="152" t="s">
        <v>662</v>
      </c>
      <c r="AR383" s="152" t="s">
        <v>629</v>
      </c>
      <c r="AS383" s="152" t="s">
        <v>678</v>
      </c>
      <c r="AT383" s="152" t="s">
        <v>797</v>
      </c>
      <c r="AU383" s="152">
        <v>2020</v>
      </c>
      <c r="AV383" s="339">
        <v>5615</v>
      </c>
      <c r="AW383" s="339">
        <v>2004522</v>
      </c>
      <c r="AX383" s="152">
        <v>2</v>
      </c>
      <c r="AY383" s="152">
        <v>0</v>
      </c>
      <c r="AZ383" s="152">
        <v>75</v>
      </c>
      <c r="BA383" s="152">
        <v>0.15407374099999999</v>
      </c>
      <c r="BB383" s="152">
        <v>672</v>
      </c>
      <c r="BC383" s="152">
        <v>90</v>
      </c>
      <c r="BD383" s="152">
        <v>5.9679998999999997</v>
      </c>
    </row>
    <row r="384" spans="1:56" x14ac:dyDescent="0.25">
      <c r="A384" s="152" t="s">
        <v>653</v>
      </c>
      <c r="B384" s="152">
        <v>43.666333999999999</v>
      </c>
      <c r="C384" s="152">
        <v>-97.206663000000006</v>
      </c>
      <c r="D384" s="152">
        <v>12</v>
      </c>
      <c r="E384" s="152" t="s">
        <v>746</v>
      </c>
      <c r="F384" s="152">
        <v>2018</v>
      </c>
      <c r="G384" s="340">
        <v>43280.813194444447</v>
      </c>
      <c r="H384" s="152" t="s">
        <v>637</v>
      </c>
      <c r="I384" s="152" t="s">
        <v>669</v>
      </c>
      <c r="J384" s="152" t="s">
        <v>812</v>
      </c>
      <c r="K384" s="152" t="s">
        <v>903</v>
      </c>
      <c r="L384" s="152" t="s">
        <v>649</v>
      </c>
      <c r="M384" s="152" t="s">
        <v>648</v>
      </c>
      <c r="N384" s="152" t="s">
        <v>637</v>
      </c>
      <c r="O384" s="152" t="s">
        <v>647</v>
      </c>
      <c r="P384" s="152" t="s">
        <v>803</v>
      </c>
      <c r="Q384" s="152" t="s">
        <v>637</v>
      </c>
      <c r="R384" s="152" t="s">
        <v>656</v>
      </c>
      <c r="S384" s="152" t="s">
        <v>633</v>
      </c>
      <c r="T384" s="152" t="s">
        <v>656</v>
      </c>
      <c r="U384" s="152" t="s">
        <v>644</v>
      </c>
      <c r="V384" s="152" t="s">
        <v>199</v>
      </c>
      <c r="W384" s="152" t="s">
        <v>643</v>
      </c>
      <c r="Y384" s="152" t="s">
        <v>637</v>
      </c>
      <c r="Z384" s="152" t="s">
        <v>642</v>
      </c>
      <c r="AA384" s="152" t="s">
        <v>641</v>
      </c>
      <c r="AB384" s="152" t="s">
        <v>740</v>
      </c>
      <c r="AC384" s="152" t="s">
        <v>656</v>
      </c>
      <c r="AD384" s="152" t="s">
        <v>771</v>
      </c>
      <c r="AE384" s="152" t="s">
        <v>637</v>
      </c>
      <c r="AF384" s="152" t="s">
        <v>637</v>
      </c>
      <c r="AG384" s="152" t="s">
        <v>637</v>
      </c>
      <c r="AH384" s="152" t="s">
        <v>664</v>
      </c>
      <c r="AI384" s="152" t="s">
        <v>628</v>
      </c>
      <c r="AJ384" s="152" t="s">
        <v>635</v>
      </c>
      <c r="AK384" s="152" t="s">
        <v>634</v>
      </c>
      <c r="AL384" s="152" t="s">
        <v>637</v>
      </c>
      <c r="AM384" s="152" t="s">
        <v>902</v>
      </c>
      <c r="AO384" s="152" t="s">
        <v>631</v>
      </c>
      <c r="AP384" s="152" t="s">
        <v>628</v>
      </c>
      <c r="AQ384" s="152" t="s">
        <v>630</v>
      </c>
      <c r="AR384" s="152" t="s">
        <v>629</v>
      </c>
      <c r="AS384" s="152" t="s">
        <v>628</v>
      </c>
      <c r="AT384" s="152" t="s">
        <v>702</v>
      </c>
      <c r="AU384" s="152">
        <v>2018</v>
      </c>
      <c r="AV384" s="339">
        <v>5615</v>
      </c>
      <c r="AW384" s="339">
        <v>1807435</v>
      </c>
      <c r="AX384" s="152">
        <v>29</v>
      </c>
      <c r="AY384" s="152">
        <v>0</v>
      </c>
      <c r="AZ384" s="152">
        <v>75</v>
      </c>
      <c r="BA384" s="152">
        <v>9.9311151E-2</v>
      </c>
      <c r="BB384" s="152">
        <v>412</v>
      </c>
      <c r="BC384" s="152">
        <v>90</v>
      </c>
      <c r="BD384" s="152">
        <v>5.9679998999999997</v>
      </c>
    </row>
    <row r="385" spans="1:56" x14ac:dyDescent="0.25">
      <c r="A385" s="152" t="s">
        <v>653</v>
      </c>
      <c r="B385" s="152">
        <v>43.666336000000001</v>
      </c>
      <c r="C385" s="152">
        <v>-97.247153999999995</v>
      </c>
      <c r="D385" s="152">
        <v>12</v>
      </c>
      <c r="E385" s="152" t="s">
        <v>652</v>
      </c>
      <c r="F385" s="152">
        <v>2019</v>
      </c>
      <c r="G385" s="340">
        <v>43775.375</v>
      </c>
      <c r="H385" s="152" t="s">
        <v>637</v>
      </c>
      <c r="I385" s="152" t="s">
        <v>745</v>
      </c>
      <c r="J385" s="152" t="s">
        <v>650</v>
      </c>
      <c r="L385" s="152" t="s">
        <v>649</v>
      </c>
      <c r="M385" s="152" t="s">
        <v>676</v>
      </c>
      <c r="N385" s="152" t="s">
        <v>637</v>
      </c>
      <c r="O385" s="152" t="s">
        <v>647</v>
      </c>
      <c r="P385" s="152" t="s">
        <v>646</v>
      </c>
      <c r="Q385" s="152" t="s">
        <v>637</v>
      </c>
      <c r="R385" s="152" t="s">
        <v>825</v>
      </c>
      <c r="S385" s="152" t="s">
        <v>637</v>
      </c>
      <c r="T385" s="152" t="s">
        <v>708</v>
      </c>
      <c r="U385" s="152" t="s">
        <v>644</v>
      </c>
      <c r="V385" s="152" t="s">
        <v>199</v>
      </c>
      <c r="W385" s="152" t="s">
        <v>643</v>
      </c>
      <c r="Y385" s="152" t="s">
        <v>637</v>
      </c>
      <c r="Z385" s="152" t="s">
        <v>642</v>
      </c>
      <c r="AA385" s="152" t="s">
        <v>641</v>
      </c>
      <c r="AB385" s="152" t="s">
        <v>640</v>
      </c>
      <c r="AC385" s="152" t="s">
        <v>708</v>
      </c>
      <c r="AD385" s="152" t="s">
        <v>673</v>
      </c>
      <c r="AE385" s="152" t="s">
        <v>637</v>
      </c>
      <c r="AF385" s="152" t="s">
        <v>637</v>
      </c>
      <c r="AG385" s="152" t="s">
        <v>637</v>
      </c>
      <c r="AH385" s="152" t="s">
        <v>636</v>
      </c>
      <c r="AI385" s="152" t="s">
        <v>655</v>
      </c>
      <c r="AJ385" s="152" t="s">
        <v>635</v>
      </c>
      <c r="AK385" s="152" t="s">
        <v>634</v>
      </c>
      <c r="AL385" s="152" t="s">
        <v>633</v>
      </c>
      <c r="AM385" s="152" t="s">
        <v>901</v>
      </c>
      <c r="AO385" s="152" t="s">
        <v>631</v>
      </c>
      <c r="AP385" s="152" t="s">
        <v>628</v>
      </c>
      <c r="AQ385" s="152" t="s">
        <v>769</v>
      </c>
      <c r="AR385" s="152" t="s">
        <v>629</v>
      </c>
      <c r="AS385" s="152" t="s">
        <v>628</v>
      </c>
      <c r="AT385" s="152" t="s">
        <v>900</v>
      </c>
      <c r="AU385" s="152">
        <v>2019</v>
      </c>
      <c r="AV385" s="339">
        <v>5615</v>
      </c>
      <c r="AW385" s="339">
        <v>1916190</v>
      </c>
      <c r="AX385" s="152">
        <v>6</v>
      </c>
      <c r="AY385" s="152">
        <v>0</v>
      </c>
      <c r="AZ385" s="152">
        <v>75</v>
      </c>
      <c r="BA385" s="152">
        <v>2.2078092000000001E-2</v>
      </c>
      <c r="BB385" s="152">
        <v>611</v>
      </c>
      <c r="BC385" s="152">
        <v>90</v>
      </c>
      <c r="BD385" s="152">
        <v>5.9679998999999997</v>
      </c>
    </row>
    <row r="386" spans="1:56" x14ac:dyDescent="0.25">
      <c r="A386" s="152" t="s">
        <v>653</v>
      </c>
      <c r="B386" s="152">
        <v>43.666339000000001</v>
      </c>
      <c r="C386" s="152">
        <v>-97.206113999999999</v>
      </c>
      <c r="D386" s="152">
        <v>12</v>
      </c>
      <c r="E386" s="152" t="s">
        <v>652</v>
      </c>
      <c r="F386" s="152">
        <v>2018</v>
      </c>
      <c r="G386" s="340">
        <v>43231.416666666664</v>
      </c>
      <c r="H386" s="152" t="s">
        <v>637</v>
      </c>
      <c r="I386" s="152" t="s">
        <v>669</v>
      </c>
      <c r="J386" s="152" t="s">
        <v>650</v>
      </c>
      <c r="L386" s="152" t="s">
        <v>649</v>
      </c>
      <c r="M386" s="152" t="s">
        <v>648</v>
      </c>
      <c r="N386" s="152" t="s">
        <v>637</v>
      </c>
      <c r="O386" s="152" t="s">
        <v>647</v>
      </c>
      <c r="P386" s="152" t="s">
        <v>628</v>
      </c>
      <c r="Q386" s="152" t="s">
        <v>637</v>
      </c>
      <c r="R386" s="152" t="s">
        <v>711</v>
      </c>
      <c r="S386" s="152" t="s">
        <v>637</v>
      </c>
      <c r="T386" s="152" t="s">
        <v>711</v>
      </c>
      <c r="U386" s="152" t="s">
        <v>644</v>
      </c>
      <c r="V386" s="152" t="s">
        <v>199</v>
      </c>
      <c r="W386" s="152" t="s">
        <v>643</v>
      </c>
      <c r="Y386" s="152" t="s">
        <v>637</v>
      </c>
      <c r="Z386" s="152" t="s">
        <v>642</v>
      </c>
      <c r="AA386" s="152" t="s">
        <v>641</v>
      </c>
      <c r="AB386" s="152" t="s">
        <v>640</v>
      </c>
      <c r="AC386" s="152" t="s">
        <v>711</v>
      </c>
      <c r="AD386" s="152" t="s">
        <v>752</v>
      </c>
      <c r="AE386" s="152" t="s">
        <v>637</v>
      </c>
      <c r="AF386" s="152" t="s">
        <v>637</v>
      </c>
      <c r="AG386" s="152" t="s">
        <v>637</v>
      </c>
      <c r="AH386" s="152" t="s">
        <v>664</v>
      </c>
      <c r="AI386" s="152" t="s">
        <v>899</v>
      </c>
      <c r="AJ386" s="152" t="s">
        <v>635</v>
      </c>
      <c r="AK386" s="152" t="s">
        <v>634</v>
      </c>
      <c r="AL386" s="152" t="s">
        <v>637</v>
      </c>
      <c r="AM386" s="152" t="s">
        <v>898</v>
      </c>
      <c r="AO386" s="152" t="s">
        <v>631</v>
      </c>
      <c r="AP386" s="152" t="s">
        <v>628</v>
      </c>
      <c r="AQ386" s="152" t="s">
        <v>671</v>
      </c>
      <c r="AR386" s="152" t="s">
        <v>629</v>
      </c>
      <c r="AS386" s="152" t="s">
        <v>628</v>
      </c>
      <c r="AT386" s="152" t="s">
        <v>702</v>
      </c>
      <c r="AU386" s="152">
        <v>2018</v>
      </c>
      <c r="AV386" s="339">
        <v>5615</v>
      </c>
      <c r="AW386" s="339">
        <v>1805835</v>
      </c>
      <c r="AX386" s="152">
        <v>11</v>
      </c>
      <c r="AY386" s="152">
        <v>0</v>
      </c>
      <c r="AZ386" s="152">
        <v>75</v>
      </c>
      <c r="BA386" s="152">
        <v>3.4396641999999998E-2</v>
      </c>
      <c r="BB386" s="152">
        <v>395</v>
      </c>
      <c r="BC386" s="152">
        <v>90</v>
      </c>
      <c r="BD386" s="152">
        <v>5.9679998999999997</v>
      </c>
    </row>
    <row r="387" spans="1:56" x14ac:dyDescent="0.25">
      <c r="A387" s="152" t="s">
        <v>653</v>
      </c>
      <c r="B387" s="152">
        <v>43.666345</v>
      </c>
      <c r="C387" s="152">
        <v>-97.205428999999995</v>
      </c>
      <c r="D387" s="152">
        <v>12</v>
      </c>
      <c r="E387" s="152" t="s">
        <v>652</v>
      </c>
      <c r="F387" s="152">
        <v>2018</v>
      </c>
      <c r="G387" s="340">
        <v>43166.833333333336</v>
      </c>
      <c r="H387" s="152" t="s">
        <v>637</v>
      </c>
      <c r="I387" s="152" t="s">
        <v>669</v>
      </c>
      <c r="J387" s="152" t="s">
        <v>650</v>
      </c>
      <c r="L387" s="152" t="s">
        <v>649</v>
      </c>
      <c r="M387" s="152" t="s">
        <v>676</v>
      </c>
      <c r="N387" s="152" t="s">
        <v>637</v>
      </c>
      <c r="O387" s="152" t="s">
        <v>647</v>
      </c>
      <c r="P387" s="152" t="s">
        <v>646</v>
      </c>
      <c r="Q387" s="152" t="s">
        <v>637</v>
      </c>
      <c r="R387" s="152" t="s">
        <v>825</v>
      </c>
      <c r="S387" s="152" t="s">
        <v>637</v>
      </c>
      <c r="T387" s="152" t="s">
        <v>708</v>
      </c>
      <c r="U387" s="152" t="s">
        <v>644</v>
      </c>
      <c r="V387" s="152" t="s">
        <v>199</v>
      </c>
      <c r="W387" s="152" t="s">
        <v>643</v>
      </c>
      <c r="Y387" s="152" t="s">
        <v>637</v>
      </c>
      <c r="Z387" s="152" t="s">
        <v>642</v>
      </c>
      <c r="AA387" s="152" t="s">
        <v>665</v>
      </c>
      <c r="AB387" s="152" t="s">
        <v>640</v>
      </c>
      <c r="AC387" s="152" t="s">
        <v>708</v>
      </c>
      <c r="AD387" s="152" t="s">
        <v>691</v>
      </c>
      <c r="AE387" s="152" t="s">
        <v>637</v>
      </c>
      <c r="AF387" s="152" t="s">
        <v>637</v>
      </c>
      <c r="AG387" s="152" t="s">
        <v>637</v>
      </c>
      <c r="AH387" s="152" t="s">
        <v>636</v>
      </c>
      <c r="AI387" s="152" t="s">
        <v>628</v>
      </c>
      <c r="AJ387" s="152" t="s">
        <v>635</v>
      </c>
      <c r="AK387" s="152" t="s">
        <v>634</v>
      </c>
      <c r="AL387" s="152" t="s">
        <v>633</v>
      </c>
      <c r="AM387" s="152" t="s">
        <v>767</v>
      </c>
      <c r="AO387" s="152" t="s">
        <v>631</v>
      </c>
      <c r="AP387" s="152" t="s">
        <v>628</v>
      </c>
      <c r="AQ387" s="152" t="s">
        <v>703</v>
      </c>
      <c r="AR387" s="152" t="s">
        <v>629</v>
      </c>
      <c r="AS387" s="152" t="s">
        <v>628</v>
      </c>
      <c r="AT387" s="152" t="s">
        <v>670</v>
      </c>
      <c r="AU387" s="152">
        <v>2018</v>
      </c>
      <c r="AV387" s="339">
        <v>5615</v>
      </c>
      <c r="AW387" s="339">
        <v>1803925</v>
      </c>
      <c r="AX387" s="152">
        <v>7</v>
      </c>
      <c r="AY387" s="152">
        <v>0</v>
      </c>
      <c r="AZ387" s="152">
        <v>75</v>
      </c>
      <c r="BA387" s="152">
        <v>3.8895562000000002E-2</v>
      </c>
      <c r="BB387" s="152">
        <v>357</v>
      </c>
      <c r="BC387" s="152">
        <v>90</v>
      </c>
      <c r="BD387" s="152">
        <v>5.9679998999999997</v>
      </c>
    </row>
    <row r="388" spans="1:56" x14ac:dyDescent="0.25">
      <c r="A388" s="152" t="s">
        <v>653</v>
      </c>
      <c r="B388" s="152">
        <v>43.666378999999999</v>
      </c>
      <c r="C388" s="152">
        <v>-97.251744000000002</v>
      </c>
      <c r="D388" s="152">
        <v>12</v>
      </c>
      <c r="E388" s="152" t="s">
        <v>759</v>
      </c>
      <c r="F388" s="152">
        <v>2017</v>
      </c>
      <c r="G388" s="340">
        <v>42845.251388888886</v>
      </c>
      <c r="H388" s="152" t="s">
        <v>637</v>
      </c>
      <c r="I388" s="152" t="s">
        <v>669</v>
      </c>
      <c r="J388" s="152" t="s">
        <v>660</v>
      </c>
      <c r="L388" s="152" t="s">
        <v>649</v>
      </c>
      <c r="M388" s="152" t="s">
        <v>668</v>
      </c>
      <c r="N388" s="152" t="s">
        <v>637</v>
      </c>
      <c r="O388" s="152" t="s">
        <v>647</v>
      </c>
      <c r="P388" s="152" t="s">
        <v>897</v>
      </c>
      <c r="Q388" s="152" t="s">
        <v>637</v>
      </c>
      <c r="R388" s="152" t="s">
        <v>656</v>
      </c>
      <c r="S388" s="152" t="s">
        <v>637</v>
      </c>
      <c r="T388" s="152" t="s">
        <v>656</v>
      </c>
      <c r="U388" s="152" t="s">
        <v>644</v>
      </c>
      <c r="V388" s="152" t="s">
        <v>199</v>
      </c>
      <c r="W388" s="152" t="s">
        <v>643</v>
      </c>
      <c r="Y388" s="152" t="s">
        <v>637</v>
      </c>
      <c r="Z388" s="152" t="s">
        <v>642</v>
      </c>
      <c r="AA388" s="152" t="s">
        <v>665</v>
      </c>
      <c r="AB388" s="152" t="s">
        <v>740</v>
      </c>
      <c r="AC388" s="152" t="s">
        <v>656</v>
      </c>
      <c r="AD388" s="152" t="s">
        <v>787</v>
      </c>
      <c r="AE388" s="152" t="s">
        <v>637</v>
      </c>
      <c r="AF388" s="152" t="s">
        <v>637</v>
      </c>
      <c r="AG388" s="152" t="s">
        <v>637</v>
      </c>
      <c r="AH388" s="152" t="s">
        <v>664</v>
      </c>
      <c r="AI388" s="152" t="s">
        <v>628</v>
      </c>
      <c r="AJ388" s="152" t="s">
        <v>635</v>
      </c>
      <c r="AK388" s="152" t="s">
        <v>634</v>
      </c>
      <c r="AL388" s="152" t="s">
        <v>637</v>
      </c>
      <c r="AM388" s="152" t="s">
        <v>896</v>
      </c>
      <c r="AO388" s="152" t="s">
        <v>631</v>
      </c>
      <c r="AP388" s="152" t="s">
        <v>628</v>
      </c>
      <c r="AQ388" s="152" t="s">
        <v>895</v>
      </c>
      <c r="AR388" s="152" t="s">
        <v>629</v>
      </c>
      <c r="AS388" s="152" t="s">
        <v>628</v>
      </c>
      <c r="AT388" s="152" t="s">
        <v>695</v>
      </c>
      <c r="AU388" s="152">
        <v>2017</v>
      </c>
      <c r="AV388" s="339">
        <v>5615</v>
      </c>
      <c r="AW388" s="339">
        <v>1704875</v>
      </c>
      <c r="AX388" s="152">
        <v>20</v>
      </c>
      <c r="AY388" s="152">
        <v>0</v>
      </c>
      <c r="AZ388" s="152">
        <v>75</v>
      </c>
      <c r="BA388" s="152">
        <v>1.3076918E-2</v>
      </c>
      <c r="BB388" s="152">
        <v>211</v>
      </c>
      <c r="BC388" s="152">
        <v>90</v>
      </c>
      <c r="BD388" s="152">
        <v>5.9679998999999997</v>
      </c>
    </row>
    <row r="389" spans="1:56" x14ac:dyDescent="0.25">
      <c r="A389" s="152" t="s">
        <v>653</v>
      </c>
      <c r="B389" s="152">
        <v>43.666387</v>
      </c>
      <c r="C389" s="152">
        <v>-97.200601000000006</v>
      </c>
      <c r="D389" s="152">
        <v>12</v>
      </c>
      <c r="E389" s="152" t="s">
        <v>697</v>
      </c>
      <c r="F389" s="152">
        <v>2019</v>
      </c>
      <c r="G389" s="340">
        <v>43772.895833333336</v>
      </c>
      <c r="H389" s="152" t="s">
        <v>637</v>
      </c>
      <c r="I389" s="152" t="s">
        <v>696</v>
      </c>
      <c r="J389" s="152" t="s">
        <v>697</v>
      </c>
      <c r="L389" s="152" t="s">
        <v>649</v>
      </c>
      <c r="M389" s="152" t="s">
        <v>712</v>
      </c>
      <c r="N389" s="152" t="s">
        <v>637</v>
      </c>
      <c r="O389" s="152" t="s">
        <v>647</v>
      </c>
      <c r="P389" s="152" t="s">
        <v>696</v>
      </c>
      <c r="Q389" s="152" t="s">
        <v>637</v>
      </c>
      <c r="R389" s="152" t="s">
        <v>701</v>
      </c>
      <c r="S389" s="152" t="s">
        <v>637</v>
      </c>
      <c r="T389" s="152" t="s">
        <v>701</v>
      </c>
      <c r="U389" s="152" t="s">
        <v>644</v>
      </c>
      <c r="V389" s="152" t="s">
        <v>199</v>
      </c>
      <c r="W389" s="152" t="s">
        <v>643</v>
      </c>
      <c r="Y389" s="152" t="s">
        <v>637</v>
      </c>
      <c r="Z389" s="152" t="s">
        <v>696</v>
      </c>
      <c r="AA389" s="152" t="s">
        <v>665</v>
      </c>
      <c r="AB389" s="152" t="s">
        <v>640</v>
      </c>
      <c r="AC389" s="152" t="s">
        <v>701</v>
      </c>
      <c r="AD389" s="152" t="s">
        <v>673</v>
      </c>
      <c r="AE389" s="152" t="s">
        <v>637</v>
      </c>
      <c r="AF389" s="152" t="s">
        <v>637</v>
      </c>
      <c r="AG389" s="152" t="s">
        <v>637</v>
      </c>
      <c r="AH389" s="152" t="s">
        <v>762</v>
      </c>
      <c r="AI389" s="152" t="s">
        <v>699</v>
      </c>
      <c r="AJ389" s="152" t="s">
        <v>696</v>
      </c>
      <c r="AL389" s="152" t="s">
        <v>637</v>
      </c>
      <c r="AM389" s="152" t="s">
        <v>843</v>
      </c>
      <c r="AO389" s="152" t="s">
        <v>631</v>
      </c>
      <c r="AP389" s="152" t="s">
        <v>697</v>
      </c>
      <c r="AQ389" s="152" t="s">
        <v>703</v>
      </c>
      <c r="AS389" s="152" t="s">
        <v>696</v>
      </c>
      <c r="AT389" s="152" t="s">
        <v>702</v>
      </c>
      <c r="AU389" s="152">
        <v>2019</v>
      </c>
      <c r="AV389" s="339">
        <v>5615</v>
      </c>
      <c r="AW389" s="339">
        <v>1916117</v>
      </c>
      <c r="AX389" s="152">
        <v>3</v>
      </c>
      <c r="AY389" s="152">
        <v>-1</v>
      </c>
      <c r="AZ389" s="152">
        <v>75</v>
      </c>
      <c r="BA389" s="152">
        <v>0.134540096</v>
      </c>
      <c r="BB389" s="152">
        <v>600</v>
      </c>
      <c r="BC389" s="152">
        <v>90</v>
      </c>
      <c r="BD389" s="152">
        <v>5.9679998999999997</v>
      </c>
    </row>
    <row r="390" spans="1:56" x14ac:dyDescent="0.25">
      <c r="A390" s="152" t="s">
        <v>653</v>
      </c>
      <c r="B390" s="152">
        <v>43.666404999999997</v>
      </c>
      <c r="C390" s="152">
        <v>-97.198610000000002</v>
      </c>
      <c r="D390" s="152">
        <v>12</v>
      </c>
      <c r="E390" s="152" t="s">
        <v>697</v>
      </c>
      <c r="F390" s="152">
        <v>2016</v>
      </c>
      <c r="G390" s="340">
        <v>42537.138888888891</v>
      </c>
      <c r="H390" s="152" t="s">
        <v>637</v>
      </c>
      <c r="I390" s="152" t="s">
        <v>696</v>
      </c>
      <c r="J390" s="152" t="s">
        <v>697</v>
      </c>
      <c r="L390" s="152" t="s">
        <v>649</v>
      </c>
      <c r="M390" s="152" t="s">
        <v>668</v>
      </c>
      <c r="N390" s="152" t="s">
        <v>637</v>
      </c>
      <c r="O390" s="152" t="s">
        <v>647</v>
      </c>
      <c r="P390" s="152" t="s">
        <v>696</v>
      </c>
      <c r="Q390" s="152" t="s">
        <v>637</v>
      </c>
      <c r="R390" s="152" t="s">
        <v>701</v>
      </c>
      <c r="S390" s="152" t="s">
        <v>637</v>
      </c>
      <c r="T390" s="152" t="s">
        <v>701</v>
      </c>
      <c r="U390" s="152" t="s">
        <v>644</v>
      </c>
      <c r="V390" s="152" t="s">
        <v>199</v>
      </c>
      <c r="W390" s="152" t="s">
        <v>643</v>
      </c>
      <c r="Y390" s="152" t="s">
        <v>637</v>
      </c>
      <c r="Z390" s="152" t="s">
        <v>642</v>
      </c>
      <c r="AA390" s="152" t="s">
        <v>665</v>
      </c>
      <c r="AB390" s="152" t="s">
        <v>640</v>
      </c>
      <c r="AC390" s="152" t="s">
        <v>701</v>
      </c>
      <c r="AD390" s="152" t="s">
        <v>771</v>
      </c>
      <c r="AE390" s="152" t="s">
        <v>637</v>
      </c>
      <c r="AF390" s="152" t="s">
        <v>637</v>
      </c>
      <c r="AG390" s="152" t="s">
        <v>637</v>
      </c>
      <c r="AH390" s="152" t="s">
        <v>664</v>
      </c>
      <c r="AI390" s="152" t="s">
        <v>699</v>
      </c>
      <c r="AJ390" s="152" t="s">
        <v>696</v>
      </c>
      <c r="AL390" s="152" t="s">
        <v>637</v>
      </c>
      <c r="AM390" s="152" t="s">
        <v>894</v>
      </c>
      <c r="AO390" s="152" t="s">
        <v>631</v>
      </c>
      <c r="AP390" s="152" t="s">
        <v>697</v>
      </c>
      <c r="AQ390" s="152" t="s">
        <v>630</v>
      </c>
      <c r="AS390" s="152" t="s">
        <v>696</v>
      </c>
      <c r="AT390" s="152" t="s">
        <v>702</v>
      </c>
      <c r="AU390" s="152">
        <v>2016</v>
      </c>
      <c r="AV390" s="339">
        <v>5615</v>
      </c>
      <c r="AW390" s="339">
        <v>1607865</v>
      </c>
      <c r="AX390" s="152">
        <v>16</v>
      </c>
      <c r="AY390" s="152">
        <v>-1</v>
      </c>
      <c r="AZ390" s="152">
        <v>75</v>
      </c>
      <c r="BA390" s="152">
        <v>9.6259580999999997E-2</v>
      </c>
      <c r="BB390" s="152">
        <v>86</v>
      </c>
      <c r="BC390" s="152">
        <v>90</v>
      </c>
      <c r="BD390" s="152">
        <v>5.9679998999999997</v>
      </c>
    </row>
    <row r="391" spans="1:56" x14ac:dyDescent="0.25">
      <c r="A391" s="152" t="s">
        <v>653</v>
      </c>
      <c r="B391" s="152">
        <v>43.666415000000001</v>
      </c>
      <c r="C391" s="152">
        <v>-97.255656999999999</v>
      </c>
      <c r="D391" s="152">
        <v>12</v>
      </c>
      <c r="E391" s="152" t="s">
        <v>652</v>
      </c>
      <c r="F391" s="152">
        <v>2018</v>
      </c>
      <c r="G391" s="340">
        <v>43198.55</v>
      </c>
      <c r="H391" s="152" t="s">
        <v>637</v>
      </c>
      <c r="I391" s="152" t="s">
        <v>669</v>
      </c>
      <c r="J391" s="152" t="s">
        <v>650</v>
      </c>
      <c r="L391" s="152" t="s">
        <v>649</v>
      </c>
      <c r="M391" s="152" t="s">
        <v>712</v>
      </c>
      <c r="N391" s="152" t="s">
        <v>637</v>
      </c>
      <c r="O391" s="152" t="s">
        <v>647</v>
      </c>
      <c r="P391" s="152" t="s">
        <v>646</v>
      </c>
      <c r="Q391" s="152" t="s">
        <v>637</v>
      </c>
      <c r="R391" s="152" t="s">
        <v>683</v>
      </c>
      <c r="S391" s="152" t="s">
        <v>637</v>
      </c>
      <c r="T391" s="152" t="s">
        <v>682</v>
      </c>
      <c r="U391" s="152" t="s">
        <v>644</v>
      </c>
      <c r="V391" s="152" t="s">
        <v>199</v>
      </c>
      <c r="W391" s="152" t="s">
        <v>643</v>
      </c>
      <c r="Y391" s="152" t="s">
        <v>637</v>
      </c>
      <c r="Z391" s="152" t="s">
        <v>642</v>
      </c>
      <c r="AA391" s="152" t="s">
        <v>641</v>
      </c>
      <c r="AB391" s="152" t="s">
        <v>640</v>
      </c>
      <c r="AC391" s="152" t="s">
        <v>682</v>
      </c>
      <c r="AD391" s="152" t="s">
        <v>787</v>
      </c>
      <c r="AE391" s="152" t="s">
        <v>637</v>
      </c>
      <c r="AF391" s="152" t="s">
        <v>637</v>
      </c>
      <c r="AG391" s="152" t="s">
        <v>637</v>
      </c>
      <c r="AH391" s="152" t="s">
        <v>636</v>
      </c>
      <c r="AI391" s="152" t="s">
        <v>655</v>
      </c>
      <c r="AJ391" s="152" t="s">
        <v>635</v>
      </c>
      <c r="AK391" s="152" t="s">
        <v>634</v>
      </c>
      <c r="AL391" s="152" t="s">
        <v>633</v>
      </c>
      <c r="AM391" s="152" t="s">
        <v>893</v>
      </c>
      <c r="AO391" s="152" t="s">
        <v>631</v>
      </c>
      <c r="AP391" s="152" t="s">
        <v>628</v>
      </c>
      <c r="AQ391" s="152" t="s">
        <v>630</v>
      </c>
      <c r="AR391" s="152" t="s">
        <v>629</v>
      </c>
      <c r="AS391" s="152" t="s">
        <v>628</v>
      </c>
      <c r="AT391" s="152" t="s">
        <v>670</v>
      </c>
      <c r="AU391" s="152">
        <v>2018</v>
      </c>
      <c r="AV391" s="339">
        <v>5615</v>
      </c>
      <c r="AW391" s="339">
        <v>1804313</v>
      </c>
      <c r="AX391" s="152">
        <v>8</v>
      </c>
      <c r="AY391" s="152">
        <v>0</v>
      </c>
      <c r="AZ391" s="152">
        <v>75</v>
      </c>
      <c r="BA391" s="152">
        <v>0.11697411000000001</v>
      </c>
      <c r="BB391" s="152">
        <v>363</v>
      </c>
      <c r="BC391" s="152">
        <v>90</v>
      </c>
      <c r="BD391" s="152">
        <v>5.9679998999999997</v>
      </c>
    </row>
    <row r="392" spans="1:56" x14ac:dyDescent="0.25">
      <c r="A392" s="152" t="s">
        <v>653</v>
      </c>
      <c r="B392" s="152">
        <v>43.666446000000001</v>
      </c>
      <c r="C392" s="152">
        <v>-97.259140000000002</v>
      </c>
      <c r="D392" s="152">
        <v>12</v>
      </c>
      <c r="E392" s="152" t="s">
        <v>652</v>
      </c>
      <c r="F392" s="152">
        <v>2018</v>
      </c>
      <c r="G392" s="340">
        <v>43166.555555555555</v>
      </c>
      <c r="H392" s="152" t="s">
        <v>637</v>
      </c>
      <c r="I392" s="152" t="s">
        <v>669</v>
      </c>
      <c r="J392" s="152" t="s">
        <v>650</v>
      </c>
      <c r="L392" s="152" t="s">
        <v>649</v>
      </c>
      <c r="M392" s="152" t="s">
        <v>676</v>
      </c>
      <c r="N392" s="152" t="s">
        <v>637</v>
      </c>
      <c r="O392" s="152" t="s">
        <v>647</v>
      </c>
      <c r="P392" s="152" t="s">
        <v>628</v>
      </c>
      <c r="Q392" s="152" t="s">
        <v>637</v>
      </c>
      <c r="R392" s="152" t="s">
        <v>892</v>
      </c>
      <c r="S392" s="152" t="s">
        <v>637</v>
      </c>
      <c r="T392" s="152" t="s">
        <v>777</v>
      </c>
      <c r="U392" s="152" t="s">
        <v>644</v>
      </c>
      <c r="V392" s="152" t="s">
        <v>199</v>
      </c>
      <c r="W392" s="152" t="s">
        <v>643</v>
      </c>
      <c r="Y392" s="152" t="s">
        <v>637</v>
      </c>
      <c r="Z392" s="152" t="s">
        <v>642</v>
      </c>
      <c r="AA392" s="152" t="s">
        <v>641</v>
      </c>
      <c r="AB392" s="152" t="s">
        <v>640</v>
      </c>
      <c r="AC392" s="152" t="s">
        <v>777</v>
      </c>
      <c r="AD392" s="152" t="s">
        <v>691</v>
      </c>
      <c r="AE392" s="152" t="s">
        <v>637</v>
      </c>
      <c r="AF392" s="152" t="s">
        <v>637</v>
      </c>
      <c r="AG392" s="152" t="s">
        <v>637</v>
      </c>
      <c r="AH392" s="152" t="s">
        <v>808</v>
      </c>
      <c r="AI392" s="152" t="s">
        <v>655</v>
      </c>
      <c r="AJ392" s="152" t="s">
        <v>635</v>
      </c>
      <c r="AK392" s="152" t="s">
        <v>634</v>
      </c>
      <c r="AL392" s="152" t="s">
        <v>637</v>
      </c>
      <c r="AM392" s="152" t="s">
        <v>891</v>
      </c>
      <c r="AO392" s="152" t="s">
        <v>631</v>
      </c>
      <c r="AP392" s="152" t="s">
        <v>628</v>
      </c>
      <c r="AQ392" s="152" t="s">
        <v>630</v>
      </c>
      <c r="AR392" s="152" t="s">
        <v>629</v>
      </c>
      <c r="AS392" s="152" t="s">
        <v>678</v>
      </c>
      <c r="AT392" s="152" t="s">
        <v>670</v>
      </c>
      <c r="AU392" s="152">
        <v>2018</v>
      </c>
      <c r="AV392" s="339">
        <v>5615</v>
      </c>
      <c r="AW392" s="339">
        <v>1803154</v>
      </c>
      <c r="AX392" s="152">
        <v>7</v>
      </c>
      <c r="AY392" s="152">
        <v>0</v>
      </c>
      <c r="AZ392" s="152">
        <v>75</v>
      </c>
      <c r="BA392" s="152">
        <v>0.106569675</v>
      </c>
      <c r="BB392" s="152">
        <v>346</v>
      </c>
      <c r="BC392" s="152">
        <v>90</v>
      </c>
      <c r="BD392" s="152">
        <v>5.9679998999999997</v>
      </c>
    </row>
    <row r="393" spans="1:56" x14ac:dyDescent="0.25">
      <c r="A393" s="152" t="s">
        <v>653</v>
      </c>
      <c r="B393" s="152">
        <v>43.666446999999998</v>
      </c>
      <c r="C393" s="152">
        <v>-97.193849</v>
      </c>
      <c r="D393" s="152">
        <v>12</v>
      </c>
      <c r="E393" s="152" t="s">
        <v>697</v>
      </c>
      <c r="F393" s="152">
        <v>2016</v>
      </c>
      <c r="G393" s="340">
        <v>42683.489583333336</v>
      </c>
      <c r="H393" s="152" t="s">
        <v>637</v>
      </c>
      <c r="I393" s="152" t="s">
        <v>696</v>
      </c>
      <c r="J393" s="152" t="s">
        <v>697</v>
      </c>
      <c r="L393" s="152" t="s">
        <v>649</v>
      </c>
      <c r="M393" s="152" t="s">
        <v>676</v>
      </c>
      <c r="N393" s="152" t="s">
        <v>637</v>
      </c>
      <c r="O393" s="152" t="s">
        <v>647</v>
      </c>
      <c r="P393" s="152" t="s">
        <v>696</v>
      </c>
      <c r="Q393" s="152" t="s">
        <v>637</v>
      </c>
      <c r="R393" s="152" t="s">
        <v>701</v>
      </c>
      <c r="S393" s="152" t="s">
        <v>637</v>
      </c>
      <c r="T393" s="152" t="s">
        <v>701</v>
      </c>
      <c r="U393" s="152" t="s">
        <v>644</v>
      </c>
      <c r="V393" s="152" t="s">
        <v>199</v>
      </c>
      <c r="W393" s="152" t="s">
        <v>643</v>
      </c>
      <c r="Y393" s="152" t="s">
        <v>637</v>
      </c>
      <c r="Z393" s="152" t="s">
        <v>642</v>
      </c>
      <c r="AA393" s="152" t="s">
        <v>641</v>
      </c>
      <c r="AB393" s="152" t="s">
        <v>640</v>
      </c>
      <c r="AC393" s="152" t="s">
        <v>701</v>
      </c>
      <c r="AD393" s="152" t="s">
        <v>673</v>
      </c>
      <c r="AE393" s="152" t="s">
        <v>637</v>
      </c>
      <c r="AF393" s="152" t="s">
        <v>637</v>
      </c>
      <c r="AG393" s="152" t="s">
        <v>637</v>
      </c>
      <c r="AH393" s="152" t="s">
        <v>664</v>
      </c>
      <c r="AI393" s="152" t="s">
        <v>699</v>
      </c>
      <c r="AJ393" s="152" t="s">
        <v>696</v>
      </c>
      <c r="AL393" s="152" t="s">
        <v>637</v>
      </c>
      <c r="AM393" s="152" t="s">
        <v>890</v>
      </c>
      <c r="AO393" s="152" t="s">
        <v>631</v>
      </c>
      <c r="AP393" s="152" t="s">
        <v>697</v>
      </c>
      <c r="AQ393" s="152" t="s">
        <v>630</v>
      </c>
      <c r="AS393" s="152" t="s">
        <v>696</v>
      </c>
      <c r="AT393" s="152" t="s">
        <v>702</v>
      </c>
      <c r="AU393" s="152">
        <v>2016</v>
      </c>
      <c r="AV393" s="339">
        <v>5615</v>
      </c>
      <c r="AW393" s="339">
        <v>1614359</v>
      </c>
      <c r="AX393" s="152">
        <v>9</v>
      </c>
      <c r="AY393" s="152">
        <v>-1</v>
      </c>
      <c r="AZ393" s="152">
        <v>75</v>
      </c>
      <c r="BA393" s="152">
        <v>0.79221270200000005</v>
      </c>
      <c r="BB393" s="152">
        <v>128</v>
      </c>
      <c r="BC393" s="152">
        <v>90</v>
      </c>
      <c r="BD393" s="152">
        <v>5.9679998999999997</v>
      </c>
    </row>
    <row r="394" spans="1:56" x14ac:dyDescent="0.25">
      <c r="A394" s="152" t="s">
        <v>653</v>
      </c>
      <c r="B394" s="152">
        <v>43.666477</v>
      </c>
      <c r="C394" s="152">
        <v>-97.189573999999993</v>
      </c>
      <c r="D394" s="152">
        <v>12</v>
      </c>
      <c r="E394" s="152" t="s">
        <v>697</v>
      </c>
      <c r="F394" s="152">
        <v>2017</v>
      </c>
      <c r="G394" s="340">
        <v>43069.944444444445</v>
      </c>
      <c r="H394" s="152" t="s">
        <v>637</v>
      </c>
      <c r="I394" s="152" t="s">
        <v>696</v>
      </c>
      <c r="J394" s="152" t="s">
        <v>697</v>
      </c>
      <c r="L394" s="152" t="s">
        <v>649</v>
      </c>
      <c r="M394" s="152" t="s">
        <v>668</v>
      </c>
      <c r="N394" s="152" t="s">
        <v>637</v>
      </c>
      <c r="O394" s="152" t="s">
        <v>647</v>
      </c>
      <c r="P394" s="152" t="s">
        <v>696</v>
      </c>
      <c r="Q394" s="152" t="s">
        <v>637</v>
      </c>
      <c r="R394" s="152" t="s">
        <v>701</v>
      </c>
      <c r="S394" s="152" t="s">
        <v>637</v>
      </c>
      <c r="T394" s="152" t="s">
        <v>701</v>
      </c>
      <c r="U394" s="152" t="s">
        <v>644</v>
      </c>
      <c r="V394" s="152" t="s">
        <v>199</v>
      </c>
      <c r="W394" s="152" t="s">
        <v>643</v>
      </c>
      <c r="Y394" s="152" t="s">
        <v>637</v>
      </c>
      <c r="Z394" s="152" t="s">
        <v>642</v>
      </c>
      <c r="AA394" s="152" t="s">
        <v>665</v>
      </c>
      <c r="AB394" s="152" t="s">
        <v>640</v>
      </c>
      <c r="AC394" s="152" t="s">
        <v>701</v>
      </c>
      <c r="AD394" s="152" t="s">
        <v>673</v>
      </c>
      <c r="AE394" s="152" t="s">
        <v>637</v>
      </c>
      <c r="AF394" s="152" t="s">
        <v>637</v>
      </c>
      <c r="AG394" s="152" t="s">
        <v>637</v>
      </c>
      <c r="AH394" s="152" t="s">
        <v>664</v>
      </c>
      <c r="AI394" s="152" t="s">
        <v>699</v>
      </c>
      <c r="AJ394" s="152" t="s">
        <v>696</v>
      </c>
      <c r="AL394" s="152" t="s">
        <v>637</v>
      </c>
      <c r="AM394" s="152" t="s">
        <v>889</v>
      </c>
      <c r="AO394" s="152" t="s">
        <v>631</v>
      </c>
      <c r="AP394" s="152" t="s">
        <v>697</v>
      </c>
      <c r="AQ394" s="152" t="s">
        <v>630</v>
      </c>
      <c r="AS394" s="152" t="s">
        <v>696</v>
      </c>
      <c r="AT394" s="152" t="s">
        <v>702</v>
      </c>
      <c r="AU394" s="152">
        <v>2017</v>
      </c>
      <c r="AV394" s="339">
        <v>5615</v>
      </c>
      <c r="AW394" s="339">
        <v>1716460</v>
      </c>
      <c r="AX394" s="152">
        <v>30</v>
      </c>
      <c r="AY394" s="152">
        <v>-1</v>
      </c>
      <c r="AZ394" s="152">
        <v>75</v>
      </c>
      <c r="BA394" s="152">
        <v>0.53689781299999995</v>
      </c>
      <c r="BB394" s="152">
        <v>308</v>
      </c>
      <c r="BC394" s="152">
        <v>90</v>
      </c>
      <c r="BD394" s="152">
        <v>5.9679998999999997</v>
      </c>
    </row>
    <row r="395" spans="1:56" x14ac:dyDescent="0.25">
      <c r="A395" s="152" t="s">
        <v>653</v>
      </c>
      <c r="B395" s="152">
        <v>43.666480999999997</v>
      </c>
      <c r="C395" s="152">
        <v>-97.189367000000004</v>
      </c>
      <c r="D395" s="152">
        <v>12</v>
      </c>
      <c r="E395" s="152" t="s">
        <v>652</v>
      </c>
      <c r="F395" s="152">
        <v>2018</v>
      </c>
      <c r="G395" s="340">
        <v>43118.951388888891</v>
      </c>
      <c r="H395" s="152" t="s">
        <v>637</v>
      </c>
      <c r="I395" s="152" t="s">
        <v>669</v>
      </c>
      <c r="J395" s="152" t="s">
        <v>660</v>
      </c>
      <c r="K395" s="152" t="s">
        <v>888</v>
      </c>
      <c r="L395" s="152" t="s">
        <v>649</v>
      </c>
      <c r="M395" s="152" t="s">
        <v>668</v>
      </c>
      <c r="N395" s="152" t="s">
        <v>637</v>
      </c>
      <c r="O395" s="152" t="s">
        <v>647</v>
      </c>
      <c r="P395" s="152" t="s">
        <v>887</v>
      </c>
      <c r="Q395" s="152" t="s">
        <v>637</v>
      </c>
      <c r="R395" s="152" t="s">
        <v>656</v>
      </c>
      <c r="S395" s="152" t="s">
        <v>637</v>
      </c>
      <c r="T395" s="152" t="s">
        <v>656</v>
      </c>
      <c r="U395" s="152" t="s">
        <v>644</v>
      </c>
      <c r="V395" s="152" t="s">
        <v>199</v>
      </c>
      <c r="W395" s="152" t="s">
        <v>643</v>
      </c>
      <c r="Y395" s="152" t="s">
        <v>637</v>
      </c>
      <c r="Z395" s="152" t="s">
        <v>642</v>
      </c>
      <c r="AA395" s="152" t="s">
        <v>665</v>
      </c>
      <c r="AB395" s="152" t="s">
        <v>740</v>
      </c>
      <c r="AC395" s="152" t="s">
        <v>656</v>
      </c>
      <c r="AD395" s="152" t="s">
        <v>638</v>
      </c>
      <c r="AE395" s="152" t="s">
        <v>637</v>
      </c>
      <c r="AF395" s="152" t="s">
        <v>637</v>
      </c>
      <c r="AG395" s="152" t="s">
        <v>637</v>
      </c>
      <c r="AH395" s="152" t="s">
        <v>664</v>
      </c>
      <c r="AI395" s="152" t="s">
        <v>628</v>
      </c>
      <c r="AJ395" s="152" t="s">
        <v>635</v>
      </c>
      <c r="AK395" s="152" t="s">
        <v>634</v>
      </c>
      <c r="AL395" s="152" t="s">
        <v>637</v>
      </c>
      <c r="AM395" s="152" t="s">
        <v>886</v>
      </c>
      <c r="AO395" s="152" t="s">
        <v>631</v>
      </c>
      <c r="AP395" s="152" t="s">
        <v>885</v>
      </c>
      <c r="AQ395" s="152" t="s">
        <v>630</v>
      </c>
      <c r="AR395" s="152" t="s">
        <v>629</v>
      </c>
      <c r="AS395" s="152" t="s">
        <v>884</v>
      </c>
      <c r="AT395" s="152" t="s">
        <v>702</v>
      </c>
      <c r="AU395" s="152">
        <v>2018</v>
      </c>
      <c r="AV395" s="339">
        <v>5615</v>
      </c>
      <c r="AW395" s="339">
        <v>1800824</v>
      </c>
      <c r="AX395" s="152">
        <v>18</v>
      </c>
      <c r="AY395" s="152">
        <v>0</v>
      </c>
      <c r="AZ395" s="152">
        <v>75</v>
      </c>
      <c r="BA395" s="152">
        <v>0.32892877700000001</v>
      </c>
      <c r="BB395" s="152">
        <v>331</v>
      </c>
      <c r="BC395" s="152">
        <v>90</v>
      </c>
      <c r="BD395" s="152">
        <v>5.9679998999999997</v>
      </c>
    </row>
    <row r="396" spans="1:56" x14ac:dyDescent="0.25">
      <c r="A396" s="152" t="s">
        <v>653</v>
      </c>
      <c r="B396" s="152">
        <v>43.666542</v>
      </c>
      <c r="C396" s="152">
        <v>-97.269101000000006</v>
      </c>
      <c r="D396" s="152">
        <v>12</v>
      </c>
      <c r="E396" s="152" t="s">
        <v>697</v>
      </c>
      <c r="F396" s="152">
        <v>2016</v>
      </c>
      <c r="G396" s="340">
        <v>42665.895833333336</v>
      </c>
      <c r="H396" s="152" t="s">
        <v>637</v>
      </c>
      <c r="I396" s="152" t="s">
        <v>696</v>
      </c>
      <c r="J396" s="152" t="s">
        <v>697</v>
      </c>
      <c r="L396" s="152" t="s">
        <v>649</v>
      </c>
      <c r="M396" s="152" t="s">
        <v>693</v>
      </c>
      <c r="N396" s="152" t="s">
        <v>637</v>
      </c>
      <c r="O396" s="152" t="s">
        <v>647</v>
      </c>
      <c r="P396" s="152" t="s">
        <v>696</v>
      </c>
      <c r="Q396" s="152" t="s">
        <v>637</v>
      </c>
      <c r="R396" s="152" t="s">
        <v>701</v>
      </c>
      <c r="S396" s="152" t="s">
        <v>637</v>
      </c>
      <c r="T396" s="152" t="s">
        <v>701</v>
      </c>
      <c r="U396" s="152" t="s">
        <v>644</v>
      </c>
      <c r="V396" s="152" t="s">
        <v>199</v>
      </c>
      <c r="W396" s="152" t="s">
        <v>643</v>
      </c>
      <c r="Y396" s="152" t="s">
        <v>637</v>
      </c>
      <c r="Z396" s="152" t="s">
        <v>642</v>
      </c>
      <c r="AA396" s="152" t="s">
        <v>665</v>
      </c>
      <c r="AB396" s="152" t="s">
        <v>640</v>
      </c>
      <c r="AC396" s="152" t="s">
        <v>701</v>
      </c>
      <c r="AD396" s="152" t="s">
        <v>700</v>
      </c>
      <c r="AE396" s="152" t="s">
        <v>637</v>
      </c>
      <c r="AF396" s="152" t="s">
        <v>637</v>
      </c>
      <c r="AG396" s="152" t="s">
        <v>637</v>
      </c>
      <c r="AH396" s="152" t="s">
        <v>664</v>
      </c>
      <c r="AI396" s="152" t="s">
        <v>699</v>
      </c>
      <c r="AJ396" s="152" t="s">
        <v>696</v>
      </c>
      <c r="AL396" s="152" t="s">
        <v>637</v>
      </c>
      <c r="AM396" s="152" t="s">
        <v>843</v>
      </c>
      <c r="AO396" s="152" t="s">
        <v>631</v>
      </c>
      <c r="AP396" s="152" t="s">
        <v>697</v>
      </c>
      <c r="AQ396" s="152" t="s">
        <v>671</v>
      </c>
      <c r="AS396" s="152" t="s">
        <v>696</v>
      </c>
      <c r="AT396" s="152" t="s">
        <v>702</v>
      </c>
      <c r="AU396" s="152">
        <v>2016</v>
      </c>
      <c r="AV396" s="339">
        <v>5615</v>
      </c>
      <c r="AW396" s="339">
        <v>1613156</v>
      </c>
      <c r="AX396" s="152">
        <v>22</v>
      </c>
      <c r="AY396" s="152">
        <v>-1</v>
      </c>
      <c r="AZ396" s="152">
        <v>75</v>
      </c>
      <c r="BA396" s="152">
        <v>7.6675758999999996E-2</v>
      </c>
      <c r="BB396" s="152">
        <v>115</v>
      </c>
      <c r="BC396" s="152">
        <v>90</v>
      </c>
      <c r="BD396" s="152">
        <v>5.9679998999999997</v>
      </c>
    </row>
    <row r="397" spans="1:56" x14ac:dyDescent="0.25">
      <c r="A397" s="152" t="s">
        <v>653</v>
      </c>
      <c r="B397" s="152">
        <v>43.666620999999999</v>
      </c>
      <c r="C397" s="152">
        <v>-97.279092000000006</v>
      </c>
      <c r="D397" s="152">
        <v>12</v>
      </c>
      <c r="E397" s="152" t="s">
        <v>697</v>
      </c>
      <c r="F397" s="152">
        <v>2016</v>
      </c>
      <c r="G397" s="340">
        <v>42715.947916666664</v>
      </c>
      <c r="H397" s="152" t="s">
        <v>637</v>
      </c>
      <c r="I397" s="152" t="s">
        <v>696</v>
      </c>
      <c r="J397" s="152" t="s">
        <v>697</v>
      </c>
      <c r="L397" s="152" t="s">
        <v>649</v>
      </c>
      <c r="M397" s="152" t="s">
        <v>712</v>
      </c>
      <c r="N397" s="152" t="s">
        <v>637</v>
      </c>
      <c r="O397" s="152" t="s">
        <v>647</v>
      </c>
      <c r="P397" s="152" t="s">
        <v>696</v>
      </c>
      <c r="Q397" s="152" t="s">
        <v>637</v>
      </c>
      <c r="R397" s="152" t="s">
        <v>701</v>
      </c>
      <c r="S397" s="152" t="s">
        <v>637</v>
      </c>
      <c r="T397" s="152" t="s">
        <v>701</v>
      </c>
      <c r="U397" s="152" t="s">
        <v>644</v>
      </c>
      <c r="V397" s="152" t="s">
        <v>199</v>
      </c>
      <c r="W397" s="152" t="s">
        <v>643</v>
      </c>
      <c r="Y397" s="152" t="s">
        <v>637</v>
      </c>
      <c r="Z397" s="152" t="s">
        <v>642</v>
      </c>
      <c r="AA397" s="152" t="s">
        <v>665</v>
      </c>
      <c r="AB397" s="152" t="s">
        <v>640</v>
      </c>
      <c r="AC397" s="152" t="s">
        <v>701</v>
      </c>
      <c r="AD397" s="152" t="s">
        <v>681</v>
      </c>
      <c r="AE397" s="152" t="s">
        <v>637</v>
      </c>
      <c r="AF397" s="152" t="s">
        <v>637</v>
      </c>
      <c r="AG397" s="152" t="s">
        <v>637</v>
      </c>
      <c r="AH397" s="152" t="s">
        <v>664</v>
      </c>
      <c r="AI397" s="152" t="s">
        <v>699</v>
      </c>
      <c r="AJ397" s="152" t="s">
        <v>696</v>
      </c>
      <c r="AL397" s="152" t="s">
        <v>637</v>
      </c>
      <c r="AM397" s="152" t="s">
        <v>872</v>
      </c>
      <c r="AO397" s="152" t="s">
        <v>631</v>
      </c>
      <c r="AP397" s="152" t="s">
        <v>697</v>
      </c>
      <c r="AQ397" s="152" t="s">
        <v>630</v>
      </c>
      <c r="AS397" s="152" t="s">
        <v>696</v>
      </c>
      <c r="AT397" s="152" t="s">
        <v>702</v>
      </c>
      <c r="AU397" s="152">
        <v>2016</v>
      </c>
      <c r="AV397" s="339">
        <v>5615</v>
      </c>
      <c r="AW397" s="339">
        <v>1616482</v>
      </c>
      <c r="AX397" s="152">
        <v>11</v>
      </c>
      <c r="AY397" s="152">
        <v>-1</v>
      </c>
      <c r="AZ397" s="152">
        <v>75</v>
      </c>
      <c r="BA397" s="152">
        <v>8.7297153000000002E-2</v>
      </c>
      <c r="BB397" s="152">
        <v>167</v>
      </c>
      <c r="BC397" s="152">
        <v>90</v>
      </c>
      <c r="BD397" s="152">
        <v>5.9679998999999997</v>
      </c>
    </row>
    <row r="398" spans="1:56" x14ac:dyDescent="0.25">
      <c r="A398" s="152" t="s">
        <v>653</v>
      </c>
      <c r="B398" s="152">
        <v>43.666690000000003</v>
      </c>
      <c r="C398" s="152">
        <v>-97.287423000000004</v>
      </c>
      <c r="D398" s="152">
        <v>12</v>
      </c>
      <c r="E398" s="152" t="s">
        <v>697</v>
      </c>
      <c r="F398" s="152">
        <v>2019</v>
      </c>
      <c r="G398" s="340">
        <v>43621.479166666664</v>
      </c>
      <c r="H398" s="152" t="s">
        <v>637</v>
      </c>
      <c r="I398" s="152" t="s">
        <v>696</v>
      </c>
      <c r="J398" s="152" t="s">
        <v>697</v>
      </c>
      <c r="L398" s="152" t="s">
        <v>649</v>
      </c>
      <c r="M398" s="152" t="s">
        <v>676</v>
      </c>
      <c r="N398" s="152" t="s">
        <v>637</v>
      </c>
      <c r="O398" s="152" t="s">
        <v>647</v>
      </c>
      <c r="P398" s="152" t="s">
        <v>696</v>
      </c>
      <c r="Q398" s="152" t="s">
        <v>637</v>
      </c>
      <c r="R398" s="152" t="s">
        <v>701</v>
      </c>
      <c r="S398" s="152" t="s">
        <v>637</v>
      </c>
      <c r="T398" s="152" t="s">
        <v>701</v>
      </c>
      <c r="U398" s="152" t="s">
        <v>644</v>
      </c>
      <c r="V398" s="152" t="s">
        <v>199</v>
      </c>
      <c r="W398" s="152" t="s">
        <v>643</v>
      </c>
      <c r="Y398" s="152" t="s">
        <v>637</v>
      </c>
      <c r="Z398" s="152" t="s">
        <v>696</v>
      </c>
      <c r="AA398" s="152" t="s">
        <v>641</v>
      </c>
      <c r="AB398" s="152" t="s">
        <v>640</v>
      </c>
      <c r="AC398" s="152" t="s">
        <v>701</v>
      </c>
      <c r="AD398" s="152" t="s">
        <v>771</v>
      </c>
      <c r="AE398" s="152" t="s">
        <v>637</v>
      </c>
      <c r="AF398" s="152" t="s">
        <v>637</v>
      </c>
      <c r="AG398" s="152" t="s">
        <v>637</v>
      </c>
      <c r="AH398" s="152" t="s">
        <v>664</v>
      </c>
      <c r="AI398" s="152" t="s">
        <v>699</v>
      </c>
      <c r="AJ398" s="152" t="s">
        <v>696</v>
      </c>
      <c r="AL398" s="152" t="s">
        <v>637</v>
      </c>
      <c r="AM398" s="152" t="s">
        <v>807</v>
      </c>
      <c r="AO398" s="152" t="s">
        <v>631</v>
      </c>
      <c r="AP398" s="152" t="s">
        <v>697</v>
      </c>
      <c r="AQ398" s="152" t="s">
        <v>671</v>
      </c>
      <c r="AS398" s="152" t="s">
        <v>696</v>
      </c>
      <c r="AT398" s="152" t="s">
        <v>702</v>
      </c>
      <c r="AU398" s="152">
        <v>2019</v>
      </c>
      <c r="AV398" s="339">
        <v>5615</v>
      </c>
      <c r="AW398" s="339">
        <v>1906452</v>
      </c>
      <c r="AX398" s="152">
        <v>5</v>
      </c>
      <c r="AY398" s="152">
        <v>-1</v>
      </c>
      <c r="AZ398" s="152">
        <v>75</v>
      </c>
      <c r="BA398" s="152">
        <v>4.6701865000000002E-2</v>
      </c>
      <c r="BB398" s="152">
        <v>554</v>
      </c>
      <c r="BC398" s="152">
        <v>90</v>
      </c>
      <c r="BD398" s="152">
        <v>5.9679998999999997</v>
      </c>
    </row>
    <row r="399" spans="1:56" x14ac:dyDescent="0.25">
      <c r="A399" s="152" t="s">
        <v>653</v>
      </c>
      <c r="B399" s="152">
        <v>43.666694</v>
      </c>
      <c r="C399" s="152">
        <v>-97.287859999999995</v>
      </c>
      <c r="D399" s="152">
        <v>12</v>
      </c>
      <c r="E399" s="152" t="s">
        <v>821</v>
      </c>
      <c r="F399" s="152">
        <v>2017</v>
      </c>
      <c r="G399" s="340">
        <v>42795.28125</v>
      </c>
      <c r="H399" s="152" t="s">
        <v>637</v>
      </c>
      <c r="I399" s="152" t="s">
        <v>669</v>
      </c>
      <c r="J399" s="152" t="s">
        <v>879</v>
      </c>
      <c r="L399" s="152" t="s">
        <v>649</v>
      </c>
      <c r="M399" s="152" t="s">
        <v>676</v>
      </c>
      <c r="N399" s="152" t="s">
        <v>637</v>
      </c>
      <c r="O399" s="152" t="s">
        <v>647</v>
      </c>
      <c r="P399" s="152" t="s">
        <v>628</v>
      </c>
      <c r="Q399" s="152" t="s">
        <v>637</v>
      </c>
      <c r="R399" s="152" t="s">
        <v>709</v>
      </c>
      <c r="S399" s="152" t="s">
        <v>637</v>
      </c>
      <c r="T399" s="152" t="s">
        <v>708</v>
      </c>
      <c r="U399" s="152" t="s">
        <v>644</v>
      </c>
      <c r="V399" s="152" t="s">
        <v>199</v>
      </c>
      <c r="W399" s="152" t="s">
        <v>643</v>
      </c>
      <c r="Y399" s="152" t="s">
        <v>637</v>
      </c>
      <c r="Z399" s="152" t="s">
        <v>642</v>
      </c>
      <c r="AA399" s="152" t="s">
        <v>782</v>
      </c>
      <c r="AB399" s="152" t="s">
        <v>640</v>
      </c>
      <c r="AC399" s="152" t="s">
        <v>708</v>
      </c>
      <c r="AD399" s="152" t="s">
        <v>691</v>
      </c>
      <c r="AE399" s="152" t="s">
        <v>637</v>
      </c>
      <c r="AF399" s="152" t="s">
        <v>637</v>
      </c>
      <c r="AG399" s="152" t="s">
        <v>637</v>
      </c>
      <c r="AH399" s="152" t="s">
        <v>636</v>
      </c>
      <c r="AI399" s="152" t="s">
        <v>628</v>
      </c>
      <c r="AJ399" s="152" t="s">
        <v>635</v>
      </c>
      <c r="AK399" s="152" t="s">
        <v>634</v>
      </c>
      <c r="AL399" s="152" t="s">
        <v>637</v>
      </c>
      <c r="AM399" s="152" t="s">
        <v>883</v>
      </c>
      <c r="AO399" s="152" t="s">
        <v>631</v>
      </c>
      <c r="AP399" s="152" t="s">
        <v>628</v>
      </c>
      <c r="AQ399" s="152" t="s">
        <v>882</v>
      </c>
      <c r="AR399" s="152" t="s">
        <v>629</v>
      </c>
      <c r="AS399" s="152" t="s">
        <v>628</v>
      </c>
      <c r="AT399" s="152" t="s">
        <v>702</v>
      </c>
      <c r="AU399" s="152">
        <v>2017</v>
      </c>
      <c r="AV399" s="339">
        <v>5615</v>
      </c>
      <c r="AW399" s="339">
        <v>1702587</v>
      </c>
      <c r="AX399" s="152">
        <v>1</v>
      </c>
      <c r="AY399" s="152">
        <v>0</v>
      </c>
      <c r="AZ399" s="152">
        <v>75</v>
      </c>
      <c r="BA399" s="152">
        <v>1.079745E-3</v>
      </c>
      <c r="BB399" s="152">
        <v>192</v>
      </c>
      <c r="BC399" s="152">
        <v>90</v>
      </c>
      <c r="BD399" s="152">
        <v>5.9679998999999997</v>
      </c>
    </row>
    <row r="400" spans="1:56" x14ac:dyDescent="0.25">
      <c r="A400" s="152" t="s">
        <v>653</v>
      </c>
      <c r="B400" s="152">
        <v>43.666696999999999</v>
      </c>
      <c r="C400" s="152">
        <v>-97.288234000000003</v>
      </c>
      <c r="D400" s="152">
        <v>12</v>
      </c>
      <c r="E400" s="152" t="s">
        <v>697</v>
      </c>
      <c r="F400" s="152">
        <v>2019</v>
      </c>
      <c r="G400" s="340">
        <v>43791.895833333336</v>
      </c>
      <c r="H400" s="152" t="s">
        <v>637</v>
      </c>
      <c r="I400" s="152" t="s">
        <v>696</v>
      </c>
      <c r="J400" s="152" t="s">
        <v>697</v>
      </c>
      <c r="L400" s="152" t="s">
        <v>649</v>
      </c>
      <c r="M400" s="152" t="s">
        <v>648</v>
      </c>
      <c r="N400" s="152" t="s">
        <v>637</v>
      </c>
      <c r="O400" s="152" t="s">
        <v>647</v>
      </c>
      <c r="P400" s="152" t="s">
        <v>696</v>
      </c>
      <c r="Q400" s="152" t="s">
        <v>637</v>
      </c>
      <c r="R400" s="152" t="s">
        <v>701</v>
      </c>
      <c r="S400" s="152" t="s">
        <v>637</v>
      </c>
      <c r="T400" s="152" t="s">
        <v>701</v>
      </c>
      <c r="U400" s="152" t="s">
        <v>644</v>
      </c>
      <c r="V400" s="152" t="s">
        <v>199</v>
      </c>
      <c r="W400" s="152" t="s">
        <v>643</v>
      </c>
      <c r="Y400" s="152" t="s">
        <v>637</v>
      </c>
      <c r="Z400" s="152" t="s">
        <v>696</v>
      </c>
      <c r="AA400" s="152" t="s">
        <v>665</v>
      </c>
      <c r="AB400" s="152" t="s">
        <v>640</v>
      </c>
      <c r="AC400" s="152" t="s">
        <v>701</v>
      </c>
      <c r="AD400" s="152" t="s">
        <v>673</v>
      </c>
      <c r="AE400" s="152" t="s">
        <v>637</v>
      </c>
      <c r="AF400" s="152" t="s">
        <v>637</v>
      </c>
      <c r="AG400" s="152" t="s">
        <v>637</v>
      </c>
      <c r="AH400" s="152" t="s">
        <v>664</v>
      </c>
      <c r="AI400" s="152" t="s">
        <v>699</v>
      </c>
      <c r="AJ400" s="152" t="s">
        <v>696</v>
      </c>
      <c r="AL400" s="152" t="s">
        <v>637</v>
      </c>
      <c r="AM400" s="152" t="s">
        <v>843</v>
      </c>
      <c r="AO400" s="152" t="s">
        <v>631</v>
      </c>
      <c r="AP400" s="152" t="s">
        <v>697</v>
      </c>
      <c r="AQ400" s="152" t="s">
        <v>769</v>
      </c>
      <c r="AS400" s="152" t="s">
        <v>696</v>
      </c>
      <c r="AT400" s="152" t="s">
        <v>702</v>
      </c>
      <c r="AU400" s="152">
        <v>2019</v>
      </c>
      <c r="AV400" s="339">
        <v>5615</v>
      </c>
      <c r="AW400" s="339">
        <v>1917834</v>
      </c>
      <c r="AX400" s="152">
        <v>22</v>
      </c>
      <c r="AY400" s="152">
        <v>-1</v>
      </c>
      <c r="AZ400" s="152">
        <v>75</v>
      </c>
      <c r="BA400" s="152">
        <v>0.115841054</v>
      </c>
      <c r="BB400" s="152">
        <v>625</v>
      </c>
      <c r="BC400" s="152">
        <v>90</v>
      </c>
      <c r="BD400" s="152">
        <v>5.9679998999999997</v>
      </c>
    </row>
    <row r="401" spans="1:56" x14ac:dyDescent="0.25">
      <c r="A401" s="152" t="s">
        <v>653</v>
      </c>
      <c r="B401" s="152">
        <v>43.666707000000002</v>
      </c>
      <c r="C401" s="152">
        <v>-97.289343000000002</v>
      </c>
      <c r="D401" s="152">
        <v>12</v>
      </c>
      <c r="E401" s="152" t="s">
        <v>652</v>
      </c>
      <c r="F401" s="152">
        <v>2018</v>
      </c>
      <c r="G401" s="340">
        <v>43165.614583333336</v>
      </c>
      <c r="H401" s="152" t="s">
        <v>637</v>
      </c>
      <c r="I401" s="152" t="s">
        <v>669</v>
      </c>
      <c r="J401" s="152" t="s">
        <v>650</v>
      </c>
      <c r="L401" s="152" t="s">
        <v>649</v>
      </c>
      <c r="M401" s="152" t="s">
        <v>736</v>
      </c>
      <c r="N401" s="152" t="s">
        <v>637</v>
      </c>
      <c r="O401" s="152" t="s">
        <v>647</v>
      </c>
      <c r="P401" s="152" t="s">
        <v>646</v>
      </c>
      <c r="Q401" s="152" t="s">
        <v>637</v>
      </c>
      <c r="R401" s="152" t="s">
        <v>881</v>
      </c>
      <c r="S401" s="152" t="s">
        <v>637</v>
      </c>
      <c r="T401" s="152" t="s">
        <v>708</v>
      </c>
      <c r="U401" s="152" t="s">
        <v>644</v>
      </c>
      <c r="V401" s="152" t="s">
        <v>199</v>
      </c>
      <c r="W401" s="152" t="s">
        <v>643</v>
      </c>
      <c r="Y401" s="152" t="s">
        <v>637</v>
      </c>
      <c r="Z401" s="152" t="s">
        <v>642</v>
      </c>
      <c r="AA401" s="152" t="s">
        <v>641</v>
      </c>
      <c r="AB401" s="152" t="s">
        <v>640</v>
      </c>
      <c r="AC401" s="152" t="s">
        <v>708</v>
      </c>
      <c r="AD401" s="152" t="s">
        <v>691</v>
      </c>
      <c r="AE401" s="152" t="s">
        <v>637</v>
      </c>
      <c r="AF401" s="152" t="s">
        <v>637</v>
      </c>
      <c r="AG401" s="152" t="s">
        <v>637</v>
      </c>
      <c r="AH401" s="152" t="s">
        <v>677</v>
      </c>
      <c r="AI401" s="152" t="s">
        <v>655</v>
      </c>
      <c r="AJ401" s="152" t="s">
        <v>680</v>
      </c>
      <c r="AK401" s="152" t="s">
        <v>634</v>
      </c>
      <c r="AL401" s="152" t="s">
        <v>633</v>
      </c>
      <c r="AM401" s="152" t="s">
        <v>880</v>
      </c>
      <c r="AO401" s="152" t="s">
        <v>631</v>
      </c>
      <c r="AP401" s="152" t="s">
        <v>628</v>
      </c>
      <c r="AQ401" s="152" t="s">
        <v>703</v>
      </c>
      <c r="AR401" s="152" t="s">
        <v>629</v>
      </c>
      <c r="AS401" s="152" t="s">
        <v>678</v>
      </c>
      <c r="AT401" s="152" t="s">
        <v>854</v>
      </c>
      <c r="AU401" s="152">
        <v>2018</v>
      </c>
      <c r="AV401" s="339">
        <v>5615</v>
      </c>
      <c r="AW401" s="339">
        <v>1803402</v>
      </c>
      <c r="AX401" s="152">
        <v>6</v>
      </c>
      <c r="AY401" s="152">
        <v>0</v>
      </c>
      <c r="AZ401" s="152">
        <v>75</v>
      </c>
      <c r="BA401" s="152">
        <v>5.1227984999999997E-2</v>
      </c>
      <c r="BB401" s="152">
        <v>350</v>
      </c>
      <c r="BC401" s="152">
        <v>90</v>
      </c>
      <c r="BD401" s="152">
        <v>5.9679998999999997</v>
      </c>
    </row>
    <row r="402" spans="1:56" x14ac:dyDescent="0.25">
      <c r="A402" s="152" t="s">
        <v>653</v>
      </c>
      <c r="B402" s="152">
        <v>43.666708</v>
      </c>
      <c r="C402" s="152">
        <v>-97.289912999999999</v>
      </c>
      <c r="D402" s="152">
        <v>12</v>
      </c>
      <c r="E402" s="152" t="s">
        <v>746</v>
      </c>
      <c r="F402" s="152">
        <v>2018</v>
      </c>
      <c r="G402" s="340">
        <v>43327.118055555555</v>
      </c>
      <c r="H402" s="152" t="s">
        <v>637</v>
      </c>
      <c r="I402" s="152" t="s">
        <v>669</v>
      </c>
      <c r="J402" s="152" t="s">
        <v>879</v>
      </c>
      <c r="L402" s="152" t="s">
        <v>649</v>
      </c>
      <c r="M402" s="152" t="s">
        <v>676</v>
      </c>
      <c r="N402" s="152" t="s">
        <v>637</v>
      </c>
      <c r="O402" s="152" t="s">
        <v>647</v>
      </c>
      <c r="P402" s="152" t="s">
        <v>878</v>
      </c>
      <c r="Q402" s="152" t="s">
        <v>637</v>
      </c>
      <c r="R402" s="152" t="s">
        <v>709</v>
      </c>
      <c r="S402" s="152" t="s">
        <v>637</v>
      </c>
      <c r="T402" s="152" t="s">
        <v>708</v>
      </c>
      <c r="U402" s="152" t="s">
        <v>644</v>
      </c>
      <c r="V402" s="152" t="s">
        <v>199</v>
      </c>
      <c r="W402" s="152" t="s">
        <v>643</v>
      </c>
      <c r="Y402" s="152" t="s">
        <v>637</v>
      </c>
      <c r="Z402" s="152" t="s">
        <v>642</v>
      </c>
      <c r="AA402" s="152" t="s">
        <v>665</v>
      </c>
      <c r="AB402" s="152" t="s">
        <v>640</v>
      </c>
      <c r="AC402" s="152" t="s">
        <v>708</v>
      </c>
      <c r="AD402" s="152" t="s">
        <v>738</v>
      </c>
      <c r="AE402" s="152" t="s">
        <v>637</v>
      </c>
      <c r="AF402" s="152" t="s">
        <v>633</v>
      </c>
      <c r="AG402" s="152" t="s">
        <v>637</v>
      </c>
      <c r="AH402" s="152" t="s">
        <v>664</v>
      </c>
      <c r="AI402" s="152" t="s">
        <v>699</v>
      </c>
      <c r="AJ402" s="152" t="s">
        <v>635</v>
      </c>
      <c r="AK402" s="152" t="s">
        <v>634</v>
      </c>
      <c r="AL402" s="152" t="s">
        <v>637</v>
      </c>
      <c r="AM402" s="152" t="s">
        <v>877</v>
      </c>
      <c r="AO402" s="152" t="s">
        <v>631</v>
      </c>
      <c r="AP402" s="152" t="s">
        <v>628</v>
      </c>
      <c r="AQ402" s="152" t="s">
        <v>671</v>
      </c>
      <c r="AR402" s="152" t="s">
        <v>629</v>
      </c>
      <c r="AS402" s="152" t="s">
        <v>628</v>
      </c>
      <c r="AT402" s="152" t="s">
        <v>702</v>
      </c>
      <c r="AU402" s="152">
        <v>2018</v>
      </c>
      <c r="AV402" s="339">
        <v>5615</v>
      </c>
      <c r="AW402" s="339">
        <v>1810746</v>
      </c>
      <c r="AX402" s="152">
        <v>15</v>
      </c>
      <c r="AY402" s="152">
        <v>0</v>
      </c>
      <c r="AZ402" s="152">
        <v>75</v>
      </c>
      <c r="BA402" s="152">
        <v>1.6587026380000001</v>
      </c>
      <c r="BB402" s="152">
        <v>440</v>
      </c>
      <c r="BC402" s="152">
        <v>90</v>
      </c>
      <c r="BD402" s="152">
        <v>5.9679998999999997</v>
      </c>
    </row>
    <row r="403" spans="1:56" x14ac:dyDescent="0.25">
      <c r="A403" s="152" t="s">
        <v>653</v>
      </c>
      <c r="B403" s="152">
        <v>43.666739</v>
      </c>
      <c r="C403" s="152">
        <v>-97.306717000000006</v>
      </c>
      <c r="D403" s="152">
        <v>12</v>
      </c>
      <c r="E403" s="152" t="s">
        <v>652</v>
      </c>
      <c r="F403" s="152">
        <v>2017</v>
      </c>
      <c r="G403" s="340">
        <v>42737.864583333336</v>
      </c>
      <c r="H403" s="152" t="s">
        <v>637</v>
      </c>
      <c r="I403" s="152" t="s">
        <v>669</v>
      </c>
      <c r="J403" s="152" t="s">
        <v>650</v>
      </c>
      <c r="L403" s="152" t="s">
        <v>649</v>
      </c>
      <c r="M403" s="152" t="s">
        <v>685</v>
      </c>
      <c r="N403" s="152" t="s">
        <v>637</v>
      </c>
      <c r="O403" s="152" t="s">
        <v>647</v>
      </c>
      <c r="P403" s="152" t="s">
        <v>628</v>
      </c>
      <c r="Q403" s="152" t="s">
        <v>637</v>
      </c>
      <c r="R403" s="152" t="s">
        <v>830</v>
      </c>
      <c r="S403" s="152" t="s">
        <v>637</v>
      </c>
      <c r="T403" s="152" t="s">
        <v>723</v>
      </c>
      <c r="U403" s="152" t="s">
        <v>644</v>
      </c>
      <c r="V403" s="152" t="s">
        <v>199</v>
      </c>
      <c r="W403" s="152" t="s">
        <v>643</v>
      </c>
      <c r="Y403" s="152" t="s">
        <v>637</v>
      </c>
      <c r="Z403" s="152" t="s">
        <v>783</v>
      </c>
      <c r="AA403" s="152" t="s">
        <v>665</v>
      </c>
      <c r="AB403" s="152" t="s">
        <v>640</v>
      </c>
      <c r="AC403" s="152" t="s">
        <v>723</v>
      </c>
      <c r="AD403" s="152" t="s">
        <v>638</v>
      </c>
      <c r="AE403" s="152" t="s">
        <v>637</v>
      </c>
      <c r="AF403" s="152" t="s">
        <v>637</v>
      </c>
      <c r="AG403" s="152" t="s">
        <v>637</v>
      </c>
      <c r="AH403" s="152" t="s">
        <v>636</v>
      </c>
      <c r="AI403" s="152" t="s">
        <v>655</v>
      </c>
      <c r="AJ403" s="152" t="s">
        <v>635</v>
      </c>
      <c r="AK403" s="152" t="s">
        <v>634</v>
      </c>
      <c r="AL403" s="152" t="s">
        <v>637</v>
      </c>
      <c r="AM403" s="152" t="s">
        <v>868</v>
      </c>
      <c r="AO403" s="152" t="s">
        <v>631</v>
      </c>
      <c r="AP403" s="152" t="s">
        <v>628</v>
      </c>
      <c r="AQ403" s="152" t="s">
        <v>630</v>
      </c>
      <c r="AR403" s="152" t="s">
        <v>629</v>
      </c>
      <c r="AS403" s="152" t="s">
        <v>678</v>
      </c>
      <c r="AT403" s="152" t="s">
        <v>797</v>
      </c>
      <c r="AU403" s="152">
        <v>2017</v>
      </c>
      <c r="AV403" s="339">
        <v>5615</v>
      </c>
      <c r="AW403" s="339">
        <v>1700028</v>
      </c>
      <c r="AX403" s="152">
        <v>2</v>
      </c>
      <c r="AY403" s="152">
        <v>0</v>
      </c>
      <c r="AZ403" s="152">
        <v>75</v>
      </c>
      <c r="BA403" s="152">
        <v>0.11023303199999999</v>
      </c>
      <c r="BB403" s="152">
        <v>180</v>
      </c>
      <c r="BC403" s="152">
        <v>90</v>
      </c>
      <c r="BD403" s="152">
        <v>5.9679998999999997</v>
      </c>
    </row>
    <row r="404" spans="1:56" x14ac:dyDescent="0.25">
      <c r="A404" s="152" t="s">
        <v>653</v>
      </c>
      <c r="B404" s="152">
        <v>43.666744000000001</v>
      </c>
      <c r="C404" s="152">
        <v>-97.292794000000001</v>
      </c>
      <c r="D404" s="152">
        <v>12</v>
      </c>
      <c r="E404" s="152" t="s">
        <v>652</v>
      </c>
      <c r="F404" s="152">
        <v>2019</v>
      </c>
      <c r="G404" s="340">
        <v>43666.916666666664</v>
      </c>
      <c r="H404" s="152" t="s">
        <v>637</v>
      </c>
      <c r="I404" s="152" t="s">
        <v>669</v>
      </c>
      <c r="J404" s="152" t="s">
        <v>650</v>
      </c>
      <c r="L404" s="152" t="s">
        <v>649</v>
      </c>
      <c r="M404" s="152" t="s">
        <v>693</v>
      </c>
      <c r="N404" s="152" t="s">
        <v>637</v>
      </c>
      <c r="O404" s="152" t="s">
        <v>647</v>
      </c>
      <c r="P404" s="152" t="s">
        <v>628</v>
      </c>
      <c r="Q404" s="152" t="s">
        <v>637</v>
      </c>
      <c r="R404" s="152" t="s">
        <v>802</v>
      </c>
      <c r="S404" s="152" t="s">
        <v>637</v>
      </c>
      <c r="T404" s="152" t="s">
        <v>708</v>
      </c>
      <c r="U404" s="152" t="s">
        <v>644</v>
      </c>
      <c r="V404" s="152" t="s">
        <v>199</v>
      </c>
      <c r="W404" s="152" t="s">
        <v>643</v>
      </c>
      <c r="Y404" s="152" t="s">
        <v>637</v>
      </c>
      <c r="Z404" s="152" t="s">
        <v>642</v>
      </c>
      <c r="AA404" s="152" t="s">
        <v>665</v>
      </c>
      <c r="AB404" s="152" t="s">
        <v>640</v>
      </c>
      <c r="AC404" s="152" t="s">
        <v>708</v>
      </c>
      <c r="AD404" s="152" t="s">
        <v>805</v>
      </c>
      <c r="AE404" s="152" t="s">
        <v>637</v>
      </c>
      <c r="AF404" s="152" t="s">
        <v>637</v>
      </c>
      <c r="AG404" s="152" t="s">
        <v>637</v>
      </c>
      <c r="AH404" s="152" t="s">
        <v>664</v>
      </c>
      <c r="AI404" s="152" t="s">
        <v>628</v>
      </c>
      <c r="AJ404" s="152" t="s">
        <v>680</v>
      </c>
      <c r="AK404" s="152" t="s">
        <v>634</v>
      </c>
      <c r="AL404" s="152" t="s">
        <v>637</v>
      </c>
      <c r="AM404" s="152" t="s">
        <v>876</v>
      </c>
      <c r="AO404" s="152" t="s">
        <v>631</v>
      </c>
      <c r="AP404" s="152" t="s">
        <v>875</v>
      </c>
      <c r="AQ404" s="152" t="s">
        <v>630</v>
      </c>
      <c r="AR404" s="152" t="s">
        <v>629</v>
      </c>
      <c r="AS404" s="152" t="s">
        <v>628</v>
      </c>
      <c r="AT404" s="152" t="s">
        <v>702</v>
      </c>
      <c r="AU404" s="152">
        <v>2019</v>
      </c>
      <c r="AV404" s="339">
        <v>5615</v>
      </c>
      <c r="AW404" s="339">
        <v>1910083</v>
      </c>
      <c r="AX404" s="152">
        <v>20</v>
      </c>
      <c r="AY404" s="152">
        <v>0</v>
      </c>
      <c r="AZ404" s="152">
        <v>75</v>
      </c>
      <c r="BA404" s="152">
        <v>0.14036499499999999</v>
      </c>
      <c r="BB404" s="152">
        <v>574</v>
      </c>
      <c r="BC404" s="152">
        <v>90</v>
      </c>
      <c r="BD404" s="152">
        <v>5.9679998999999997</v>
      </c>
    </row>
    <row r="405" spans="1:56" x14ac:dyDescent="0.25">
      <c r="A405" s="152" t="s">
        <v>653</v>
      </c>
      <c r="B405" s="152">
        <v>43.666753999999997</v>
      </c>
      <c r="C405" s="152">
        <v>-97.293756000000002</v>
      </c>
      <c r="D405" s="152">
        <v>12</v>
      </c>
      <c r="E405" s="152" t="s">
        <v>652</v>
      </c>
      <c r="F405" s="152">
        <v>2020</v>
      </c>
      <c r="G405" s="340">
        <v>43843.506944444445</v>
      </c>
      <c r="H405" s="152" t="s">
        <v>637</v>
      </c>
      <c r="I405" s="152" t="s">
        <v>669</v>
      </c>
      <c r="J405" s="152" t="s">
        <v>694</v>
      </c>
      <c r="L405" s="152" t="s">
        <v>649</v>
      </c>
      <c r="M405" s="152" t="s">
        <v>685</v>
      </c>
      <c r="N405" s="152" t="s">
        <v>637</v>
      </c>
      <c r="O405" s="152" t="s">
        <v>647</v>
      </c>
      <c r="P405" s="152" t="s">
        <v>628</v>
      </c>
      <c r="Q405" s="152" t="s">
        <v>637</v>
      </c>
      <c r="R405" s="152" t="s">
        <v>874</v>
      </c>
      <c r="S405" s="152" t="s">
        <v>637</v>
      </c>
      <c r="T405" s="152" t="s">
        <v>687</v>
      </c>
      <c r="U405" s="152" t="s">
        <v>644</v>
      </c>
      <c r="V405" s="152" t="s">
        <v>199</v>
      </c>
      <c r="W405" s="152" t="s">
        <v>643</v>
      </c>
      <c r="Y405" s="152" t="s">
        <v>637</v>
      </c>
      <c r="Z405" s="152" t="s">
        <v>642</v>
      </c>
      <c r="AA405" s="152" t="s">
        <v>641</v>
      </c>
      <c r="AB405" s="152" t="s">
        <v>640</v>
      </c>
      <c r="AC405" s="152" t="s">
        <v>687</v>
      </c>
      <c r="AD405" s="152" t="s">
        <v>638</v>
      </c>
      <c r="AE405" s="152" t="s">
        <v>637</v>
      </c>
      <c r="AF405" s="152" t="s">
        <v>637</v>
      </c>
      <c r="AG405" s="152" t="s">
        <v>637</v>
      </c>
      <c r="AH405" s="152" t="s">
        <v>636</v>
      </c>
      <c r="AI405" s="152" t="s">
        <v>655</v>
      </c>
      <c r="AJ405" s="152" t="s">
        <v>635</v>
      </c>
      <c r="AK405" s="152" t="s">
        <v>634</v>
      </c>
      <c r="AL405" s="152" t="s">
        <v>637</v>
      </c>
      <c r="AM405" s="152" t="s">
        <v>873</v>
      </c>
      <c r="AO405" s="152" t="s">
        <v>715</v>
      </c>
      <c r="AP405" s="152" t="s">
        <v>628</v>
      </c>
      <c r="AQ405" s="152" t="s">
        <v>662</v>
      </c>
      <c r="AR405" s="152" t="s">
        <v>629</v>
      </c>
      <c r="AS405" s="152" t="s">
        <v>628</v>
      </c>
      <c r="AT405" s="152" t="s">
        <v>695</v>
      </c>
      <c r="AU405" s="152">
        <v>2020</v>
      </c>
      <c r="AV405" s="339">
        <v>5615</v>
      </c>
      <c r="AW405" s="339">
        <v>2000311</v>
      </c>
      <c r="AX405" s="152">
        <v>13</v>
      </c>
      <c r="AY405" s="152">
        <v>0</v>
      </c>
      <c r="AZ405" s="152">
        <v>75</v>
      </c>
      <c r="BA405" s="152">
        <v>1.072826E-2</v>
      </c>
      <c r="BB405" s="152">
        <v>642</v>
      </c>
      <c r="BC405" s="152">
        <v>90</v>
      </c>
      <c r="BD405" s="152">
        <v>5.9679998999999997</v>
      </c>
    </row>
    <row r="406" spans="1:56" x14ac:dyDescent="0.25">
      <c r="A406" s="152" t="s">
        <v>653</v>
      </c>
      <c r="B406" s="152">
        <v>43.666764999999998</v>
      </c>
      <c r="C406" s="152">
        <v>-97.300256000000005</v>
      </c>
      <c r="D406" s="152">
        <v>12</v>
      </c>
      <c r="E406" s="152" t="s">
        <v>697</v>
      </c>
      <c r="F406" s="152">
        <v>2020</v>
      </c>
      <c r="G406" s="340">
        <v>43975.947916666664</v>
      </c>
      <c r="H406" s="152" t="s">
        <v>637</v>
      </c>
      <c r="I406" s="152" t="s">
        <v>696</v>
      </c>
      <c r="J406" s="152" t="s">
        <v>697</v>
      </c>
      <c r="L406" s="152" t="s">
        <v>649</v>
      </c>
      <c r="M406" s="152" t="s">
        <v>712</v>
      </c>
      <c r="N406" s="152" t="s">
        <v>637</v>
      </c>
      <c r="O406" s="152" t="s">
        <v>647</v>
      </c>
      <c r="P406" s="152" t="s">
        <v>696</v>
      </c>
      <c r="Q406" s="152" t="s">
        <v>637</v>
      </c>
      <c r="R406" s="152" t="s">
        <v>701</v>
      </c>
      <c r="S406" s="152" t="s">
        <v>637</v>
      </c>
      <c r="T406" s="152" t="s">
        <v>701</v>
      </c>
      <c r="U406" s="152" t="s">
        <v>644</v>
      </c>
      <c r="V406" s="152" t="s">
        <v>199</v>
      </c>
      <c r="W406" s="152" t="s">
        <v>643</v>
      </c>
      <c r="Y406" s="152" t="s">
        <v>637</v>
      </c>
      <c r="Z406" s="152" t="s">
        <v>696</v>
      </c>
      <c r="AA406" s="152" t="s">
        <v>665</v>
      </c>
      <c r="AB406" s="152" t="s">
        <v>640</v>
      </c>
      <c r="AC406" s="152" t="s">
        <v>701</v>
      </c>
      <c r="AD406" s="152" t="s">
        <v>752</v>
      </c>
      <c r="AE406" s="152" t="s">
        <v>637</v>
      </c>
      <c r="AF406" s="152" t="s">
        <v>637</v>
      </c>
      <c r="AG406" s="152" t="s">
        <v>637</v>
      </c>
      <c r="AH406" s="152" t="s">
        <v>664</v>
      </c>
      <c r="AI406" s="152" t="s">
        <v>699</v>
      </c>
      <c r="AJ406" s="152" t="s">
        <v>696</v>
      </c>
      <c r="AL406" s="152" t="s">
        <v>637</v>
      </c>
      <c r="AM406" s="152" t="s">
        <v>872</v>
      </c>
      <c r="AO406" s="152" t="s">
        <v>631</v>
      </c>
      <c r="AP406" s="152" t="s">
        <v>697</v>
      </c>
      <c r="AQ406" s="152" t="s">
        <v>630</v>
      </c>
      <c r="AS406" s="152" t="s">
        <v>696</v>
      </c>
      <c r="AT406" s="152" t="s">
        <v>695</v>
      </c>
      <c r="AU406" s="152">
        <v>2020</v>
      </c>
      <c r="AV406" s="339">
        <v>5615</v>
      </c>
      <c r="AW406" s="339">
        <v>2005618</v>
      </c>
      <c r="AX406" s="152">
        <v>24</v>
      </c>
      <c r="AY406" s="152">
        <v>-1</v>
      </c>
      <c r="AZ406" s="152">
        <v>75</v>
      </c>
      <c r="BA406" s="152">
        <v>5.3946346999999999E-2</v>
      </c>
      <c r="BB406" s="152">
        <v>682</v>
      </c>
      <c r="BC406" s="152">
        <v>90</v>
      </c>
      <c r="BD406" s="152">
        <v>5.9679998999999997</v>
      </c>
    </row>
    <row r="407" spans="1:56" x14ac:dyDescent="0.25">
      <c r="A407" s="152" t="s">
        <v>653</v>
      </c>
      <c r="B407" s="152">
        <v>43.666770999999997</v>
      </c>
      <c r="C407" s="152">
        <v>-97.299362000000002</v>
      </c>
      <c r="D407" s="152">
        <v>12</v>
      </c>
      <c r="E407" s="152" t="s">
        <v>697</v>
      </c>
      <c r="F407" s="152">
        <v>2020</v>
      </c>
      <c r="G407" s="340">
        <v>44153.861111111109</v>
      </c>
      <c r="H407" s="152" t="s">
        <v>637</v>
      </c>
      <c r="I407" s="152" t="s">
        <v>696</v>
      </c>
      <c r="J407" s="152" t="s">
        <v>697</v>
      </c>
      <c r="L407" s="152" t="s">
        <v>649</v>
      </c>
      <c r="M407" s="152" t="s">
        <v>676</v>
      </c>
      <c r="N407" s="152" t="s">
        <v>637</v>
      </c>
      <c r="O407" s="152" t="s">
        <v>647</v>
      </c>
      <c r="P407" s="152" t="s">
        <v>696</v>
      </c>
      <c r="Q407" s="152" t="s">
        <v>637</v>
      </c>
      <c r="R407" s="152" t="s">
        <v>701</v>
      </c>
      <c r="S407" s="152" t="s">
        <v>637</v>
      </c>
      <c r="T407" s="152" t="s">
        <v>701</v>
      </c>
      <c r="U407" s="152" t="s">
        <v>644</v>
      </c>
      <c r="V407" s="152" t="s">
        <v>199</v>
      </c>
      <c r="W407" s="152" t="s">
        <v>643</v>
      </c>
      <c r="Y407" s="152" t="s">
        <v>637</v>
      </c>
      <c r="Z407" s="152" t="s">
        <v>696</v>
      </c>
      <c r="AA407" s="152" t="s">
        <v>665</v>
      </c>
      <c r="AB407" s="152" t="s">
        <v>640</v>
      </c>
      <c r="AC407" s="152" t="s">
        <v>701</v>
      </c>
      <c r="AD407" s="152" t="s">
        <v>673</v>
      </c>
      <c r="AE407" s="152" t="s">
        <v>637</v>
      </c>
      <c r="AF407" s="152" t="s">
        <v>637</v>
      </c>
      <c r="AG407" s="152" t="s">
        <v>637</v>
      </c>
      <c r="AH407" s="152" t="s">
        <v>664</v>
      </c>
      <c r="AI407" s="152" t="s">
        <v>699</v>
      </c>
      <c r="AJ407" s="152" t="s">
        <v>696</v>
      </c>
      <c r="AL407" s="152" t="s">
        <v>637</v>
      </c>
      <c r="AM407" s="152" t="s">
        <v>871</v>
      </c>
      <c r="AO407" s="152" t="s">
        <v>631</v>
      </c>
      <c r="AP407" s="152" t="s">
        <v>697</v>
      </c>
      <c r="AQ407" s="152" t="s">
        <v>630</v>
      </c>
      <c r="AS407" s="152" t="s">
        <v>696</v>
      </c>
      <c r="AT407" s="152" t="s">
        <v>702</v>
      </c>
      <c r="AU407" s="152">
        <v>2020</v>
      </c>
      <c r="AV407" s="339">
        <v>5615</v>
      </c>
      <c r="AW407" s="339">
        <v>2015480</v>
      </c>
      <c r="AX407" s="152">
        <v>18</v>
      </c>
      <c r="AY407" s="152">
        <v>-1</v>
      </c>
      <c r="AZ407" s="152">
        <v>75</v>
      </c>
      <c r="BA407" s="152">
        <v>9.6294889999999998E-3</v>
      </c>
      <c r="BB407" s="152">
        <v>771</v>
      </c>
      <c r="BC407" s="152">
        <v>90</v>
      </c>
      <c r="BD407" s="152">
        <v>5.9679998999999997</v>
      </c>
    </row>
    <row r="408" spans="1:56" x14ac:dyDescent="0.25">
      <c r="A408" s="152" t="s">
        <v>653</v>
      </c>
      <c r="B408" s="152">
        <v>43.666775000000001</v>
      </c>
      <c r="C408" s="152">
        <v>-97.298835999999994</v>
      </c>
      <c r="D408" s="152">
        <v>12</v>
      </c>
      <c r="E408" s="152" t="s">
        <v>652</v>
      </c>
      <c r="F408" s="152">
        <v>2017</v>
      </c>
      <c r="G408" s="340">
        <v>42737.833333333336</v>
      </c>
      <c r="H408" s="152" t="s">
        <v>637</v>
      </c>
      <c r="I408" s="152" t="s">
        <v>669</v>
      </c>
      <c r="J408" s="152" t="s">
        <v>650</v>
      </c>
      <c r="L408" s="152" t="s">
        <v>649</v>
      </c>
      <c r="M408" s="152" t="s">
        <v>685</v>
      </c>
      <c r="N408" s="152" t="s">
        <v>637</v>
      </c>
      <c r="O408" s="152" t="s">
        <v>647</v>
      </c>
      <c r="P408" s="152" t="s">
        <v>628</v>
      </c>
      <c r="Q408" s="152" t="s">
        <v>637</v>
      </c>
      <c r="R408" s="152" t="s">
        <v>870</v>
      </c>
      <c r="S408" s="152" t="s">
        <v>637</v>
      </c>
      <c r="T408" s="152" t="s">
        <v>682</v>
      </c>
      <c r="U408" s="152" t="s">
        <v>644</v>
      </c>
      <c r="V408" s="152" t="s">
        <v>199</v>
      </c>
      <c r="W408" s="152" t="s">
        <v>643</v>
      </c>
      <c r="Y408" s="152" t="s">
        <v>637</v>
      </c>
      <c r="Z408" s="152" t="s">
        <v>642</v>
      </c>
      <c r="AA408" s="152" t="s">
        <v>665</v>
      </c>
      <c r="AB408" s="152" t="s">
        <v>640</v>
      </c>
      <c r="AC408" s="152" t="s">
        <v>682</v>
      </c>
      <c r="AD408" s="152" t="s">
        <v>638</v>
      </c>
      <c r="AE408" s="152" t="s">
        <v>637</v>
      </c>
      <c r="AF408" s="152" t="s">
        <v>637</v>
      </c>
      <c r="AG408" s="152" t="s">
        <v>637</v>
      </c>
      <c r="AH408" s="152" t="s">
        <v>636</v>
      </c>
      <c r="AI408" s="152" t="s">
        <v>655</v>
      </c>
      <c r="AJ408" s="152" t="s">
        <v>635</v>
      </c>
      <c r="AK408" s="152" t="s">
        <v>634</v>
      </c>
      <c r="AL408" s="152" t="s">
        <v>637</v>
      </c>
      <c r="AM408" s="152" t="s">
        <v>767</v>
      </c>
      <c r="AO408" s="152" t="s">
        <v>631</v>
      </c>
      <c r="AP408" s="152" t="s">
        <v>628</v>
      </c>
      <c r="AQ408" s="152" t="s">
        <v>662</v>
      </c>
      <c r="AR408" s="152" t="s">
        <v>629</v>
      </c>
      <c r="AS408" s="152" t="s">
        <v>678</v>
      </c>
      <c r="AT408" s="152" t="s">
        <v>670</v>
      </c>
      <c r="AU408" s="152">
        <v>2017</v>
      </c>
      <c r="AV408" s="339">
        <v>5615</v>
      </c>
      <c r="AW408" s="339">
        <v>1700027</v>
      </c>
      <c r="AX408" s="152">
        <v>2</v>
      </c>
      <c r="AY408" s="152">
        <v>0</v>
      </c>
      <c r="AZ408" s="152">
        <v>75</v>
      </c>
      <c r="BA408" s="152">
        <v>0.18913033200000001</v>
      </c>
      <c r="BB408" s="152">
        <v>177</v>
      </c>
      <c r="BC408" s="152">
        <v>90</v>
      </c>
      <c r="BD408" s="152">
        <v>5.9679998999999997</v>
      </c>
    </row>
    <row r="409" spans="1:56" x14ac:dyDescent="0.25">
      <c r="A409" s="152" t="s">
        <v>653</v>
      </c>
      <c r="B409" s="152">
        <v>43.666376</v>
      </c>
      <c r="C409" s="152">
        <v>-97.388476999999995</v>
      </c>
      <c r="D409" s="152">
        <v>26</v>
      </c>
      <c r="E409" s="152" t="s">
        <v>697</v>
      </c>
      <c r="F409" s="152">
        <v>2019</v>
      </c>
      <c r="G409" s="340">
        <v>43543.243055555555</v>
      </c>
      <c r="H409" s="152" t="s">
        <v>637</v>
      </c>
      <c r="I409" s="152" t="s">
        <v>696</v>
      </c>
      <c r="J409" s="152" t="s">
        <v>697</v>
      </c>
      <c r="L409" s="152" t="s">
        <v>649</v>
      </c>
      <c r="M409" s="152" t="s">
        <v>736</v>
      </c>
      <c r="N409" s="152" t="s">
        <v>637</v>
      </c>
      <c r="O409" s="152" t="s">
        <v>647</v>
      </c>
      <c r="P409" s="152" t="s">
        <v>696</v>
      </c>
      <c r="Q409" s="152" t="s">
        <v>637</v>
      </c>
      <c r="R409" s="152" t="s">
        <v>701</v>
      </c>
      <c r="S409" s="152" t="s">
        <v>637</v>
      </c>
      <c r="T409" s="152" t="s">
        <v>701</v>
      </c>
      <c r="U409" s="152" t="s">
        <v>644</v>
      </c>
      <c r="V409" s="152" t="s">
        <v>199</v>
      </c>
      <c r="W409" s="152" t="s">
        <v>643</v>
      </c>
      <c r="Y409" s="152" t="s">
        <v>637</v>
      </c>
      <c r="Z409" s="152" t="s">
        <v>696</v>
      </c>
      <c r="AA409" s="152" t="s">
        <v>665</v>
      </c>
      <c r="AB409" s="152" t="s">
        <v>640</v>
      </c>
      <c r="AC409" s="152" t="s">
        <v>701</v>
      </c>
      <c r="AD409" s="152" t="s">
        <v>691</v>
      </c>
      <c r="AE409" s="152" t="s">
        <v>637</v>
      </c>
      <c r="AF409" s="152" t="s">
        <v>637</v>
      </c>
      <c r="AG409" s="152" t="s">
        <v>637</v>
      </c>
      <c r="AH409" s="152" t="s">
        <v>664</v>
      </c>
      <c r="AI409" s="152" t="s">
        <v>696</v>
      </c>
      <c r="AJ409" s="152" t="s">
        <v>696</v>
      </c>
      <c r="AL409" s="152" t="s">
        <v>637</v>
      </c>
      <c r="AM409" s="152" t="s">
        <v>869</v>
      </c>
      <c r="AO409" s="152" t="s">
        <v>631</v>
      </c>
      <c r="AP409" s="152" t="s">
        <v>697</v>
      </c>
      <c r="AQ409" s="152" t="s">
        <v>630</v>
      </c>
      <c r="AS409" s="152" t="s">
        <v>696</v>
      </c>
      <c r="AT409" s="152" t="s">
        <v>702</v>
      </c>
      <c r="AU409" s="152">
        <v>2019</v>
      </c>
      <c r="AV409" s="339">
        <v>5620</v>
      </c>
      <c r="AW409" s="339">
        <v>1903055</v>
      </c>
      <c r="AX409" s="152">
        <v>19</v>
      </c>
      <c r="AY409" s="152">
        <v>-1</v>
      </c>
      <c r="AZ409" s="152">
        <v>75</v>
      </c>
      <c r="BA409" s="152">
        <v>0.85663692599999997</v>
      </c>
      <c r="BB409" s="152">
        <v>525</v>
      </c>
      <c r="BC409" s="152">
        <v>90</v>
      </c>
      <c r="BD409" s="152">
        <v>6.0270000000000001</v>
      </c>
    </row>
    <row r="410" spans="1:56" x14ac:dyDescent="0.25">
      <c r="A410" s="152" t="s">
        <v>653</v>
      </c>
      <c r="B410" s="152">
        <v>43.666381000000001</v>
      </c>
      <c r="C410" s="152">
        <v>-97.388515999999996</v>
      </c>
      <c r="D410" s="152">
        <v>26</v>
      </c>
      <c r="E410" s="152" t="s">
        <v>697</v>
      </c>
      <c r="F410" s="152">
        <v>2018</v>
      </c>
      <c r="G410" s="340">
        <v>43254.4375</v>
      </c>
      <c r="H410" s="152" t="s">
        <v>637</v>
      </c>
      <c r="I410" s="152" t="s">
        <v>696</v>
      </c>
      <c r="J410" s="152" t="s">
        <v>697</v>
      </c>
      <c r="L410" s="152" t="s">
        <v>649</v>
      </c>
      <c r="M410" s="152" t="s">
        <v>712</v>
      </c>
      <c r="N410" s="152" t="s">
        <v>637</v>
      </c>
      <c r="O410" s="152" t="s">
        <v>647</v>
      </c>
      <c r="P410" s="152" t="s">
        <v>696</v>
      </c>
      <c r="Q410" s="152" t="s">
        <v>637</v>
      </c>
      <c r="R410" s="152" t="s">
        <v>701</v>
      </c>
      <c r="S410" s="152" t="s">
        <v>637</v>
      </c>
      <c r="T410" s="152" t="s">
        <v>701</v>
      </c>
      <c r="U410" s="152" t="s">
        <v>644</v>
      </c>
      <c r="V410" s="152" t="s">
        <v>199</v>
      </c>
      <c r="W410" s="152" t="s">
        <v>643</v>
      </c>
      <c r="Y410" s="152" t="s">
        <v>637</v>
      </c>
      <c r="Z410" s="152" t="s">
        <v>642</v>
      </c>
      <c r="AA410" s="152" t="s">
        <v>641</v>
      </c>
      <c r="AB410" s="152" t="s">
        <v>640</v>
      </c>
      <c r="AC410" s="152" t="s">
        <v>701</v>
      </c>
      <c r="AD410" s="152" t="s">
        <v>771</v>
      </c>
      <c r="AE410" s="152" t="s">
        <v>637</v>
      </c>
      <c r="AF410" s="152" t="s">
        <v>637</v>
      </c>
      <c r="AG410" s="152" t="s">
        <v>637</v>
      </c>
      <c r="AH410" s="152" t="s">
        <v>664</v>
      </c>
      <c r="AI410" s="152" t="s">
        <v>699</v>
      </c>
      <c r="AJ410" s="152" t="s">
        <v>696</v>
      </c>
      <c r="AL410" s="152" t="s">
        <v>637</v>
      </c>
      <c r="AM410" s="152" t="s">
        <v>776</v>
      </c>
      <c r="AO410" s="152" t="s">
        <v>631</v>
      </c>
      <c r="AP410" s="152" t="s">
        <v>697</v>
      </c>
      <c r="AQ410" s="152" t="s">
        <v>703</v>
      </c>
      <c r="AS410" s="152" t="s">
        <v>696</v>
      </c>
      <c r="AT410" s="152" t="s">
        <v>702</v>
      </c>
      <c r="AU410" s="152">
        <v>2018</v>
      </c>
      <c r="AV410" s="339">
        <v>5620</v>
      </c>
      <c r="AW410" s="339">
        <v>1806282</v>
      </c>
      <c r="AX410" s="152">
        <v>3</v>
      </c>
      <c r="AY410" s="152">
        <v>-1</v>
      </c>
      <c r="AZ410" s="152">
        <v>75</v>
      </c>
      <c r="BA410" s="152">
        <v>0.87646880800000004</v>
      </c>
      <c r="BB410" s="152">
        <v>402</v>
      </c>
      <c r="BC410" s="152">
        <v>90</v>
      </c>
      <c r="BD410" s="152">
        <v>6.0270000000000001</v>
      </c>
    </row>
    <row r="411" spans="1:56" x14ac:dyDescent="0.25">
      <c r="A411" s="152" t="s">
        <v>653</v>
      </c>
      <c r="B411" s="152">
        <v>43.666381999999999</v>
      </c>
      <c r="C411" s="152">
        <v>-97.388452999999998</v>
      </c>
      <c r="D411" s="152">
        <v>26</v>
      </c>
      <c r="E411" s="152" t="s">
        <v>697</v>
      </c>
      <c r="F411" s="152">
        <v>2016</v>
      </c>
      <c r="G411" s="340">
        <v>42624.864583333336</v>
      </c>
      <c r="H411" s="152" t="s">
        <v>637</v>
      </c>
      <c r="I411" s="152" t="s">
        <v>696</v>
      </c>
      <c r="J411" s="152" t="s">
        <v>697</v>
      </c>
      <c r="L411" s="152" t="s">
        <v>649</v>
      </c>
      <c r="M411" s="152" t="s">
        <v>712</v>
      </c>
      <c r="N411" s="152" t="s">
        <v>637</v>
      </c>
      <c r="O411" s="152" t="s">
        <v>647</v>
      </c>
      <c r="P411" s="152" t="s">
        <v>696</v>
      </c>
      <c r="Q411" s="152" t="s">
        <v>637</v>
      </c>
      <c r="R411" s="152" t="s">
        <v>701</v>
      </c>
      <c r="S411" s="152" t="s">
        <v>637</v>
      </c>
      <c r="T411" s="152" t="s">
        <v>701</v>
      </c>
      <c r="U411" s="152" t="s">
        <v>644</v>
      </c>
      <c r="V411" s="152" t="s">
        <v>199</v>
      </c>
      <c r="W411" s="152" t="s">
        <v>643</v>
      </c>
      <c r="Y411" s="152" t="s">
        <v>637</v>
      </c>
      <c r="Z411" s="152" t="s">
        <v>642</v>
      </c>
      <c r="AA411" s="152" t="s">
        <v>665</v>
      </c>
      <c r="AB411" s="152" t="s">
        <v>640</v>
      </c>
      <c r="AC411" s="152" t="s">
        <v>701</v>
      </c>
      <c r="AD411" s="152" t="s">
        <v>706</v>
      </c>
      <c r="AE411" s="152" t="s">
        <v>637</v>
      </c>
      <c r="AF411" s="152" t="s">
        <v>637</v>
      </c>
      <c r="AG411" s="152" t="s">
        <v>637</v>
      </c>
      <c r="AH411" s="152" t="s">
        <v>664</v>
      </c>
      <c r="AI411" s="152" t="s">
        <v>699</v>
      </c>
      <c r="AJ411" s="152" t="s">
        <v>696</v>
      </c>
      <c r="AL411" s="152" t="s">
        <v>637</v>
      </c>
      <c r="AM411" s="152" t="s">
        <v>868</v>
      </c>
      <c r="AO411" s="152" t="s">
        <v>631</v>
      </c>
      <c r="AP411" s="152" t="s">
        <v>697</v>
      </c>
      <c r="AQ411" s="152" t="s">
        <v>703</v>
      </c>
      <c r="AS411" s="152" t="s">
        <v>696</v>
      </c>
      <c r="AT411" s="152" t="s">
        <v>702</v>
      </c>
      <c r="AU411" s="152">
        <v>2016</v>
      </c>
      <c r="AV411" s="339">
        <v>5620</v>
      </c>
      <c r="AW411" s="339">
        <v>1611687</v>
      </c>
      <c r="AX411" s="152">
        <v>11</v>
      </c>
      <c r="AY411" s="152">
        <v>-1</v>
      </c>
      <c r="AZ411" s="152">
        <v>75</v>
      </c>
      <c r="BA411" s="152">
        <v>1.3848478209999999</v>
      </c>
      <c r="BB411" s="152">
        <v>106</v>
      </c>
      <c r="BC411" s="152">
        <v>90</v>
      </c>
      <c r="BD411" s="152">
        <v>6.0270000000000001</v>
      </c>
    </row>
    <row r="412" spans="1:56" x14ac:dyDescent="0.25">
      <c r="A412" s="152" t="s">
        <v>653</v>
      </c>
      <c r="B412" s="152">
        <v>43.666415000000001</v>
      </c>
      <c r="C412" s="152">
        <v>-97.391138999999995</v>
      </c>
      <c r="D412" s="152">
        <v>26</v>
      </c>
      <c r="E412" s="152" t="s">
        <v>697</v>
      </c>
      <c r="F412" s="152">
        <v>2017</v>
      </c>
      <c r="G412" s="340">
        <v>42892.34375</v>
      </c>
      <c r="H412" s="152" t="s">
        <v>637</v>
      </c>
      <c r="I412" s="152" t="s">
        <v>696</v>
      </c>
      <c r="J412" s="152" t="s">
        <v>697</v>
      </c>
      <c r="L412" s="152" t="s">
        <v>649</v>
      </c>
      <c r="M412" s="152" t="s">
        <v>736</v>
      </c>
      <c r="N412" s="152" t="s">
        <v>637</v>
      </c>
      <c r="O412" s="152" t="s">
        <v>647</v>
      </c>
      <c r="P412" s="152" t="s">
        <v>696</v>
      </c>
      <c r="Q412" s="152" t="s">
        <v>637</v>
      </c>
      <c r="R412" s="152" t="s">
        <v>701</v>
      </c>
      <c r="S412" s="152" t="s">
        <v>637</v>
      </c>
      <c r="T412" s="152" t="s">
        <v>701</v>
      </c>
      <c r="U412" s="152" t="s">
        <v>644</v>
      </c>
      <c r="V412" s="152" t="s">
        <v>199</v>
      </c>
      <c r="W412" s="152" t="s">
        <v>643</v>
      </c>
      <c r="Y412" s="152" t="s">
        <v>637</v>
      </c>
      <c r="Z412" s="152" t="s">
        <v>642</v>
      </c>
      <c r="AA412" s="152" t="s">
        <v>641</v>
      </c>
      <c r="AB412" s="152" t="s">
        <v>640</v>
      </c>
      <c r="AC412" s="152" t="s">
        <v>701</v>
      </c>
      <c r="AD412" s="152" t="s">
        <v>771</v>
      </c>
      <c r="AE412" s="152" t="s">
        <v>637</v>
      </c>
      <c r="AF412" s="152" t="s">
        <v>637</v>
      </c>
      <c r="AG412" s="152" t="s">
        <v>637</v>
      </c>
      <c r="AH412" s="152" t="s">
        <v>664</v>
      </c>
      <c r="AI412" s="152" t="s">
        <v>699</v>
      </c>
      <c r="AJ412" s="152" t="s">
        <v>696</v>
      </c>
      <c r="AL412" s="152" t="s">
        <v>637</v>
      </c>
      <c r="AM412" s="152" t="s">
        <v>867</v>
      </c>
      <c r="AO412" s="152" t="s">
        <v>631</v>
      </c>
      <c r="AP412" s="152" t="s">
        <v>697</v>
      </c>
      <c r="AQ412" s="152" t="s">
        <v>769</v>
      </c>
      <c r="AS412" s="152" t="s">
        <v>696</v>
      </c>
      <c r="AT412" s="152" t="s">
        <v>695</v>
      </c>
      <c r="AU412" s="152">
        <v>2017</v>
      </c>
      <c r="AV412" s="339">
        <v>5620</v>
      </c>
      <c r="AW412" s="339">
        <v>1707063</v>
      </c>
      <c r="AX412" s="152">
        <v>6</v>
      </c>
      <c r="AY412" s="152">
        <v>-1</v>
      </c>
      <c r="AZ412" s="152">
        <v>75</v>
      </c>
      <c r="BA412" s="152">
        <v>6.7916387909999996</v>
      </c>
      <c r="BB412" s="152">
        <v>244</v>
      </c>
      <c r="BC412" s="152">
        <v>90</v>
      </c>
      <c r="BD412" s="152">
        <v>6.0270000000000001</v>
      </c>
    </row>
    <row r="413" spans="1:56" x14ac:dyDescent="0.25">
      <c r="A413" s="152" t="s">
        <v>653</v>
      </c>
      <c r="B413" s="152">
        <v>43.666432</v>
      </c>
      <c r="C413" s="152">
        <v>-97.392426999999998</v>
      </c>
      <c r="D413" s="152">
        <v>26</v>
      </c>
      <c r="E413" s="152" t="s">
        <v>652</v>
      </c>
      <c r="F413" s="152">
        <v>2019</v>
      </c>
      <c r="G413" s="340">
        <v>43565.833333333336</v>
      </c>
      <c r="H413" s="152" t="s">
        <v>637</v>
      </c>
      <c r="I413" s="152" t="s">
        <v>669</v>
      </c>
      <c r="J413" s="152" t="s">
        <v>650</v>
      </c>
      <c r="L413" s="152" t="s">
        <v>649</v>
      </c>
      <c r="M413" s="152" t="s">
        <v>676</v>
      </c>
      <c r="N413" s="152" t="s">
        <v>637</v>
      </c>
      <c r="O413" s="152" t="s">
        <v>647</v>
      </c>
      <c r="P413" s="152" t="s">
        <v>646</v>
      </c>
      <c r="Q413" s="152" t="s">
        <v>637</v>
      </c>
      <c r="R413" s="152" t="s">
        <v>830</v>
      </c>
      <c r="S413" s="152" t="s">
        <v>637</v>
      </c>
      <c r="T413" s="152" t="s">
        <v>723</v>
      </c>
      <c r="U413" s="152" t="s">
        <v>644</v>
      </c>
      <c r="V413" s="152" t="s">
        <v>199</v>
      </c>
      <c r="W413" s="152" t="s">
        <v>643</v>
      </c>
      <c r="Y413" s="152" t="s">
        <v>637</v>
      </c>
      <c r="Z413" s="152" t="s">
        <v>783</v>
      </c>
      <c r="AA413" s="152" t="s">
        <v>665</v>
      </c>
      <c r="AB413" s="152" t="s">
        <v>640</v>
      </c>
      <c r="AC413" s="152" t="s">
        <v>723</v>
      </c>
      <c r="AD413" s="152" t="s">
        <v>787</v>
      </c>
      <c r="AE413" s="152" t="s">
        <v>637</v>
      </c>
      <c r="AF413" s="152" t="s">
        <v>637</v>
      </c>
      <c r="AG413" s="152" t="s">
        <v>637</v>
      </c>
      <c r="AH413" s="152" t="s">
        <v>636</v>
      </c>
      <c r="AI413" s="152" t="s">
        <v>655</v>
      </c>
      <c r="AJ413" s="152" t="s">
        <v>635</v>
      </c>
      <c r="AL413" s="152" t="s">
        <v>633</v>
      </c>
      <c r="AM413" s="152" t="s">
        <v>767</v>
      </c>
      <c r="AO413" s="152" t="s">
        <v>631</v>
      </c>
      <c r="AP413" s="152" t="s">
        <v>628</v>
      </c>
      <c r="AQ413" s="152" t="s">
        <v>630</v>
      </c>
      <c r="AR413" s="152" t="s">
        <v>629</v>
      </c>
      <c r="AS413" s="152" t="s">
        <v>628</v>
      </c>
      <c r="AT413" s="152" t="s">
        <v>670</v>
      </c>
      <c r="AU413" s="152">
        <v>2019</v>
      </c>
      <c r="AV413" s="339">
        <v>5620</v>
      </c>
      <c r="AW413" s="339">
        <v>1905211</v>
      </c>
      <c r="AX413" s="152">
        <v>10</v>
      </c>
      <c r="AY413" s="152">
        <v>0</v>
      </c>
      <c r="AZ413" s="152">
        <v>75</v>
      </c>
      <c r="BA413" s="152">
        <v>8.2656491019999994</v>
      </c>
      <c r="BB413" s="152">
        <v>546</v>
      </c>
      <c r="BC413" s="152">
        <v>90</v>
      </c>
      <c r="BD413" s="152">
        <v>6.0270000000000001</v>
      </c>
    </row>
    <row r="414" spans="1:56" x14ac:dyDescent="0.25">
      <c r="A414" s="152" t="s">
        <v>653</v>
      </c>
      <c r="B414" s="152">
        <v>43.666474999999998</v>
      </c>
      <c r="C414" s="152">
        <v>-97.396704</v>
      </c>
      <c r="D414" s="152">
        <v>26</v>
      </c>
      <c r="E414" s="152" t="s">
        <v>697</v>
      </c>
      <c r="F414" s="152">
        <v>2020</v>
      </c>
      <c r="G414" s="340">
        <v>44125.270833333336</v>
      </c>
      <c r="H414" s="152" t="s">
        <v>637</v>
      </c>
      <c r="I414" s="152" t="s">
        <v>696</v>
      </c>
      <c r="J414" s="152" t="s">
        <v>697</v>
      </c>
      <c r="L414" s="152" t="s">
        <v>649</v>
      </c>
      <c r="M414" s="152" t="s">
        <v>676</v>
      </c>
      <c r="N414" s="152" t="s">
        <v>637</v>
      </c>
      <c r="O414" s="152" t="s">
        <v>647</v>
      </c>
      <c r="P414" s="152" t="s">
        <v>696</v>
      </c>
      <c r="Q414" s="152" t="s">
        <v>637</v>
      </c>
      <c r="R414" s="152" t="s">
        <v>701</v>
      </c>
      <c r="S414" s="152" t="s">
        <v>637</v>
      </c>
      <c r="T414" s="152" t="s">
        <v>701</v>
      </c>
      <c r="U414" s="152" t="s">
        <v>644</v>
      </c>
      <c r="V414" s="152" t="s">
        <v>199</v>
      </c>
      <c r="W414" s="152" t="s">
        <v>643</v>
      </c>
      <c r="Y414" s="152" t="s">
        <v>637</v>
      </c>
      <c r="Z414" s="152" t="s">
        <v>696</v>
      </c>
      <c r="AA414" s="152" t="s">
        <v>665</v>
      </c>
      <c r="AB414" s="152" t="s">
        <v>640</v>
      </c>
      <c r="AC414" s="152" t="s">
        <v>701</v>
      </c>
      <c r="AD414" s="152" t="s">
        <v>700</v>
      </c>
      <c r="AE414" s="152" t="s">
        <v>637</v>
      </c>
      <c r="AF414" s="152" t="s">
        <v>637</v>
      </c>
      <c r="AG414" s="152" t="s">
        <v>637</v>
      </c>
      <c r="AH414" s="152" t="s">
        <v>664</v>
      </c>
      <c r="AI414" s="152" t="s">
        <v>699</v>
      </c>
      <c r="AJ414" s="152" t="s">
        <v>696</v>
      </c>
      <c r="AL414" s="152" t="s">
        <v>637</v>
      </c>
      <c r="AM414" s="152" t="s">
        <v>847</v>
      </c>
      <c r="AO414" s="152" t="s">
        <v>631</v>
      </c>
      <c r="AP414" s="152" t="s">
        <v>697</v>
      </c>
      <c r="AQ414" s="152" t="s">
        <v>630</v>
      </c>
      <c r="AS414" s="152" t="s">
        <v>696</v>
      </c>
      <c r="AT414" s="152" t="s">
        <v>702</v>
      </c>
      <c r="AU414" s="152">
        <v>2020</v>
      </c>
      <c r="AV414" s="339">
        <v>5620</v>
      </c>
      <c r="AW414" s="339">
        <v>2013231</v>
      </c>
      <c r="AX414" s="152">
        <v>21</v>
      </c>
      <c r="AY414" s="152">
        <v>-1</v>
      </c>
      <c r="AZ414" s="152">
        <v>75</v>
      </c>
      <c r="BA414" s="152">
        <v>6.4158884430000001</v>
      </c>
      <c r="BB414" s="152">
        <v>744</v>
      </c>
      <c r="BC414" s="152">
        <v>90</v>
      </c>
      <c r="BD414" s="152">
        <v>6.0270000000000001</v>
      </c>
    </row>
    <row r="415" spans="1:56" x14ac:dyDescent="0.25">
      <c r="A415" s="152" t="s">
        <v>653</v>
      </c>
      <c r="B415" s="152">
        <v>43.666494</v>
      </c>
      <c r="C415" s="152">
        <v>-97.398752000000002</v>
      </c>
      <c r="D415" s="152">
        <v>26</v>
      </c>
      <c r="E415" s="152" t="s">
        <v>652</v>
      </c>
      <c r="F415" s="152">
        <v>2019</v>
      </c>
      <c r="G415" s="340">
        <v>43581.111111111109</v>
      </c>
      <c r="H415" s="152" t="s">
        <v>637</v>
      </c>
      <c r="I415" s="152" t="s">
        <v>669</v>
      </c>
      <c r="J415" s="152" t="s">
        <v>650</v>
      </c>
      <c r="L415" s="152" t="s">
        <v>649</v>
      </c>
      <c r="M415" s="152" t="s">
        <v>648</v>
      </c>
      <c r="N415" s="152" t="s">
        <v>633</v>
      </c>
      <c r="O415" s="152" t="s">
        <v>647</v>
      </c>
      <c r="P415" s="152" t="s">
        <v>866</v>
      </c>
      <c r="Q415" s="152" t="s">
        <v>637</v>
      </c>
      <c r="R415" s="152" t="s">
        <v>830</v>
      </c>
      <c r="S415" s="152" t="s">
        <v>637</v>
      </c>
      <c r="T415" s="152" t="s">
        <v>723</v>
      </c>
      <c r="U415" s="152" t="s">
        <v>644</v>
      </c>
      <c r="V415" s="152" t="s">
        <v>199</v>
      </c>
      <c r="W415" s="152" t="s">
        <v>643</v>
      </c>
      <c r="Y415" s="152" t="s">
        <v>637</v>
      </c>
      <c r="Z415" s="152" t="s">
        <v>642</v>
      </c>
      <c r="AA415" s="152" t="s">
        <v>665</v>
      </c>
      <c r="AB415" s="152" t="s">
        <v>640</v>
      </c>
      <c r="AC415" s="152" t="s">
        <v>723</v>
      </c>
      <c r="AD415" s="152" t="s">
        <v>787</v>
      </c>
      <c r="AE415" s="152" t="s">
        <v>637</v>
      </c>
      <c r="AF415" s="152" t="s">
        <v>637</v>
      </c>
      <c r="AG415" s="152" t="s">
        <v>637</v>
      </c>
      <c r="AH415" s="152" t="s">
        <v>664</v>
      </c>
      <c r="AI415" s="152" t="s">
        <v>628</v>
      </c>
      <c r="AJ415" s="152" t="s">
        <v>635</v>
      </c>
      <c r="AK415" s="152" t="s">
        <v>634</v>
      </c>
      <c r="AL415" s="152" t="s">
        <v>637</v>
      </c>
      <c r="AM415" s="152" t="s">
        <v>865</v>
      </c>
      <c r="AO415" s="152" t="s">
        <v>631</v>
      </c>
      <c r="AP415" s="152" t="s">
        <v>628</v>
      </c>
      <c r="AQ415" s="152" t="s">
        <v>703</v>
      </c>
      <c r="AR415" s="152" t="s">
        <v>629</v>
      </c>
      <c r="AS415" s="152" t="s">
        <v>628</v>
      </c>
      <c r="AT415" s="152" t="s">
        <v>702</v>
      </c>
      <c r="AU415" s="152">
        <v>2019</v>
      </c>
      <c r="AV415" s="339">
        <v>5620</v>
      </c>
      <c r="AW415" s="339">
        <v>1904262</v>
      </c>
      <c r="AX415" s="152">
        <v>26</v>
      </c>
      <c r="AY415" s="152">
        <v>0</v>
      </c>
      <c r="AZ415" s="152">
        <v>75</v>
      </c>
      <c r="BA415" s="152">
        <v>5.7119269040000002</v>
      </c>
      <c r="BB415" s="152">
        <v>533</v>
      </c>
      <c r="BC415" s="152">
        <v>90</v>
      </c>
      <c r="BD415" s="152">
        <v>6.0270000000000001</v>
      </c>
    </row>
    <row r="416" spans="1:56" x14ac:dyDescent="0.25">
      <c r="A416" s="152" t="s">
        <v>653</v>
      </c>
      <c r="B416" s="152">
        <v>43.666502999999999</v>
      </c>
      <c r="C416" s="152">
        <v>-97.399615999999995</v>
      </c>
      <c r="D416" s="152">
        <v>26</v>
      </c>
      <c r="E416" s="152" t="s">
        <v>652</v>
      </c>
      <c r="F416" s="152">
        <v>2016</v>
      </c>
      <c r="G416" s="340">
        <v>42678.135416666664</v>
      </c>
      <c r="H416" s="152" t="s">
        <v>637</v>
      </c>
      <c r="I416" s="152" t="s">
        <v>669</v>
      </c>
      <c r="J416" s="152" t="s">
        <v>650</v>
      </c>
      <c r="L416" s="152" t="s">
        <v>649</v>
      </c>
      <c r="M416" s="152" t="s">
        <v>648</v>
      </c>
      <c r="N416" s="152" t="s">
        <v>637</v>
      </c>
      <c r="O416" s="152" t="s">
        <v>647</v>
      </c>
      <c r="P416" s="152" t="s">
        <v>864</v>
      </c>
      <c r="Q416" s="152" t="s">
        <v>637</v>
      </c>
      <c r="R416" s="152" t="s">
        <v>830</v>
      </c>
      <c r="S416" s="152" t="s">
        <v>637</v>
      </c>
      <c r="T416" s="152" t="s">
        <v>723</v>
      </c>
      <c r="U416" s="152" t="s">
        <v>644</v>
      </c>
      <c r="V416" s="152" t="s">
        <v>199</v>
      </c>
      <c r="W416" s="152" t="s">
        <v>643</v>
      </c>
      <c r="Y416" s="152" t="s">
        <v>637</v>
      </c>
      <c r="Z416" s="152" t="s">
        <v>642</v>
      </c>
      <c r="AA416" s="152" t="s">
        <v>665</v>
      </c>
      <c r="AB416" s="152" t="s">
        <v>640</v>
      </c>
      <c r="AC416" s="152" t="s">
        <v>723</v>
      </c>
      <c r="AD416" s="152" t="s">
        <v>673</v>
      </c>
      <c r="AE416" s="152" t="s">
        <v>637</v>
      </c>
      <c r="AF416" s="152" t="s">
        <v>637</v>
      </c>
      <c r="AG416" s="152" t="s">
        <v>637</v>
      </c>
      <c r="AH416" s="152" t="s">
        <v>664</v>
      </c>
      <c r="AI416" s="152" t="s">
        <v>628</v>
      </c>
      <c r="AJ416" s="152" t="s">
        <v>635</v>
      </c>
      <c r="AK416" s="152" t="s">
        <v>634</v>
      </c>
      <c r="AL416" s="152" t="s">
        <v>637</v>
      </c>
      <c r="AM416" s="152" t="s">
        <v>863</v>
      </c>
      <c r="AO416" s="152" t="s">
        <v>631</v>
      </c>
      <c r="AP416" s="152" t="s">
        <v>628</v>
      </c>
      <c r="AQ416" s="152" t="s">
        <v>862</v>
      </c>
      <c r="AR416" s="152" t="s">
        <v>629</v>
      </c>
      <c r="AS416" s="152" t="s">
        <v>628</v>
      </c>
      <c r="AT416" s="152" t="s">
        <v>702</v>
      </c>
      <c r="AU416" s="152">
        <v>2016</v>
      </c>
      <c r="AV416" s="339">
        <v>5620</v>
      </c>
      <c r="AW416" s="339">
        <v>1614258</v>
      </c>
      <c r="AX416" s="152">
        <v>4</v>
      </c>
      <c r="AY416" s="152">
        <v>0</v>
      </c>
      <c r="AZ416" s="152">
        <v>75</v>
      </c>
      <c r="BA416" s="152">
        <v>6.0735190729999999</v>
      </c>
      <c r="BB416" s="152">
        <v>127</v>
      </c>
      <c r="BC416" s="152">
        <v>90</v>
      </c>
      <c r="BD416" s="152">
        <v>6.0270000000000001</v>
      </c>
    </row>
    <row r="417" spans="1:56" x14ac:dyDescent="0.25">
      <c r="A417" s="152" t="s">
        <v>653</v>
      </c>
      <c r="B417" s="152">
        <v>43.666505999999998</v>
      </c>
      <c r="C417" s="152">
        <v>-97.400064</v>
      </c>
      <c r="D417" s="152">
        <v>26</v>
      </c>
      <c r="E417" s="152" t="s">
        <v>652</v>
      </c>
      <c r="F417" s="152">
        <v>2020</v>
      </c>
      <c r="G417" s="340">
        <v>43983.622916666667</v>
      </c>
      <c r="H417" s="152" t="s">
        <v>637</v>
      </c>
      <c r="I417" s="152" t="s">
        <v>669</v>
      </c>
      <c r="J417" s="152" t="s">
        <v>650</v>
      </c>
      <c r="K417" s="152" t="s">
        <v>743</v>
      </c>
      <c r="L417" s="152" t="s">
        <v>649</v>
      </c>
      <c r="M417" s="152" t="s">
        <v>685</v>
      </c>
      <c r="N417" s="152" t="s">
        <v>637</v>
      </c>
      <c r="O417" s="152" t="s">
        <v>647</v>
      </c>
      <c r="P417" s="152" t="s">
        <v>684</v>
      </c>
      <c r="Q417" s="152" t="s">
        <v>637</v>
      </c>
      <c r="R417" s="152" t="s">
        <v>733</v>
      </c>
      <c r="S417" s="152" t="s">
        <v>637</v>
      </c>
      <c r="T417" s="152" t="s">
        <v>719</v>
      </c>
      <c r="U417" s="152" t="s">
        <v>644</v>
      </c>
      <c r="V417" s="152" t="s">
        <v>199</v>
      </c>
      <c r="W417" s="152" t="s">
        <v>643</v>
      </c>
      <c r="Y417" s="152" t="s">
        <v>637</v>
      </c>
      <c r="Z417" s="152" t="s">
        <v>642</v>
      </c>
      <c r="AA417" s="152" t="s">
        <v>641</v>
      </c>
      <c r="AB417" s="152" t="s">
        <v>640</v>
      </c>
      <c r="AC417" s="152" t="s">
        <v>719</v>
      </c>
      <c r="AD417" s="152" t="s">
        <v>771</v>
      </c>
      <c r="AE417" s="152" t="s">
        <v>637</v>
      </c>
      <c r="AF417" s="152" t="s">
        <v>637</v>
      </c>
      <c r="AG417" s="152" t="s">
        <v>637</v>
      </c>
      <c r="AH417" s="152" t="s">
        <v>664</v>
      </c>
      <c r="AI417" s="152" t="s">
        <v>628</v>
      </c>
      <c r="AJ417" s="152" t="s">
        <v>635</v>
      </c>
      <c r="AK417" s="152" t="s">
        <v>634</v>
      </c>
      <c r="AL417" s="152" t="s">
        <v>637</v>
      </c>
      <c r="AM417" s="152" t="s">
        <v>861</v>
      </c>
      <c r="AO417" s="152" t="s">
        <v>631</v>
      </c>
      <c r="AP417" s="152" t="s">
        <v>628</v>
      </c>
      <c r="AQ417" s="152" t="s">
        <v>662</v>
      </c>
      <c r="AR417" s="152" t="s">
        <v>629</v>
      </c>
      <c r="AS417" s="152" t="s">
        <v>628</v>
      </c>
      <c r="AT417" s="152" t="s">
        <v>702</v>
      </c>
      <c r="AU417" s="152">
        <v>2020</v>
      </c>
      <c r="AV417" s="339">
        <v>5620</v>
      </c>
      <c r="AW417" s="339">
        <v>2006665</v>
      </c>
      <c r="AX417" s="152">
        <v>1</v>
      </c>
      <c r="AY417" s="152">
        <v>0</v>
      </c>
      <c r="AZ417" s="152">
        <v>75</v>
      </c>
      <c r="BA417" s="152">
        <v>5.8447507700000001</v>
      </c>
      <c r="BB417" s="152">
        <v>692</v>
      </c>
      <c r="BC417" s="152">
        <v>90</v>
      </c>
      <c r="BD417" s="152">
        <v>6.0270000000000001</v>
      </c>
    </row>
    <row r="418" spans="1:56" x14ac:dyDescent="0.25">
      <c r="A418" s="152" t="s">
        <v>653</v>
      </c>
      <c r="B418" s="152">
        <v>43.666508999999998</v>
      </c>
      <c r="C418" s="152">
        <v>-97.400463999999999</v>
      </c>
      <c r="D418" s="152">
        <v>26</v>
      </c>
      <c r="E418" s="152" t="s">
        <v>697</v>
      </c>
      <c r="F418" s="152">
        <v>2019</v>
      </c>
      <c r="G418" s="340">
        <v>43601.239583333336</v>
      </c>
      <c r="H418" s="152" t="s">
        <v>637</v>
      </c>
      <c r="I418" s="152" t="s">
        <v>696</v>
      </c>
      <c r="J418" s="152" t="s">
        <v>697</v>
      </c>
      <c r="L418" s="152" t="s">
        <v>649</v>
      </c>
      <c r="M418" s="152" t="s">
        <v>668</v>
      </c>
      <c r="N418" s="152" t="s">
        <v>637</v>
      </c>
      <c r="O418" s="152" t="s">
        <v>647</v>
      </c>
      <c r="P418" s="152" t="s">
        <v>696</v>
      </c>
      <c r="Q418" s="152" t="s">
        <v>637</v>
      </c>
      <c r="R418" s="152" t="s">
        <v>701</v>
      </c>
      <c r="S418" s="152" t="s">
        <v>637</v>
      </c>
      <c r="T418" s="152" t="s">
        <v>701</v>
      </c>
      <c r="U418" s="152" t="s">
        <v>644</v>
      </c>
      <c r="V418" s="152" t="s">
        <v>199</v>
      </c>
      <c r="W418" s="152" t="s">
        <v>643</v>
      </c>
      <c r="Y418" s="152" t="s">
        <v>637</v>
      </c>
      <c r="Z418" s="152" t="s">
        <v>696</v>
      </c>
      <c r="AA418" s="152" t="s">
        <v>782</v>
      </c>
      <c r="AB418" s="152" t="s">
        <v>640</v>
      </c>
      <c r="AC418" s="152" t="s">
        <v>701</v>
      </c>
      <c r="AD418" s="152" t="s">
        <v>752</v>
      </c>
      <c r="AE418" s="152" t="s">
        <v>637</v>
      </c>
      <c r="AF418" s="152" t="s">
        <v>637</v>
      </c>
      <c r="AG418" s="152" t="s">
        <v>637</v>
      </c>
      <c r="AH418" s="152" t="s">
        <v>664</v>
      </c>
      <c r="AI418" s="152" t="s">
        <v>699</v>
      </c>
      <c r="AJ418" s="152" t="s">
        <v>696</v>
      </c>
      <c r="AL418" s="152" t="s">
        <v>637</v>
      </c>
      <c r="AM418" s="152" t="s">
        <v>860</v>
      </c>
      <c r="AO418" s="152" t="s">
        <v>631</v>
      </c>
      <c r="AP418" s="152" t="s">
        <v>697</v>
      </c>
      <c r="AQ418" s="152" t="s">
        <v>703</v>
      </c>
      <c r="AS418" s="152" t="s">
        <v>696</v>
      </c>
      <c r="AT418" s="152" t="s">
        <v>702</v>
      </c>
      <c r="AU418" s="152">
        <v>2019</v>
      </c>
      <c r="AV418" s="339">
        <v>5620</v>
      </c>
      <c r="AW418" s="339">
        <v>1905702</v>
      </c>
      <c r="AX418" s="152">
        <v>16</v>
      </c>
      <c r="AY418" s="152">
        <v>-1</v>
      </c>
      <c r="AZ418" s="152">
        <v>75</v>
      </c>
      <c r="BA418" s="152">
        <v>6.1237996140000002</v>
      </c>
      <c r="BB418" s="152">
        <v>551</v>
      </c>
      <c r="BC418" s="152">
        <v>90</v>
      </c>
      <c r="BD418" s="152">
        <v>6.0270000000000001</v>
      </c>
    </row>
    <row r="419" spans="1:56" x14ac:dyDescent="0.25">
      <c r="A419" s="152" t="s">
        <v>653</v>
      </c>
      <c r="B419" s="152">
        <v>43.66657</v>
      </c>
      <c r="C419" s="152">
        <v>-97.407088999999999</v>
      </c>
      <c r="D419" s="152">
        <v>26</v>
      </c>
      <c r="E419" s="152" t="s">
        <v>697</v>
      </c>
      <c r="F419" s="152">
        <v>2017</v>
      </c>
      <c r="G419" s="340">
        <v>42989.929861111108</v>
      </c>
      <c r="H419" s="152" t="s">
        <v>637</v>
      </c>
      <c r="I419" s="152" t="s">
        <v>696</v>
      </c>
      <c r="J419" s="152" t="s">
        <v>697</v>
      </c>
      <c r="L419" s="152" t="s">
        <v>649</v>
      </c>
      <c r="M419" s="152" t="s">
        <v>685</v>
      </c>
      <c r="N419" s="152" t="s">
        <v>637</v>
      </c>
      <c r="O419" s="152" t="s">
        <v>647</v>
      </c>
      <c r="P419" s="152" t="s">
        <v>696</v>
      </c>
      <c r="Q419" s="152" t="s">
        <v>637</v>
      </c>
      <c r="R419" s="152" t="s">
        <v>701</v>
      </c>
      <c r="S419" s="152" t="s">
        <v>637</v>
      </c>
      <c r="T419" s="152" t="s">
        <v>701</v>
      </c>
      <c r="U419" s="152" t="s">
        <v>644</v>
      </c>
      <c r="V419" s="152" t="s">
        <v>199</v>
      </c>
      <c r="W419" s="152" t="s">
        <v>643</v>
      </c>
      <c r="Y419" s="152" t="s">
        <v>637</v>
      </c>
      <c r="Z419" s="152" t="s">
        <v>642</v>
      </c>
      <c r="AA419" s="152" t="s">
        <v>665</v>
      </c>
      <c r="AB419" s="152" t="s">
        <v>640</v>
      </c>
      <c r="AC419" s="152" t="s">
        <v>701</v>
      </c>
      <c r="AD419" s="152" t="s">
        <v>706</v>
      </c>
      <c r="AE419" s="152" t="s">
        <v>637</v>
      </c>
      <c r="AF419" s="152" t="s">
        <v>637</v>
      </c>
      <c r="AG419" s="152" t="s">
        <v>637</v>
      </c>
      <c r="AH419" s="152" t="s">
        <v>664</v>
      </c>
      <c r="AI419" s="152" t="s">
        <v>699</v>
      </c>
      <c r="AJ419" s="152" t="s">
        <v>696</v>
      </c>
      <c r="AL419" s="152" t="s">
        <v>637</v>
      </c>
      <c r="AM419" s="152" t="s">
        <v>859</v>
      </c>
      <c r="AO419" s="152" t="s">
        <v>631</v>
      </c>
      <c r="AP419" s="152" t="s">
        <v>697</v>
      </c>
      <c r="AQ419" s="152" t="s">
        <v>858</v>
      </c>
      <c r="AS419" s="152" t="s">
        <v>696</v>
      </c>
      <c r="AT419" s="152" t="s">
        <v>702</v>
      </c>
      <c r="AU419" s="152">
        <v>2017</v>
      </c>
      <c r="AV419" s="339">
        <v>5620</v>
      </c>
      <c r="AW419" s="339">
        <v>1711735</v>
      </c>
      <c r="AX419" s="152">
        <v>11</v>
      </c>
      <c r="AY419" s="152">
        <v>-1</v>
      </c>
      <c r="AZ419" s="152">
        <v>75</v>
      </c>
      <c r="BA419" s="152">
        <v>4.3204297929999997</v>
      </c>
      <c r="BB419" s="152">
        <v>281</v>
      </c>
      <c r="BC419" s="152">
        <v>90</v>
      </c>
      <c r="BD419" s="152">
        <v>6.0270000000000001</v>
      </c>
    </row>
    <row r="420" spans="1:56" x14ac:dyDescent="0.25">
      <c r="A420" s="152" t="s">
        <v>653</v>
      </c>
      <c r="B420" s="152">
        <v>43.666587999999997</v>
      </c>
      <c r="C420" s="152">
        <v>-97.408418999999995</v>
      </c>
      <c r="D420" s="152">
        <v>26</v>
      </c>
      <c r="E420" s="152" t="s">
        <v>697</v>
      </c>
      <c r="F420" s="152">
        <v>2017</v>
      </c>
      <c r="G420" s="340">
        <v>43081.770833333336</v>
      </c>
      <c r="H420" s="152" t="s">
        <v>637</v>
      </c>
      <c r="I420" s="152" t="s">
        <v>696</v>
      </c>
      <c r="J420" s="152" t="s">
        <v>697</v>
      </c>
      <c r="L420" s="152" t="s">
        <v>649</v>
      </c>
      <c r="M420" s="152" t="s">
        <v>736</v>
      </c>
      <c r="N420" s="152" t="s">
        <v>637</v>
      </c>
      <c r="O420" s="152" t="s">
        <v>647</v>
      </c>
      <c r="P420" s="152" t="s">
        <v>696</v>
      </c>
      <c r="Q420" s="152" t="s">
        <v>637</v>
      </c>
      <c r="R420" s="152" t="s">
        <v>701</v>
      </c>
      <c r="S420" s="152" t="s">
        <v>637</v>
      </c>
      <c r="T420" s="152" t="s">
        <v>701</v>
      </c>
      <c r="U420" s="152" t="s">
        <v>644</v>
      </c>
      <c r="V420" s="152" t="s">
        <v>199</v>
      </c>
      <c r="W420" s="152" t="s">
        <v>643</v>
      </c>
      <c r="Y420" s="152" t="s">
        <v>637</v>
      </c>
      <c r="Z420" s="152" t="s">
        <v>642</v>
      </c>
      <c r="AA420" s="152" t="s">
        <v>665</v>
      </c>
      <c r="AB420" s="152" t="s">
        <v>640</v>
      </c>
      <c r="AC420" s="152" t="s">
        <v>701</v>
      </c>
      <c r="AD420" s="152" t="s">
        <v>681</v>
      </c>
      <c r="AE420" s="152" t="s">
        <v>637</v>
      </c>
      <c r="AF420" s="152" t="s">
        <v>637</v>
      </c>
      <c r="AG420" s="152" t="s">
        <v>637</v>
      </c>
      <c r="AH420" s="152" t="s">
        <v>664</v>
      </c>
      <c r="AI420" s="152" t="s">
        <v>699</v>
      </c>
      <c r="AJ420" s="152" t="s">
        <v>696</v>
      </c>
      <c r="AL420" s="152" t="s">
        <v>637</v>
      </c>
      <c r="AM420" s="152" t="s">
        <v>857</v>
      </c>
      <c r="AO420" s="152" t="s">
        <v>631</v>
      </c>
      <c r="AP420" s="152" t="s">
        <v>697</v>
      </c>
      <c r="AQ420" s="152" t="s">
        <v>671</v>
      </c>
      <c r="AS420" s="152" t="s">
        <v>696</v>
      </c>
      <c r="AT420" s="152" t="s">
        <v>702</v>
      </c>
      <c r="AU420" s="152">
        <v>2017</v>
      </c>
      <c r="AV420" s="339">
        <v>5620</v>
      </c>
      <c r="AW420" s="339">
        <v>1717428</v>
      </c>
      <c r="AX420" s="152">
        <v>12</v>
      </c>
      <c r="AY420" s="152">
        <v>-1</v>
      </c>
      <c r="AZ420" s="152">
        <v>75</v>
      </c>
      <c r="BA420" s="152">
        <v>5.5634158889999998</v>
      </c>
      <c r="BB420" s="152">
        <v>318</v>
      </c>
      <c r="BC420" s="152">
        <v>90</v>
      </c>
      <c r="BD420" s="152">
        <v>6.0270000000000001</v>
      </c>
    </row>
    <row r="421" spans="1:56" x14ac:dyDescent="0.25">
      <c r="A421" s="152" t="s">
        <v>653</v>
      </c>
      <c r="B421" s="152">
        <v>43.666606999999999</v>
      </c>
      <c r="C421" s="152">
        <v>-97.409887999999995</v>
      </c>
      <c r="D421" s="152">
        <v>26</v>
      </c>
      <c r="E421" s="152" t="s">
        <v>652</v>
      </c>
      <c r="F421" s="152">
        <v>2018</v>
      </c>
      <c r="G421" s="340">
        <v>43165.750694444447</v>
      </c>
      <c r="H421" s="152" t="s">
        <v>637</v>
      </c>
      <c r="I421" s="152" t="s">
        <v>669</v>
      </c>
      <c r="J421" s="152" t="s">
        <v>650</v>
      </c>
      <c r="L421" s="152" t="s">
        <v>649</v>
      </c>
      <c r="M421" s="152" t="s">
        <v>736</v>
      </c>
      <c r="N421" s="152" t="s">
        <v>637</v>
      </c>
      <c r="O421" s="152" t="s">
        <v>647</v>
      </c>
      <c r="P421" s="152" t="s">
        <v>646</v>
      </c>
      <c r="Q421" s="152" t="s">
        <v>637</v>
      </c>
      <c r="R421" s="152" t="s">
        <v>675</v>
      </c>
      <c r="S421" s="152" t="s">
        <v>637</v>
      </c>
      <c r="T421" s="152" t="s">
        <v>674</v>
      </c>
      <c r="U421" s="152" t="s">
        <v>644</v>
      </c>
      <c r="V421" s="152" t="s">
        <v>199</v>
      </c>
      <c r="W421" s="152" t="s">
        <v>643</v>
      </c>
      <c r="Y421" s="152" t="s">
        <v>637</v>
      </c>
      <c r="Z421" s="152" t="s">
        <v>642</v>
      </c>
      <c r="AA421" s="152" t="s">
        <v>856</v>
      </c>
      <c r="AB421" s="152" t="s">
        <v>640</v>
      </c>
      <c r="AC421" s="152" t="s">
        <v>674</v>
      </c>
      <c r="AD421" s="152" t="s">
        <v>691</v>
      </c>
      <c r="AE421" s="152" t="s">
        <v>637</v>
      </c>
      <c r="AF421" s="152" t="s">
        <v>637</v>
      </c>
      <c r="AG421" s="152" t="s">
        <v>637</v>
      </c>
      <c r="AH421" s="152" t="s">
        <v>636</v>
      </c>
      <c r="AI421" s="152" t="s">
        <v>655</v>
      </c>
      <c r="AJ421" s="152" t="s">
        <v>635</v>
      </c>
      <c r="AK421" s="152" t="s">
        <v>634</v>
      </c>
      <c r="AL421" s="152" t="s">
        <v>633</v>
      </c>
      <c r="AM421" s="152" t="s">
        <v>855</v>
      </c>
      <c r="AO421" s="152" t="s">
        <v>631</v>
      </c>
      <c r="AP421" s="152" t="s">
        <v>628</v>
      </c>
      <c r="AQ421" s="152" t="s">
        <v>662</v>
      </c>
      <c r="AR421" s="152" t="s">
        <v>629</v>
      </c>
      <c r="AS421" s="152" t="s">
        <v>678</v>
      </c>
      <c r="AT421" s="152" t="s">
        <v>854</v>
      </c>
      <c r="AU421" s="152">
        <v>2018</v>
      </c>
      <c r="AV421" s="339">
        <v>5620</v>
      </c>
      <c r="AW421" s="339">
        <v>1803403</v>
      </c>
      <c r="AX421" s="152">
        <v>6</v>
      </c>
      <c r="AY421" s="152">
        <v>0</v>
      </c>
      <c r="AZ421" s="152">
        <v>75</v>
      </c>
      <c r="BA421" s="152">
        <v>6.6334429479999999</v>
      </c>
      <c r="BB421" s="152">
        <v>351</v>
      </c>
      <c r="BC421" s="152">
        <v>90</v>
      </c>
      <c r="BD421" s="152">
        <v>6.0270000000000001</v>
      </c>
    </row>
    <row r="422" spans="1:56" x14ac:dyDescent="0.25">
      <c r="A422" s="152" t="s">
        <v>653</v>
      </c>
      <c r="B422" s="152">
        <v>43.666758999999999</v>
      </c>
      <c r="C422" s="152">
        <v>-97.426489000000004</v>
      </c>
      <c r="D422" s="152">
        <v>26</v>
      </c>
      <c r="E422" s="152" t="s">
        <v>697</v>
      </c>
      <c r="F422" s="152">
        <v>2018</v>
      </c>
      <c r="G422" s="340">
        <v>43428.230555555558</v>
      </c>
      <c r="H422" s="152" t="s">
        <v>637</v>
      </c>
      <c r="I422" s="152" t="s">
        <v>696</v>
      </c>
      <c r="J422" s="152" t="s">
        <v>697</v>
      </c>
      <c r="L422" s="152" t="s">
        <v>649</v>
      </c>
      <c r="M422" s="152" t="s">
        <v>693</v>
      </c>
      <c r="N422" s="152" t="s">
        <v>637</v>
      </c>
      <c r="O422" s="152" t="s">
        <v>647</v>
      </c>
      <c r="P422" s="152" t="s">
        <v>696</v>
      </c>
      <c r="Q422" s="152" t="s">
        <v>637</v>
      </c>
      <c r="R422" s="152" t="s">
        <v>701</v>
      </c>
      <c r="S422" s="152" t="s">
        <v>637</v>
      </c>
      <c r="T422" s="152" t="s">
        <v>701</v>
      </c>
      <c r="U422" s="152" t="s">
        <v>644</v>
      </c>
      <c r="V422" s="152" t="s">
        <v>199</v>
      </c>
      <c r="W422" s="152" t="s">
        <v>643</v>
      </c>
      <c r="Y422" s="152" t="s">
        <v>637</v>
      </c>
      <c r="Z422" s="152" t="s">
        <v>642</v>
      </c>
      <c r="AA422" s="152" t="s">
        <v>665</v>
      </c>
      <c r="AB422" s="152" t="s">
        <v>640</v>
      </c>
      <c r="AC422" s="152" t="s">
        <v>701</v>
      </c>
      <c r="AD422" s="152" t="s">
        <v>673</v>
      </c>
      <c r="AE422" s="152" t="s">
        <v>637</v>
      </c>
      <c r="AF422" s="152" t="s">
        <v>637</v>
      </c>
      <c r="AG422" s="152" t="s">
        <v>637</v>
      </c>
      <c r="AH422" s="152" t="s">
        <v>664</v>
      </c>
      <c r="AI422" s="152" t="s">
        <v>699</v>
      </c>
      <c r="AJ422" s="152" t="s">
        <v>696</v>
      </c>
      <c r="AL422" s="152" t="s">
        <v>637</v>
      </c>
      <c r="AM422" s="152" t="s">
        <v>853</v>
      </c>
      <c r="AO422" s="152" t="s">
        <v>631</v>
      </c>
      <c r="AP422" s="152" t="s">
        <v>697</v>
      </c>
      <c r="AQ422" s="152" t="s">
        <v>630</v>
      </c>
      <c r="AS422" s="152" t="s">
        <v>696</v>
      </c>
      <c r="AT422" s="152" t="s">
        <v>702</v>
      </c>
      <c r="AU422" s="152">
        <v>2018</v>
      </c>
      <c r="AV422" s="339">
        <v>5620</v>
      </c>
      <c r="AW422" s="339">
        <v>1815658</v>
      </c>
      <c r="AX422" s="152">
        <v>24</v>
      </c>
      <c r="AY422" s="152">
        <v>-1</v>
      </c>
      <c r="AZ422" s="152">
        <v>75</v>
      </c>
      <c r="BA422" s="152">
        <v>0.88109879499999999</v>
      </c>
      <c r="BB422" s="152">
        <v>483</v>
      </c>
      <c r="BC422" s="152">
        <v>90</v>
      </c>
      <c r="BD422" s="152">
        <v>6.0270000000000001</v>
      </c>
    </row>
    <row r="423" spans="1:56" x14ac:dyDescent="0.25">
      <c r="A423" s="152" t="s">
        <v>653</v>
      </c>
      <c r="B423" s="152">
        <v>43.66677</v>
      </c>
      <c r="C423" s="152">
        <v>-97.428511</v>
      </c>
      <c r="D423" s="152">
        <v>26</v>
      </c>
      <c r="E423" s="152" t="s">
        <v>652</v>
      </c>
      <c r="F423" s="152">
        <v>2016</v>
      </c>
      <c r="G423" s="340">
        <v>42692.145833333336</v>
      </c>
      <c r="H423" s="152" t="s">
        <v>637</v>
      </c>
      <c r="I423" s="152" t="s">
        <v>669</v>
      </c>
      <c r="J423" s="152" t="s">
        <v>650</v>
      </c>
      <c r="L423" s="152" t="s">
        <v>649</v>
      </c>
      <c r="M423" s="152" t="s">
        <v>648</v>
      </c>
      <c r="N423" s="152" t="s">
        <v>637</v>
      </c>
      <c r="O423" s="152" t="s">
        <v>647</v>
      </c>
      <c r="P423" s="152" t="s">
        <v>628</v>
      </c>
      <c r="Q423" s="152" t="s">
        <v>637</v>
      </c>
      <c r="R423" s="152" t="s">
        <v>852</v>
      </c>
      <c r="S423" s="152" t="s">
        <v>637</v>
      </c>
      <c r="T423" s="152" t="s">
        <v>687</v>
      </c>
      <c r="U423" s="152" t="s">
        <v>644</v>
      </c>
      <c r="V423" s="152" t="s">
        <v>199</v>
      </c>
      <c r="W423" s="152" t="s">
        <v>643</v>
      </c>
      <c r="Y423" s="152" t="s">
        <v>637</v>
      </c>
      <c r="Z423" s="152" t="s">
        <v>642</v>
      </c>
      <c r="AA423" s="152" t="s">
        <v>665</v>
      </c>
      <c r="AB423" s="152" t="s">
        <v>640</v>
      </c>
      <c r="AC423" s="152" t="s">
        <v>708</v>
      </c>
      <c r="AD423" s="152" t="s">
        <v>673</v>
      </c>
      <c r="AE423" s="152" t="s">
        <v>637</v>
      </c>
      <c r="AF423" s="152" t="s">
        <v>637</v>
      </c>
      <c r="AG423" s="152" t="s">
        <v>637</v>
      </c>
      <c r="AH423" s="152" t="s">
        <v>636</v>
      </c>
      <c r="AI423" s="152" t="s">
        <v>655</v>
      </c>
      <c r="AJ423" s="152" t="s">
        <v>680</v>
      </c>
      <c r="AK423" s="152" t="s">
        <v>634</v>
      </c>
      <c r="AL423" s="152" t="s">
        <v>637</v>
      </c>
      <c r="AM423" s="152" t="s">
        <v>780</v>
      </c>
      <c r="AO423" s="152" t="s">
        <v>631</v>
      </c>
      <c r="AP423" s="152" t="s">
        <v>628</v>
      </c>
      <c r="AQ423" s="152" t="s">
        <v>826</v>
      </c>
      <c r="AR423" s="152" t="s">
        <v>629</v>
      </c>
      <c r="AS423" s="152" t="s">
        <v>678</v>
      </c>
      <c r="AT423" s="152" t="s">
        <v>670</v>
      </c>
      <c r="AU423" s="152">
        <v>2016</v>
      </c>
      <c r="AV423" s="339">
        <v>5620</v>
      </c>
      <c r="AW423" s="339">
        <v>1617350</v>
      </c>
      <c r="AX423" s="152">
        <v>18</v>
      </c>
      <c r="AY423" s="152">
        <v>0</v>
      </c>
      <c r="AZ423" s="152">
        <v>75</v>
      </c>
      <c r="BA423" s="152">
        <v>2.6166067200000001</v>
      </c>
      <c r="BB423" s="152">
        <v>173</v>
      </c>
      <c r="BC423" s="152">
        <v>90</v>
      </c>
      <c r="BD423" s="152">
        <v>6.0270000000000001</v>
      </c>
    </row>
    <row r="424" spans="1:56" x14ac:dyDescent="0.25">
      <c r="A424" s="152" t="s">
        <v>653</v>
      </c>
      <c r="B424" s="152">
        <v>43.666283</v>
      </c>
      <c r="C424" s="152">
        <v>-97.379075</v>
      </c>
      <c r="D424" s="152">
        <v>27</v>
      </c>
      <c r="E424" s="152" t="s">
        <v>652</v>
      </c>
      <c r="F424" s="152">
        <v>2020</v>
      </c>
      <c r="G424" s="340">
        <v>44173.759027777778</v>
      </c>
      <c r="H424" s="152" t="s">
        <v>637</v>
      </c>
      <c r="I424" s="152" t="s">
        <v>669</v>
      </c>
      <c r="J424" s="152" t="s">
        <v>694</v>
      </c>
      <c r="L424" s="152" t="s">
        <v>649</v>
      </c>
      <c r="M424" s="152" t="s">
        <v>736</v>
      </c>
      <c r="N424" s="152" t="s">
        <v>637</v>
      </c>
      <c r="O424" s="152" t="s">
        <v>647</v>
      </c>
      <c r="P424" s="152" t="s">
        <v>628</v>
      </c>
      <c r="Q424" s="152" t="s">
        <v>637</v>
      </c>
      <c r="R424" s="152" t="s">
        <v>711</v>
      </c>
      <c r="S424" s="152" t="s">
        <v>637</v>
      </c>
      <c r="T424" s="152" t="s">
        <v>711</v>
      </c>
      <c r="U424" s="152" t="s">
        <v>644</v>
      </c>
      <c r="V424" s="152" t="s">
        <v>199</v>
      </c>
      <c r="W424" s="152" t="s">
        <v>643</v>
      </c>
      <c r="Y424" s="152" t="s">
        <v>637</v>
      </c>
      <c r="Z424" s="152" t="s">
        <v>642</v>
      </c>
      <c r="AA424" s="152" t="s">
        <v>665</v>
      </c>
      <c r="AB424" s="152" t="s">
        <v>640</v>
      </c>
      <c r="AC424" s="152" t="s">
        <v>711</v>
      </c>
      <c r="AD424" s="152" t="s">
        <v>681</v>
      </c>
      <c r="AE424" s="152" t="s">
        <v>637</v>
      </c>
      <c r="AF424" s="152" t="s">
        <v>637</v>
      </c>
      <c r="AG424" s="152" t="s">
        <v>637</v>
      </c>
      <c r="AH424" s="152" t="s">
        <v>664</v>
      </c>
      <c r="AI424" s="152" t="s">
        <v>851</v>
      </c>
      <c r="AJ424" s="152" t="s">
        <v>635</v>
      </c>
      <c r="AK424" s="152" t="s">
        <v>634</v>
      </c>
      <c r="AL424" s="152" t="s">
        <v>637</v>
      </c>
      <c r="AM424" s="152" t="s">
        <v>850</v>
      </c>
      <c r="AO424" s="152" t="s">
        <v>631</v>
      </c>
      <c r="AP424" s="152" t="s">
        <v>628</v>
      </c>
      <c r="AQ424" s="152" t="s">
        <v>769</v>
      </c>
      <c r="AR424" s="152" t="s">
        <v>629</v>
      </c>
      <c r="AS424" s="152" t="s">
        <v>628</v>
      </c>
      <c r="AT424" s="152" t="s">
        <v>702</v>
      </c>
      <c r="AU424" s="152">
        <v>2020</v>
      </c>
      <c r="AV424" s="339">
        <v>5660</v>
      </c>
      <c r="AW424" s="339">
        <v>2016203</v>
      </c>
      <c r="AX424" s="152">
        <v>8</v>
      </c>
      <c r="AY424" s="152">
        <v>0</v>
      </c>
      <c r="AZ424" s="152">
        <v>75</v>
      </c>
      <c r="BA424" s="152">
        <v>3.4492835999999999E-2</v>
      </c>
      <c r="BB424" s="152">
        <v>774</v>
      </c>
      <c r="BC424" s="152">
        <v>90</v>
      </c>
      <c r="BD424" s="152">
        <v>4.0320001000000003</v>
      </c>
    </row>
    <row r="425" spans="1:56" x14ac:dyDescent="0.25">
      <c r="A425" s="152" t="s">
        <v>653</v>
      </c>
      <c r="B425" s="152">
        <v>43.666283</v>
      </c>
      <c r="C425" s="152">
        <v>-97.377156999999997</v>
      </c>
      <c r="D425" s="152">
        <v>27</v>
      </c>
      <c r="E425" s="152" t="s">
        <v>652</v>
      </c>
      <c r="F425" s="152">
        <v>2017</v>
      </c>
      <c r="G425" s="340">
        <v>42927.270833333336</v>
      </c>
      <c r="H425" s="152" t="s">
        <v>637</v>
      </c>
      <c r="I425" s="152" t="s">
        <v>669</v>
      </c>
      <c r="J425" s="152" t="s">
        <v>660</v>
      </c>
      <c r="L425" s="152" t="s">
        <v>649</v>
      </c>
      <c r="M425" s="152" t="s">
        <v>736</v>
      </c>
      <c r="N425" s="152" t="s">
        <v>637</v>
      </c>
      <c r="O425" s="152" t="s">
        <v>647</v>
      </c>
      <c r="P425" s="152" t="s">
        <v>628</v>
      </c>
      <c r="Q425" s="152" t="s">
        <v>637</v>
      </c>
      <c r="R425" s="152" t="s">
        <v>849</v>
      </c>
      <c r="S425" s="152" t="s">
        <v>637</v>
      </c>
      <c r="T425" s="152" t="s">
        <v>656</v>
      </c>
      <c r="U425" s="152" t="s">
        <v>644</v>
      </c>
      <c r="V425" s="152" t="s">
        <v>199</v>
      </c>
      <c r="W425" s="152" t="s">
        <v>643</v>
      </c>
      <c r="Y425" s="152" t="s">
        <v>637</v>
      </c>
      <c r="Z425" s="152" t="s">
        <v>642</v>
      </c>
      <c r="AA425" s="152" t="s">
        <v>641</v>
      </c>
      <c r="AB425" s="152" t="s">
        <v>657</v>
      </c>
      <c r="AC425" s="152" t="s">
        <v>656</v>
      </c>
      <c r="AD425" s="152" t="s">
        <v>805</v>
      </c>
      <c r="AE425" s="152" t="s">
        <v>637</v>
      </c>
      <c r="AF425" s="152" t="s">
        <v>637</v>
      </c>
      <c r="AG425" s="152" t="s">
        <v>637</v>
      </c>
      <c r="AH425" s="152" t="s">
        <v>664</v>
      </c>
      <c r="AI425" s="152" t="s">
        <v>848</v>
      </c>
      <c r="AJ425" s="152" t="s">
        <v>680</v>
      </c>
      <c r="AK425" s="152" t="s">
        <v>634</v>
      </c>
      <c r="AL425" s="152" t="s">
        <v>637</v>
      </c>
      <c r="AM425" s="152" t="s">
        <v>847</v>
      </c>
      <c r="AO425" s="152" t="s">
        <v>631</v>
      </c>
      <c r="AP425" s="152" t="s">
        <v>846</v>
      </c>
      <c r="AQ425" s="152" t="s">
        <v>845</v>
      </c>
      <c r="AR425" s="152" t="s">
        <v>629</v>
      </c>
      <c r="AS425" s="152" t="s">
        <v>628</v>
      </c>
      <c r="AT425" s="152" t="s">
        <v>702</v>
      </c>
      <c r="AU425" s="152">
        <v>2017</v>
      </c>
      <c r="AV425" s="339">
        <v>5660</v>
      </c>
      <c r="AW425" s="339">
        <v>1708455</v>
      </c>
      <c r="AX425" s="152">
        <v>11</v>
      </c>
      <c r="AY425" s="152">
        <v>0</v>
      </c>
      <c r="AZ425" s="152">
        <v>75</v>
      </c>
      <c r="BA425" s="152">
        <v>0.71587946000000002</v>
      </c>
      <c r="BB425" s="152">
        <v>259</v>
      </c>
      <c r="BC425" s="152">
        <v>90</v>
      </c>
      <c r="BD425" s="152">
        <v>4.0320001000000003</v>
      </c>
    </row>
    <row r="426" spans="1:56" x14ac:dyDescent="0.25">
      <c r="A426" s="152" t="s">
        <v>653</v>
      </c>
      <c r="B426" s="152">
        <v>43.666293000000003</v>
      </c>
      <c r="C426" s="152">
        <v>-97.375307000000006</v>
      </c>
      <c r="D426" s="152">
        <v>27</v>
      </c>
      <c r="E426" s="152" t="s">
        <v>652</v>
      </c>
      <c r="F426" s="152">
        <v>2019</v>
      </c>
      <c r="G426" s="340">
        <v>43812.791666666664</v>
      </c>
      <c r="H426" s="152" t="s">
        <v>637</v>
      </c>
      <c r="I426" s="152" t="s">
        <v>669</v>
      </c>
      <c r="J426" s="152" t="s">
        <v>694</v>
      </c>
      <c r="L426" s="152" t="s">
        <v>649</v>
      </c>
      <c r="M426" s="152" t="s">
        <v>648</v>
      </c>
      <c r="N426" s="152" t="s">
        <v>637</v>
      </c>
      <c r="O426" s="152" t="s">
        <v>647</v>
      </c>
      <c r="P426" s="152" t="s">
        <v>646</v>
      </c>
      <c r="Q426" s="152" t="s">
        <v>637</v>
      </c>
      <c r="R426" s="152" t="s">
        <v>825</v>
      </c>
      <c r="S426" s="152" t="s">
        <v>637</v>
      </c>
      <c r="T426" s="152" t="s">
        <v>708</v>
      </c>
      <c r="U426" s="152" t="s">
        <v>644</v>
      </c>
      <c r="V426" s="152" t="s">
        <v>199</v>
      </c>
      <c r="W426" s="152" t="s">
        <v>643</v>
      </c>
      <c r="Y426" s="152" t="s">
        <v>637</v>
      </c>
      <c r="Z426" s="152" t="s">
        <v>642</v>
      </c>
      <c r="AA426" s="152" t="s">
        <v>665</v>
      </c>
      <c r="AB426" s="152" t="s">
        <v>640</v>
      </c>
      <c r="AC426" s="152" t="s">
        <v>708</v>
      </c>
      <c r="AD426" s="152" t="s">
        <v>681</v>
      </c>
      <c r="AE426" s="152" t="s">
        <v>637</v>
      </c>
      <c r="AF426" s="152" t="s">
        <v>637</v>
      </c>
      <c r="AG426" s="152" t="s">
        <v>637</v>
      </c>
      <c r="AH426" s="152" t="s">
        <v>677</v>
      </c>
      <c r="AI426" s="152" t="s">
        <v>655</v>
      </c>
      <c r="AJ426" s="152" t="s">
        <v>635</v>
      </c>
      <c r="AK426" s="152" t="s">
        <v>634</v>
      </c>
      <c r="AL426" s="152" t="s">
        <v>633</v>
      </c>
      <c r="AM426" s="152" t="s">
        <v>822</v>
      </c>
      <c r="AO426" s="152" t="s">
        <v>631</v>
      </c>
      <c r="AP426" s="152" t="s">
        <v>628</v>
      </c>
      <c r="AQ426" s="152" t="s">
        <v>703</v>
      </c>
      <c r="AR426" s="152" t="s">
        <v>629</v>
      </c>
      <c r="AS426" s="152" t="s">
        <v>678</v>
      </c>
      <c r="AT426" s="152" t="s">
        <v>844</v>
      </c>
      <c r="AU426" s="152">
        <v>2019</v>
      </c>
      <c r="AV426" s="339">
        <v>5660</v>
      </c>
      <c r="AW426" s="339">
        <v>1919592</v>
      </c>
      <c r="AX426" s="152">
        <v>13</v>
      </c>
      <c r="AY426" s="152">
        <v>0</v>
      </c>
      <c r="AZ426" s="152">
        <v>75</v>
      </c>
      <c r="BA426" s="152">
        <v>4.1693540000000001E-3</v>
      </c>
      <c r="BB426" s="152">
        <v>629</v>
      </c>
      <c r="BC426" s="152">
        <v>90</v>
      </c>
      <c r="BD426" s="152">
        <v>4.0320001000000003</v>
      </c>
    </row>
    <row r="427" spans="1:56" x14ac:dyDescent="0.25">
      <c r="A427" s="152" t="s">
        <v>653</v>
      </c>
      <c r="B427" s="152">
        <v>43.666305999999999</v>
      </c>
      <c r="C427" s="152">
        <v>-97.373604</v>
      </c>
      <c r="D427" s="152">
        <v>27</v>
      </c>
      <c r="E427" s="152" t="s">
        <v>697</v>
      </c>
      <c r="F427" s="152">
        <v>2020</v>
      </c>
      <c r="G427" s="340">
        <v>44121.958333333336</v>
      </c>
      <c r="H427" s="152" t="s">
        <v>637</v>
      </c>
      <c r="I427" s="152" t="s">
        <v>696</v>
      </c>
      <c r="J427" s="152" t="s">
        <v>697</v>
      </c>
      <c r="L427" s="152" t="s">
        <v>649</v>
      </c>
      <c r="M427" s="152" t="s">
        <v>693</v>
      </c>
      <c r="N427" s="152" t="s">
        <v>637</v>
      </c>
      <c r="O427" s="152" t="s">
        <v>647</v>
      </c>
      <c r="P427" s="152" t="s">
        <v>696</v>
      </c>
      <c r="Q427" s="152" t="s">
        <v>637</v>
      </c>
      <c r="R427" s="152" t="s">
        <v>701</v>
      </c>
      <c r="S427" s="152" t="s">
        <v>637</v>
      </c>
      <c r="T427" s="152" t="s">
        <v>701</v>
      </c>
      <c r="U427" s="152" t="s">
        <v>644</v>
      </c>
      <c r="V427" s="152" t="s">
        <v>199</v>
      </c>
      <c r="W427" s="152" t="s">
        <v>643</v>
      </c>
      <c r="Y427" s="152" t="s">
        <v>637</v>
      </c>
      <c r="Z427" s="152" t="s">
        <v>696</v>
      </c>
      <c r="AA427" s="152" t="s">
        <v>665</v>
      </c>
      <c r="AB427" s="152" t="s">
        <v>640</v>
      </c>
      <c r="AC427" s="152" t="s">
        <v>701</v>
      </c>
      <c r="AD427" s="152" t="s">
        <v>700</v>
      </c>
      <c r="AE427" s="152" t="s">
        <v>637</v>
      </c>
      <c r="AF427" s="152" t="s">
        <v>637</v>
      </c>
      <c r="AG427" s="152" t="s">
        <v>637</v>
      </c>
      <c r="AH427" s="152" t="s">
        <v>664</v>
      </c>
      <c r="AI427" s="152" t="s">
        <v>699</v>
      </c>
      <c r="AJ427" s="152" t="s">
        <v>696</v>
      </c>
      <c r="AL427" s="152" t="s">
        <v>637</v>
      </c>
      <c r="AM427" s="152" t="s">
        <v>761</v>
      </c>
      <c r="AO427" s="152" t="s">
        <v>631</v>
      </c>
      <c r="AP427" s="152" t="s">
        <v>697</v>
      </c>
      <c r="AQ427" s="152" t="s">
        <v>630</v>
      </c>
      <c r="AS427" s="152" t="s">
        <v>696</v>
      </c>
      <c r="AT427" s="152" t="s">
        <v>702</v>
      </c>
      <c r="AU427" s="152">
        <v>2020</v>
      </c>
      <c r="AV427" s="339">
        <v>5660</v>
      </c>
      <c r="AW427" s="339">
        <v>2012821</v>
      </c>
      <c r="AX427" s="152">
        <v>17</v>
      </c>
      <c r="AY427" s="152">
        <v>-1</v>
      </c>
      <c r="AZ427" s="152">
        <v>75</v>
      </c>
      <c r="BA427" s="152">
        <v>6.9549184E-2</v>
      </c>
      <c r="BB427" s="152">
        <v>739</v>
      </c>
      <c r="BC427" s="152">
        <v>90</v>
      </c>
      <c r="BD427" s="152">
        <v>4.0320001000000003</v>
      </c>
    </row>
    <row r="428" spans="1:56" x14ac:dyDescent="0.25">
      <c r="A428" s="152" t="s">
        <v>653</v>
      </c>
      <c r="B428" s="152">
        <v>43.666319999999999</v>
      </c>
      <c r="C428" s="152">
        <v>-97.371723000000003</v>
      </c>
      <c r="D428" s="152">
        <v>27</v>
      </c>
      <c r="E428" s="152" t="s">
        <v>697</v>
      </c>
      <c r="F428" s="152">
        <v>2020</v>
      </c>
      <c r="G428" s="340">
        <v>44105.895833333336</v>
      </c>
      <c r="H428" s="152" t="s">
        <v>637</v>
      </c>
      <c r="I428" s="152" t="s">
        <v>696</v>
      </c>
      <c r="J428" s="152" t="s">
        <v>697</v>
      </c>
      <c r="L428" s="152" t="s">
        <v>649</v>
      </c>
      <c r="M428" s="152" t="s">
        <v>668</v>
      </c>
      <c r="N428" s="152" t="s">
        <v>637</v>
      </c>
      <c r="O428" s="152" t="s">
        <v>647</v>
      </c>
      <c r="P428" s="152" t="s">
        <v>696</v>
      </c>
      <c r="Q428" s="152" t="s">
        <v>637</v>
      </c>
      <c r="R428" s="152" t="s">
        <v>701</v>
      </c>
      <c r="S428" s="152" t="s">
        <v>637</v>
      </c>
      <c r="T428" s="152" t="s">
        <v>701</v>
      </c>
      <c r="U428" s="152" t="s">
        <v>644</v>
      </c>
      <c r="V428" s="152" t="s">
        <v>199</v>
      </c>
      <c r="W428" s="152" t="s">
        <v>643</v>
      </c>
      <c r="Y428" s="152" t="s">
        <v>637</v>
      </c>
      <c r="Z428" s="152" t="s">
        <v>696</v>
      </c>
      <c r="AA428" s="152" t="s">
        <v>665</v>
      </c>
      <c r="AB428" s="152" t="s">
        <v>640</v>
      </c>
      <c r="AC428" s="152" t="s">
        <v>701</v>
      </c>
      <c r="AD428" s="152" t="s">
        <v>700</v>
      </c>
      <c r="AE428" s="152" t="s">
        <v>637</v>
      </c>
      <c r="AF428" s="152" t="s">
        <v>637</v>
      </c>
      <c r="AG428" s="152" t="s">
        <v>637</v>
      </c>
      <c r="AH428" s="152" t="s">
        <v>664</v>
      </c>
      <c r="AI428" s="152" t="s">
        <v>699</v>
      </c>
      <c r="AJ428" s="152" t="s">
        <v>696</v>
      </c>
      <c r="AL428" s="152" t="s">
        <v>637</v>
      </c>
      <c r="AM428" s="152" t="s">
        <v>843</v>
      </c>
      <c r="AO428" s="152" t="s">
        <v>631</v>
      </c>
      <c r="AP428" s="152" t="s">
        <v>697</v>
      </c>
      <c r="AQ428" s="152" t="s">
        <v>703</v>
      </c>
      <c r="AS428" s="152" t="s">
        <v>696</v>
      </c>
      <c r="AT428" s="152" t="s">
        <v>702</v>
      </c>
      <c r="AU428" s="152">
        <v>2020</v>
      </c>
      <c r="AV428" s="339">
        <v>5660</v>
      </c>
      <c r="AW428" s="339">
        <v>2012356</v>
      </c>
      <c r="AX428" s="152">
        <v>1</v>
      </c>
      <c r="AY428" s="152">
        <v>-1</v>
      </c>
      <c r="AZ428" s="152">
        <v>75</v>
      </c>
      <c r="BA428" s="152">
        <v>1.0046092680000001</v>
      </c>
      <c r="BB428" s="152">
        <v>732</v>
      </c>
      <c r="BC428" s="152">
        <v>90</v>
      </c>
      <c r="BD428" s="152">
        <v>4.0320001000000003</v>
      </c>
    </row>
    <row r="429" spans="1:56" x14ac:dyDescent="0.25">
      <c r="A429" s="152" t="s">
        <v>653</v>
      </c>
      <c r="B429" s="152">
        <v>43.666331</v>
      </c>
      <c r="C429" s="152">
        <v>-97.370168000000007</v>
      </c>
      <c r="D429" s="152">
        <v>27</v>
      </c>
      <c r="E429" s="152" t="s">
        <v>697</v>
      </c>
      <c r="F429" s="152">
        <v>2017</v>
      </c>
      <c r="G429" s="340">
        <v>42877.674305555556</v>
      </c>
      <c r="H429" s="152" t="s">
        <v>637</v>
      </c>
      <c r="I429" s="152" t="s">
        <v>696</v>
      </c>
      <c r="J429" s="152" t="s">
        <v>697</v>
      </c>
      <c r="L429" s="152" t="s">
        <v>649</v>
      </c>
      <c r="M429" s="152" t="s">
        <v>685</v>
      </c>
      <c r="N429" s="152" t="s">
        <v>637</v>
      </c>
      <c r="O429" s="152" t="s">
        <v>647</v>
      </c>
      <c r="P429" s="152" t="s">
        <v>696</v>
      </c>
      <c r="Q429" s="152" t="s">
        <v>637</v>
      </c>
      <c r="R429" s="152" t="s">
        <v>701</v>
      </c>
      <c r="S429" s="152" t="s">
        <v>637</v>
      </c>
      <c r="T429" s="152" t="s">
        <v>701</v>
      </c>
      <c r="U429" s="152" t="s">
        <v>644</v>
      </c>
      <c r="V429" s="152" t="s">
        <v>199</v>
      </c>
      <c r="W429" s="152" t="s">
        <v>643</v>
      </c>
      <c r="Y429" s="152" t="s">
        <v>637</v>
      </c>
      <c r="Z429" s="152" t="s">
        <v>642</v>
      </c>
      <c r="AA429" s="152" t="s">
        <v>641</v>
      </c>
      <c r="AB429" s="152" t="s">
        <v>640</v>
      </c>
      <c r="AC429" s="152" t="s">
        <v>701</v>
      </c>
      <c r="AD429" s="152" t="s">
        <v>752</v>
      </c>
      <c r="AE429" s="152" t="s">
        <v>637</v>
      </c>
      <c r="AF429" s="152" t="s">
        <v>637</v>
      </c>
      <c r="AG429" s="152" t="s">
        <v>637</v>
      </c>
      <c r="AH429" s="152" t="s">
        <v>664</v>
      </c>
      <c r="AI429" s="152" t="s">
        <v>699</v>
      </c>
      <c r="AJ429" s="152" t="s">
        <v>696</v>
      </c>
      <c r="AL429" s="152" t="s">
        <v>637</v>
      </c>
      <c r="AM429" s="152" t="s">
        <v>842</v>
      </c>
      <c r="AO429" s="152" t="s">
        <v>631</v>
      </c>
      <c r="AP429" s="152" t="s">
        <v>697</v>
      </c>
      <c r="AQ429" s="152" t="s">
        <v>630</v>
      </c>
      <c r="AS429" s="152" t="s">
        <v>696</v>
      </c>
      <c r="AT429" s="152" t="s">
        <v>702</v>
      </c>
      <c r="AU429" s="152">
        <v>2017</v>
      </c>
      <c r="AV429" s="339">
        <v>5660</v>
      </c>
      <c r="AW429" s="339">
        <v>1706282</v>
      </c>
      <c r="AX429" s="152">
        <v>22</v>
      </c>
      <c r="AY429" s="152">
        <v>-1</v>
      </c>
      <c r="AZ429" s="152">
        <v>75</v>
      </c>
      <c r="BA429" s="152">
        <v>1.944197352</v>
      </c>
      <c r="BB429" s="152">
        <v>229</v>
      </c>
      <c r="BC429" s="152">
        <v>90</v>
      </c>
      <c r="BD429" s="152">
        <v>4.0320001000000003</v>
      </c>
    </row>
    <row r="430" spans="1:56" x14ac:dyDescent="0.25">
      <c r="A430" s="152" t="s">
        <v>653</v>
      </c>
      <c r="B430" s="152">
        <v>43.666334999999997</v>
      </c>
      <c r="C430" s="152">
        <v>-97.370553000000001</v>
      </c>
      <c r="D430" s="152">
        <v>27</v>
      </c>
      <c r="E430" s="152" t="s">
        <v>697</v>
      </c>
      <c r="F430" s="152">
        <v>2018</v>
      </c>
      <c r="G430" s="340">
        <v>43356.263888888891</v>
      </c>
      <c r="H430" s="152" t="s">
        <v>637</v>
      </c>
      <c r="I430" s="152" t="s">
        <v>696</v>
      </c>
      <c r="J430" s="152" t="s">
        <v>697</v>
      </c>
      <c r="L430" s="152" t="s">
        <v>649</v>
      </c>
      <c r="M430" s="152" t="s">
        <v>668</v>
      </c>
      <c r="N430" s="152" t="s">
        <v>637</v>
      </c>
      <c r="O430" s="152" t="s">
        <v>647</v>
      </c>
      <c r="P430" s="152" t="s">
        <v>696</v>
      </c>
      <c r="Q430" s="152" t="s">
        <v>637</v>
      </c>
      <c r="R430" s="152" t="s">
        <v>701</v>
      </c>
      <c r="S430" s="152" t="s">
        <v>637</v>
      </c>
      <c r="T430" s="152" t="s">
        <v>701</v>
      </c>
      <c r="U430" s="152" t="s">
        <v>644</v>
      </c>
      <c r="V430" s="152" t="s">
        <v>199</v>
      </c>
      <c r="W430" s="152" t="s">
        <v>643</v>
      </c>
      <c r="Y430" s="152" t="s">
        <v>637</v>
      </c>
      <c r="Z430" s="152" t="s">
        <v>642</v>
      </c>
      <c r="AA430" s="152" t="s">
        <v>641</v>
      </c>
      <c r="AB430" s="152" t="s">
        <v>640</v>
      </c>
      <c r="AC430" s="152" t="s">
        <v>701</v>
      </c>
      <c r="AD430" s="152" t="s">
        <v>706</v>
      </c>
      <c r="AE430" s="152" t="s">
        <v>637</v>
      </c>
      <c r="AF430" s="152" t="s">
        <v>637</v>
      </c>
      <c r="AG430" s="152" t="s">
        <v>637</v>
      </c>
      <c r="AH430" s="152" t="s">
        <v>664</v>
      </c>
      <c r="AI430" s="152" t="s">
        <v>699</v>
      </c>
      <c r="AJ430" s="152" t="s">
        <v>696</v>
      </c>
      <c r="AL430" s="152" t="s">
        <v>637</v>
      </c>
      <c r="AM430" s="152" t="s">
        <v>794</v>
      </c>
      <c r="AO430" s="152" t="s">
        <v>631</v>
      </c>
      <c r="AP430" s="152" t="s">
        <v>697</v>
      </c>
      <c r="AQ430" s="152" t="s">
        <v>630</v>
      </c>
      <c r="AS430" s="152" t="s">
        <v>696</v>
      </c>
      <c r="AT430" s="152" t="s">
        <v>702</v>
      </c>
      <c r="AU430" s="152">
        <v>2018</v>
      </c>
      <c r="AV430" s="339">
        <v>5660</v>
      </c>
      <c r="AW430" s="339">
        <v>1811296</v>
      </c>
      <c r="AX430" s="152">
        <v>13</v>
      </c>
      <c r="AY430" s="152">
        <v>-1</v>
      </c>
      <c r="AZ430" s="152">
        <v>75</v>
      </c>
      <c r="BA430" s="152">
        <v>4.1643226560000004</v>
      </c>
      <c r="BB430" s="152">
        <v>443</v>
      </c>
      <c r="BC430" s="152">
        <v>90</v>
      </c>
      <c r="BD430" s="152">
        <v>4.0320001000000003</v>
      </c>
    </row>
    <row r="431" spans="1:56" x14ac:dyDescent="0.25">
      <c r="A431" s="152" t="s">
        <v>653</v>
      </c>
      <c r="B431" s="152">
        <v>43.666334999999997</v>
      </c>
      <c r="C431" s="152">
        <v>-97.370553000000001</v>
      </c>
      <c r="D431" s="152">
        <v>27</v>
      </c>
      <c r="E431" s="152" t="s">
        <v>697</v>
      </c>
      <c r="F431" s="152">
        <v>2018</v>
      </c>
      <c r="G431" s="340">
        <v>43356.263888888891</v>
      </c>
      <c r="H431" s="152" t="s">
        <v>637</v>
      </c>
      <c r="I431" s="152" t="s">
        <v>696</v>
      </c>
      <c r="J431" s="152" t="s">
        <v>697</v>
      </c>
      <c r="L431" s="152" t="s">
        <v>649</v>
      </c>
      <c r="M431" s="152" t="s">
        <v>668</v>
      </c>
      <c r="N431" s="152" t="s">
        <v>637</v>
      </c>
      <c r="O431" s="152" t="s">
        <v>647</v>
      </c>
      <c r="P431" s="152" t="s">
        <v>696</v>
      </c>
      <c r="Q431" s="152" t="s">
        <v>637</v>
      </c>
      <c r="R431" s="152" t="s">
        <v>701</v>
      </c>
      <c r="S431" s="152" t="s">
        <v>637</v>
      </c>
      <c r="T431" s="152" t="s">
        <v>701</v>
      </c>
      <c r="U431" s="152" t="s">
        <v>644</v>
      </c>
      <c r="V431" s="152" t="s">
        <v>199</v>
      </c>
      <c r="W431" s="152" t="s">
        <v>643</v>
      </c>
      <c r="Y431" s="152" t="s">
        <v>637</v>
      </c>
      <c r="Z431" s="152" t="s">
        <v>642</v>
      </c>
      <c r="AA431" s="152" t="s">
        <v>641</v>
      </c>
      <c r="AB431" s="152" t="s">
        <v>640</v>
      </c>
      <c r="AC431" s="152" t="s">
        <v>701</v>
      </c>
      <c r="AD431" s="152" t="s">
        <v>706</v>
      </c>
      <c r="AE431" s="152" t="s">
        <v>637</v>
      </c>
      <c r="AF431" s="152" t="s">
        <v>637</v>
      </c>
      <c r="AG431" s="152" t="s">
        <v>637</v>
      </c>
      <c r="AH431" s="152" t="s">
        <v>664</v>
      </c>
      <c r="AI431" s="152" t="s">
        <v>699</v>
      </c>
      <c r="AJ431" s="152" t="s">
        <v>696</v>
      </c>
      <c r="AL431" s="152" t="s">
        <v>637</v>
      </c>
      <c r="AM431" s="152" t="s">
        <v>794</v>
      </c>
      <c r="AO431" s="152" t="s">
        <v>631</v>
      </c>
      <c r="AP431" s="152" t="s">
        <v>697</v>
      </c>
      <c r="AQ431" s="152" t="s">
        <v>630</v>
      </c>
      <c r="AS431" s="152" t="s">
        <v>696</v>
      </c>
      <c r="AT431" s="152" t="s">
        <v>702</v>
      </c>
      <c r="AU431" s="152">
        <v>2018</v>
      </c>
      <c r="AV431" s="339">
        <v>5660</v>
      </c>
      <c r="AW431" s="339">
        <v>1811295</v>
      </c>
      <c r="AX431" s="152">
        <v>13</v>
      </c>
      <c r="AY431" s="152">
        <v>-1</v>
      </c>
      <c r="AZ431" s="152">
        <v>75</v>
      </c>
      <c r="BA431" s="152">
        <v>4.1643226560000004</v>
      </c>
      <c r="BB431" s="152">
        <v>442</v>
      </c>
      <c r="BC431" s="152">
        <v>90</v>
      </c>
      <c r="BD431" s="152">
        <v>4.0320001000000003</v>
      </c>
    </row>
    <row r="432" spans="1:56" x14ac:dyDescent="0.25">
      <c r="A432" s="152" t="s">
        <v>653</v>
      </c>
      <c r="B432" s="152">
        <v>43.666339000000001</v>
      </c>
      <c r="C432" s="152">
        <v>-97.369651000000005</v>
      </c>
      <c r="D432" s="152">
        <v>27</v>
      </c>
      <c r="E432" s="152" t="s">
        <v>759</v>
      </c>
      <c r="F432" s="152">
        <v>2016</v>
      </c>
      <c r="G432" s="340">
        <v>42565.585416666669</v>
      </c>
      <c r="H432" s="152" t="s">
        <v>637</v>
      </c>
      <c r="I432" s="152" t="s">
        <v>669</v>
      </c>
      <c r="J432" s="152" t="s">
        <v>744</v>
      </c>
      <c r="K432" s="152" t="s">
        <v>743</v>
      </c>
      <c r="L432" s="152" t="s">
        <v>649</v>
      </c>
      <c r="M432" s="152" t="s">
        <v>668</v>
      </c>
      <c r="N432" s="152" t="s">
        <v>637</v>
      </c>
      <c r="O432" s="152" t="s">
        <v>647</v>
      </c>
      <c r="P432" s="152" t="s">
        <v>803</v>
      </c>
      <c r="Q432" s="152" t="s">
        <v>637</v>
      </c>
      <c r="R432" s="152" t="s">
        <v>656</v>
      </c>
      <c r="S432" s="152" t="s">
        <v>633</v>
      </c>
      <c r="T432" s="152" t="s">
        <v>656</v>
      </c>
      <c r="U432" s="152" t="s">
        <v>644</v>
      </c>
      <c r="V432" s="152" t="s">
        <v>199</v>
      </c>
      <c r="W432" s="152" t="s">
        <v>643</v>
      </c>
      <c r="Y432" s="152" t="s">
        <v>637</v>
      </c>
      <c r="Z432" s="152" t="s">
        <v>642</v>
      </c>
      <c r="AA432" s="152" t="s">
        <v>641</v>
      </c>
      <c r="AB432" s="152" t="s">
        <v>740</v>
      </c>
      <c r="AC432" s="152" t="s">
        <v>656</v>
      </c>
      <c r="AD432" s="152" t="s">
        <v>805</v>
      </c>
      <c r="AE432" s="152" t="s">
        <v>637</v>
      </c>
      <c r="AF432" s="152" t="s">
        <v>637</v>
      </c>
      <c r="AG432" s="152" t="s">
        <v>637</v>
      </c>
      <c r="AH432" s="152" t="s">
        <v>664</v>
      </c>
      <c r="AI432" s="152" t="s">
        <v>628</v>
      </c>
      <c r="AJ432" s="152" t="s">
        <v>635</v>
      </c>
      <c r="AK432" s="152" t="s">
        <v>634</v>
      </c>
      <c r="AL432" s="152" t="s">
        <v>637</v>
      </c>
      <c r="AM432" s="152" t="s">
        <v>841</v>
      </c>
      <c r="AO432" s="152" t="s">
        <v>631</v>
      </c>
      <c r="AP432" s="152" t="s">
        <v>628</v>
      </c>
      <c r="AQ432" s="152" t="s">
        <v>779</v>
      </c>
      <c r="AR432" s="152" t="s">
        <v>629</v>
      </c>
      <c r="AS432" s="152" t="s">
        <v>628</v>
      </c>
      <c r="AT432" s="152" t="s">
        <v>702</v>
      </c>
      <c r="AU432" s="152">
        <v>2016</v>
      </c>
      <c r="AV432" s="339">
        <v>5660</v>
      </c>
      <c r="AW432" s="339">
        <v>1608503</v>
      </c>
      <c r="AX432" s="152">
        <v>14</v>
      </c>
      <c r="AY432" s="152">
        <v>0</v>
      </c>
      <c r="AZ432" s="152">
        <v>75</v>
      </c>
      <c r="BA432" s="152">
        <v>3.4641953120000002</v>
      </c>
      <c r="BB432" s="152">
        <v>90</v>
      </c>
      <c r="BC432" s="152">
        <v>90</v>
      </c>
      <c r="BD432" s="152">
        <v>4.0320001000000003</v>
      </c>
    </row>
    <row r="433" spans="1:56" x14ac:dyDescent="0.25">
      <c r="A433" s="152" t="s">
        <v>653</v>
      </c>
      <c r="B433" s="152">
        <v>43.666342</v>
      </c>
      <c r="C433" s="152">
        <v>-97.369174999999998</v>
      </c>
      <c r="D433" s="152">
        <v>27</v>
      </c>
      <c r="E433" s="152" t="s">
        <v>652</v>
      </c>
      <c r="F433" s="152">
        <v>2018</v>
      </c>
      <c r="G433" s="340">
        <v>43153.586805555555</v>
      </c>
      <c r="H433" s="152" t="s">
        <v>637</v>
      </c>
      <c r="I433" s="152" t="s">
        <v>669</v>
      </c>
      <c r="J433" s="152" t="s">
        <v>650</v>
      </c>
      <c r="L433" s="152" t="s">
        <v>649</v>
      </c>
      <c r="M433" s="152" t="s">
        <v>668</v>
      </c>
      <c r="N433" s="152" t="s">
        <v>637</v>
      </c>
      <c r="O433" s="152" t="s">
        <v>647</v>
      </c>
      <c r="P433" s="152" t="s">
        <v>840</v>
      </c>
      <c r="Q433" s="152" t="s">
        <v>637</v>
      </c>
      <c r="R433" s="152" t="s">
        <v>839</v>
      </c>
      <c r="S433" s="152" t="s">
        <v>637</v>
      </c>
      <c r="T433" s="152" t="s">
        <v>682</v>
      </c>
      <c r="U433" s="152" t="s">
        <v>644</v>
      </c>
      <c r="V433" s="152" t="s">
        <v>199</v>
      </c>
      <c r="W433" s="152" t="s">
        <v>643</v>
      </c>
      <c r="Y433" s="152" t="s">
        <v>637</v>
      </c>
      <c r="Z433" s="152" t="s">
        <v>642</v>
      </c>
      <c r="AA433" s="152" t="s">
        <v>641</v>
      </c>
      <c r="AB433" s="152" t="s">
        <v>640</v>
      </c>
      <c r="AC433" s="152" t="s">
        <v>682</v>
      </c>
      <c r="AD433" s="152" t="s">
        <v>718</v>
      </c>
      <c r="AE433" s="152" t="s">
        <v>637</v>
      </c>
      <c r="AF433" s="152" t="s">
        <v>633</v>
      </c>
      <c r="AG433" s="152" t="s">
        <v>637</v>
      </c>
      <c r="AH433" s="152" t="s">
        <v>677</v>
      </c>
      <c r="AI433" s="152" t="s">
        <v>838</v>
      </c>
      <c r="AJ433" s="152" t="s">
        <v>635</v>
      </c>
      <c r="AK433" s="152" t="s">
        <v>634</v>
      </c>
      <c r="AL433" s="152" t="s">
        <v>637</v>
      </c>
      <c r="AM433" s="152" t="s">
        <v>837</v>
      </c>
      <c r="AO433" s="152" t="s">
        <v>631</v>
      </c>
      <c r="AP433" s="152" t="s">
        <v>628</v>
      </c>
      <c r="AQ433" s="152" t="s">
        <v>630</v>
      </c>
      <c r="AR433" s="152" t="s">
        <v>629</v>
      </c>
      <c r="AS433" s="152" t="s">
        <v>836</v>
      </c>
      <c r="AT433" s="152" t="s">
        <v>677</v>
      </c>
      <c r="AU433" s="152">
        <v>2018</v>
      </c>
      <c r="AV433" s="339">
        <v>5660</v>
      </c>
      <c r="AW433" s="339">
        <v>1802619</v>
      </c>
      <c r="AX433" s="152">
        <v>22</v>
      </c>
      <c r="AY433" s="152">
        <v>0</v>
      </c>
      <c r="AZ433" s="152">
        <v>75</v>
      </c>
      <c r="BA433" s="152">
        <v>3.2731230139999998</v>
      </c>
      <c r="BB433" s="152">
        <v>336</v>
      </c>
      <c r="BC433" s="152">
        <v>90</v>
      </c>
      <c r="BD433" s="152">
        <v>4.0320001000000003</v>
      </c>
    </row>
    <row r="434" spans="1:56" x14ac:dyDescent="0.25">
      <c r="A434" s="152" t="s">
        <v>653</v>
      </c>
      <c r="B434" s="152">
        <v>43.666355000000003</v>
      </c>
      <c r="C434" s="152">
        <v>-97.366412999999994</v>
      </c>
      <c r="D434" s="152">
        <v>27</v>
      </c>
      <c r="E434" s="152" t="s">
        <v>697</v>
      </c>
      <c r="F434" s="152">
        <v>2018</v>
      </c>
      <c r="G434" s="340">
        <v>43413.263888888891</v>
      </c>
      <c r="H434" s="152" t="s">
        <v>637</v>
      </c>
      <c r="I434" s="152" t="s">
        <v>696</v>
      </c>
      <c r="J434" s="152" t="s">
        <v>697</v>
      </c>
      <c r="L434" s="152" t="s">
        <v>649</v>
      </c>
      <c r="M434" s="152" t="s">
        <v>648</v>
      </c>
      <c r="N434" s="152" t="s">
        <v>637</v>
      </c>
      <c r="O434" s="152" t="s">
        <v>647</v>
      </c>
      <c r="P434" s="152" t="s">
        <v>696</v>
      </c>
      <c r="Q434" s="152" t="s">
        <v>637</v>
      </c>
      <c r="R434" s="152" t="s">
        <v>701</v>
      </c>
      <c r="S434" s="152" t="s">
        <v>637</v>
      </c>
      <c r="T434" s="152" t="s">
        <v>701</v>
      </c>
      <c r="U434" s="152" t="s">
        <v>644</v>
      </c>
      <c r="V434" s="152" t="s">
        <v>199</v>
      </c>
      <c r="W434" s="152" t="s">
        <v>643</v>
      </c>
      <c r="Y434" s="152" t="s">
        <v>637</v>
      </c>
      <c r="Z434" s="152" t="s">
        <v>642</v>
      </c>
      <c r="AA434" s="152" t="s">
        <v>665</v>
      </c>
      <c r="AB434" s="152" t="s">
        <v>640</v>
      </c>
      <c r="AC434" s="152" t="s">
        <v>701</v>
      </c>
      <c r="AD434" s="152" t="s">
        <v>673</v>
      </c>
      <c r="AE434" s="152" t="s">
        <v>637</v>
      </c>
      <c r="AF434" s="152" t="s">
        <v>637</v>
      </c>
      <c r="AG434" s="152" t="s">
        <v>637</v>
      </c>
      <c r="AH434" s="152" t="s">
        <v>664</v>
      </c>
      <c r="AI434" s="152" t="s">
        <v>699</v>
      </c>
      <c r="AJ434" s="152" t="s">
        <v>696</v>
      </c>
      <c r="AL434" s="152" t="s">
        <v>637</v>
      </c>
      <c r="AM434" s="152" t="s">
        <v>794</v>
      </c>
      <c r="AO434" s="152" t="s">
        <v>631</v>
      </c>
      <c r="AP434" s="152" t="s">
        <v>697</v>
      </c>
      <c r="AQ434" s="152" t="s">
        <v>630</v>
      </c>
      <c r="AS434" s="152" t="s">
        <v>696</v>
      </c>
      <c r="AT434" s="152" t="s">
        <v>702</v>
      </c>
      <c r="AU434" s="152">
        <v>2018</v>
      </c>
      <c r="AV434" s="339">
        <v>5660</v>
      </c>
      <c r="AW434" s="339">
        <v>1814381</v>
      </c>
      <c r="AX434" s="152">
        <v>9</v>
      </c>
      <c r="AY434" s="152">
        <v>-1</v>
      </c>
      <c r="AZ434" s="152">
        <v>75</v>
      </c>
      <c r="BA434" s="152">
        <v>1.4881282220000001</v>
      </c>
      <c r="BB434" s="152">
        <v>466</v>
      </c>
      <c r="BC434" s="152">
        <v>90</v>
      </c>
      <c r="BD434" s="152">
        <v>4.0320001000000003</v>
      </c>
    </row>
    <row r="435" spans="1:56" x14ac:dyDescent="0.25">
      <c r="A435" s="152" t="s">
        <v>653</v>
      </c>
      <c r="B435" s="152">
        <v>43.666359999999997</v>
      </c>
      <c r="C435" s="152">
        <v>-97.364773</v>
      </c>
      <c r="D435" s="152">
        <v>27</v>
      </c>
      <c r="E435" s="152" t="s">
        <v>746</v>
      </c>
      <c r="F435" s="152">
        <v>2020</v>
      </c>
      <c r="G435" s="340">
        <v>44192.6875</v>
      </c>
      <c r="H435" s="152" t="s">
        <v>637</v>
      </c>
      <c r="I435" s="152" t="s">
        <v>669</v>
      </c>
      <c r="J435" s="152" t="s">
        <v>660</v>
      </c>
      <c r="L435" s="152" t="s">
        <v>649</v>
      </c>
      <c r="M435" s="152" t="s">
        <v>712</v>
      </c>
      <c r="N435" s="152" t="s">
        <v>637</v>
      </c>
      <c r="O435" s="152" t="s">
        <v>647</v>
      </c>
      <c r="P435" s="152" t="s">
        <v>835</v>
      </c>
      <c r="Q435" s="152" t="s">
        <v>637</v>
      </c>
      <c r="R435" s="152" t="s">
        <v>658</v>
      </c>
      <c r="S435" s="152" t="s">
        <v>637</v>
      </c>
      <c r="T435" s="152" t="s">
        <v>656</v>
      </c>
      <c r="U435" s="152" t="s">
        <v>644</v>
      </c>
      <c r="V435" s="152" t="s">
        <v>199</v>
      </c>
      <c r="W435" s="152" t="s">
        <v>643</v>
      </c>
      <c r="Y435" s="152" t="s">
        <v>637</v>
      </c>
      <c r="Z435" s="152" t="s">
        <v>642</v>
      </c>
      <c r="AA435" s="152" t="s">
        <v>665</v>
      </c>
      <c r="AB435" s="152" t="s">
        <v>657</v>
      </c>
      <c r="AC435" s="152" t="s">
        <v>656</v>
      </c>
      <c r="AD435" s="152" t="s">
        <v>681</v>
      </c>
      <c r="AE435" s="152" t="s">
        <v>637</v>
      </c>
      <c r="AF435" s="152" t="s">
        <v>637</v>
      </c>
      <c r="AG435" s="152" t="s">
        <v>637</v>
      </c>
      <c r="AH435" s="152" t="s">
        <v>677</v>
      </c>
      <c r="AI435" s="152" t="s">
        <v>834</v>
      </c>
      <c r="AJ435" s="152" t="s">
        <v>635</v>
      </c>
      <c r="AK435" s="152" t="s">
        <v>634</v>
      </c>
      <c r="AL435" s="152" t="s">
        <v>633</v>
      </c>
      <c r="AM435" s="152" t="s">
        <v>710</v>
      </c>
      <c r="AO435" s="152" t="s">
        <v>833</v>
      </c>
      <c r="AP435" s="152" t="s">
        <v>628</v>
      </c>
      <c r="AQ435" s="152" t="s">
        <v>832</v>
      </c>
      <c r="AR435" s="152" t="s">
        <v>629</v>
      </c>
      <c r="AS435" s="152" t="s">
        <v>628</v>
      </c>
      <c r="AT435" s="152" t="s">
        <v>788</v>
      </c>
      <c r="AU435" s="152">
        <v>2020</v>
      </c>
      <c r="AV435" s="339">
        <v>5660</v>
      </c>
      <c r="AW435" s="339">
        <v>2017206</v>
      </c>
      <c r="AX435" s="152">
        <v>27</v>
      </c>
      <c r="AY435" s="152">
        <v>0</v>
      </c>
      <c r="AZ435" s="152">
        <v>75</v>
      </c>
      <c r="BA435" s="152">
        <v>0.104260067</v>
      </c>
      <c r="BB435" s="152">
        <v>778</v>
      </c>
      <c r="BC435" s="152">
        <v>90</v>
      </c>
      <c r="BD435" s="152">
        <v>4.0320001000000003</v>
      </c>
    </row>
    <row r="436" spans="1:56" x14ac:dyDescent="0.25">
      <c r="A436" s="152" t="s">
        <v>653</v>
      </c>
      <c r="B436" s="152">
        <v>43.666361000000002</v>
      </c>
      <c r="C436" s="152">
        <v>-97.364743000000004</v>
      </c>
      <c r="D436" s="152">
        <v>27</v>
      </c>
      <c r="E436" s="152" t="s">
        <v>697</v>
      </c>
      <c r="F436" s="152">
        <v>2016</v>
      </c>
      <c r="G436" s="340">
        <v>42473.25</v>
      </c>
      <c r="H436" s="152" t="s">
        <v>637</v>
      </c>
      <c r="I436" s="152" t="s">
        <v>696</v>
      </c>
      <c r="J436" s="152" t="s">
        <v>697</v>
      </c>
      <c r="L436" s="152" t="s">
        <v>649</v>
      </c>
      <c r="M436" s="152" t="s">
        <v>676</v>
      </c>
      <c r="N436" s="152" t="s">
        <v>637</v>
      </c>
      <c r="O436" s="152" t="s">
        <v>647</v>
      </c>
      <c r="P436" s="152" t="s">
        <v>696</v>
      </c>
      <c r="Q436" s="152" t="s">
        <v>637</v>
      </c>
      <c r="R436" s="152" t="s">
        <v>701</v>
      </c>
      <c r="S436" s="152" t="s">
        <v>637</v>
      </c>
      <c r="T436" s="152" t="s">
        <v>701</v>
      </c>
      <c r="U436" s="152" t="s">
        <v>644</v>
      </c>
      <c r="V436" s="152" t="s">
        <v>199</v>
      </c>
      <c r="W436" s="152" t="s">
        <v>643</v>
      </c>
      <c r="Y436" s="152" t="s">
        <v>637</v>
      </c>
      <c r="Z436" s="152" t="s">
        <v>642</v>
      </c>
      <c r="AA436" s="152" t="s">
        <v>665</v>
      </c>
      <c r="AB436" s="152" t="s">
        <v>640</v>
      </c>
      <c r="AC436" s="152" t="s">
        <v>701</v>
      </c>
      <c r="AD436" s="152" t="s">
        <v>787</v>
      </c>
      <c r="AE436" s="152" t="s">
        <v>637</v>
      </c>
      <c r="AF436" s="152" t="s">
        <v>637</v>
      </c>
      <c r="AG436" s="152" t="s">
        <v>637</v>
      </c>
      <c r="AH436" s="152" t="s">
        <v>664</v>
      </c>
      <c r="AI436" s="152" t="s">
        <v>699</v>
      </c>
      <c r="AJ436" s="152" t="s">
        <v>696</v>
      </c>
      <c r="AL436" s="152" t="s">
        <v>637</v>
      </c>
      <c r="AM436" s="152" t="s">
        <v>831</v>
      </c>
      <c r="AO436" s="152" t="s">
        <v>631</v>
      </c>
      <c r="AP436" s="152" t="s">
        <v>697</v>
      </c>
      <c r="AQ436" s="152" t="s">
        <v>630</v>
      </c>
      <c r="AS436" s="152" t="s">
        <v>696</v>
      </c>
      <c r="AT436" s="152" t="s">
        <v>702</v>
      </c>
      <c r="AU436" s="152">
        <v>2016</v>
      </c>
      <c r="AV436" s="339">
        <v>5660</v>
      </c>
      <c r="AW436" s="339">
        <v>1604592</v>
      </c>
      <c r="AX436" s="152">
        <v>13</v>
      </c>
      <c r="AY436" s="152">
        <v>-1</v>
      </c>
      <c r="AZ436" s="152">
        <v>75</v>
      </c>
      <c r="BA436" s="152">
        <v>0.206310453</v>
      </c>
      <c r="BB436" s="152">
        <v>50</v>
      </c>
      <c r="BC436" s="152">
        <v>90</v>
      </c>
      <c r="BD436" s="152">
        <v>4.0320001000000003</v>
      </c>
    </row>
    <row r="437" spans="1:56" x14ac:dyDescent="0.25">
      <c r="A437" s="152" t="s">
        <v>653</v>
      </c>
      <c r="B437" s="152">
        <v>43.666361999999999</v>
      </c>
      <c r="C437" s="152">
        <v>-97.386932999999999</v>
      </c>
      <c r="D437" s="152">
        <v>27</v>
      </c>
      <c r="E437" s="152" t="s">
        <v>652</v>
      </c>
      <c r="F437" s="152">
        <v>2019</v>
      </c>
      <c r="G437" s="340">
        <v>43795.45208333333</v>
      </c>
      <c r="H437" s="152" t="s">
        <v>637</v>
      </c>
      <c r="I437" s="152" t="s">
        <v>669</v>
      </c>
      <c r="J437" s="152" t="s">
        <v>650</v>
      </c>
      <c r="L437" s="152" t="s">
        <v>649</v>
      </c>
      <c r="M437" s="152" t="s">
        <v>736</v>
      </c>
      <c r="N437" s="152" t="s">
        <v>637</v>
      </c>
      <c r="O437" s="152" t="s">
        <v>647</v>
      </c>
      <c r="P437" s="152" t="s">
        <v>628</v>
      </c>
      <c r="Q437" s="152" t="s">
        <v>637</v>
      </c>
      <c r="R437" s="152" t="s">
        <v>830</v>
      </c>
      <c r="S437" s="152" t="s">
        <v>637</v>
      </c>
      <c r="T437" s="152" t="s">
        <v>723</v>
      </c>
      <c r="U437" s="152" t="s">
        <v>644</v>
      </c>
      <c r="V437" s="152" t="s">
        <v>199</v>
      </c>
      <c r="W437" s="152" t="s">
        <v>643</v>
      </c>
      <c r="Y437" s="152" t="s">
        <v>637</v>
      </c>
      <c r="Z437" s="152" t="s">
        <v>642</v>
      </c>
      <c r="AA437" s="152" t="s">
        <v>641</v>
      </c>
      <c r="AB437" s="152" t="s">
        <v>640</v>
      </c>
      <c r="AC437" s="152" t="s">
        <v>723</v>
      </c>
      <c r="AD437" s="152" t="s">
        <v>673</v>
      </c>
      <c r="AE437" s="152" t="s">
        <v>637</v>
      </c>
      <c r="AF437" s="152" t="s">
        <v>637</v>
      </c>
      <c r="AG437" s="152" t="s">
        <v>637</v>
      </c>
      <c r="AH437" s="152" t="s">
        <v>677</v>
      </c>
      <c r="AI437" s="152" t="s">
        <v>655</v>
      </c>
      <c r="AJ437" s="152" t="s">
        <v>635</v>
      </c>
      <c r="AK437" s="152" t="s">
        <v>634</v>
      </c>
      <c r="AL437" s="152" t="s">
        <v>637</v>
      </c>
      <c r="AM437" s="152" t="s">
        <v>829</v>
      </c>
      <c r="AO437" s="152" t="s">
        <v>631</v>
      </c>
      <c r="AP437" s="152" t="s">
        <v>628</v>
      </c>
      <c r="AQ437" s="152" t="s">
        <v>630</v>
      </c>
      <c r="AR437" s="152" t="s">
        <v>629</v>
      </c>
      <c r="AS437" s="152" t="s">
        <v>678</v>
      </c>
      <c r="AT437" s="152" t="s">
        <v>677</v>
      </c>
      <c r="AU437" s="152">
        <v>2019</v>
      </c>
      <c r="AV437" s="339">
        <v>5660</v>
      </c>
      <c r="AW437" s="339">
        <v>1917973</v>
      </c>
      <c r="AX437" s="152">
        <v>26</v>
      </c>
      <c r="AY437" s="152">
        <v>0</v>
      </c>
      <c r="AZ437" s="152">
        <v>75</v>
      </c>
      <c r="BA437" s="152">
        <v>1.4119441230000001</v>
      </c>
      <c r="BB437" s="152">
        <v>620</v>
      </c>
      <c r="BC437" s="152">
        <v>90</v>
      </c>
      <c r="BD437" s="152">
        <v>4.0320001000000003</v>
      </c>
    </row>
    <row r="438" spans="1:56" x14ac:dyDescent="0.25">
      <c r="A438" s="152" t="s">
        <v>653</v>
      </c>
      <c r="B438" s="152">
        <v>43.666482000000002</v>
      </c>
      <c r="C438" s="152">
        <v>-97.348624999999998</v>
      </c>
      <c r="D438" s="152">
        <v>27</v>
      </c>
      <c r="E438" s="152" t="s">
        <v>697</v>
      </c>
      <c r="F438" s="152">
        <v>2016</v>
      </c>
      <c r="G438" s="340">
        <v>42568.96875</v>
      </c>
      <c r="H438" s="152" t="s">
        <v>637</v>
      </c>
      <c r="I438" s="152" t="s">
        <v>696</v>
      </c>
      <c r="J438" s="152" t="s">
        <v>697</v>
      </c>
      <c r="L438" s="152" t="s">
        <v>649</v>
      </c>
      <c r="M438" s="152" t="s">
        <v>712</v>
      </c>
      <c r="N438" s="152" t="s">
        <v>637</v>
      </c>
      <c r="O438" s="152" t="s">
        <v>647</v>
      </c>
      <c r="P438" s="152" t="s">
        <v>696</v>
      </c>
      <c r="Q438" s="152" t="s">
        <v>637</v>
      </c>
      <c r="R438" s="152" t="s">
        <v>701</v>
      </c>
      <c r="S438" s="152" t="s">
        <v>637</v>
      </c>
      <c r="T438" s="152" t="s">
        <v>701</v>
      </c>
      <c r="U438" s="152" t="s">
        <v>644</v>
      </c>
      <c r="V438" s="152" t="s">
        <v>199</v>
      </c>
      <c r="W438" s="152" t="s">
        <v>643</v>
      </c>
      <c r="Y438" s="152" t="s">
        <v>637</v>
      </c>
      <c r="Z438" s="152" t="s">
        <v>642</v>
      </c>
      <c r="AA438" s="152" t="s">
        <v>665</v>
      </c>
      <c r="AB438" s="152" t="s">
        <v>640</v>
      </c>
      <c r="AC438" s="152" t="s">
        <v>701</v>
      </c>
      <c r="AD438" s="152" t="s">
        <v>805</v>
      </c>
      <c r="AE438" s="152" t="s">
        <v>637</v>
      </c>
      <c r="AF438" s="152" t="s">
        <v>637</v>
      </c>
      <c r="AG438" s="152" t="s">
        <v>637</v>
      </c>
      <c r="AH438" s="152" t="s">
        <v>664</v>
      </c>
      <c r="AI438" s="152" t="s">
        <v>699</v>
      </c>
      <c r="AJ438" s="152" t="s">
        <v>696</v>
      </c>
      <c r="AL438" s="152" t="s">
        <v>637</v>
      </c>
      <c r="AM438" s="152" t="s">
        <v>828</v>
      </c>
      <c r="AO438" s="152" t="s">
        <v>631</v>
      </c>
      <c r="AP438" s="152" t="s">
        <v>697</v>
      </c>
      <c r="AQ438" s="152" t="s">
        <v>671</v>
      </c>
      <c r="AS438" s="152" t="s">
        <v>696</v>
      </c>
      <c r="AT438" s="152" t="s">
        <v>702</v>
      </c>
      <c r="AU438" s="152">
        <v>2016</v>
      </c>
      <c r="AV438" s="339">
        <v>5660</v>
      </c>
      <c r="AW438" s="339">
        <v>1608522</v>
      </c>
      <c r="AX438" s="152">
        <v>17</v>
      </c>
      <c r="AY438" s="152">
        <v>-1</v>
      </c>
      <c r="AZ438" s="152">
        <v>75</v>
      </c>
      <c r="BA438" s="152">
        <v>5.8664750210000003</v>
      </c>
      <c r="BB438" s="152">
        <v>91</v>
      </c>
      <c r="BC438" s="152">
        <v>90</v>
      </c>
      <c r="BD438" s="152">
        <v>4.0320001000000003</v>
      </c>
    </row>
    <row r="439" spans="1:56" x14ac:dyDescent="0.25">
      <c r="A439" s="152" t="s">
        <v>653</v>
      </c>
      <c r="B439" s="152">
        <v>43.666482999999999</v>
      </c>
      <c r="C439" s="152">
        <v>-97.348661000000007</v>
      </c>
      <c r="D439" s="152">
        <v>27</v>
      </c>
      <c r="E439" s="152" t="s">
        <v>759</v>
      </c>
      <c r="F439" s="152">
        <v>2016</v>
      </c>
      <c r="G439" s="340">
        <v>42704.166666666664</v>
      </c>
      <c r="H439" s="152" t="s">
        <v>637</v>
      </c>
      <c r="I439" s="152" t="s">
        <v>713</v>
      </c>
      <c r="J439" s="152" t="s">
        <v>650</v>
      </c>
      <c r="L439" s="152" t="s">
        <v>649</v>
      </c>
      <c r="M439" s="152" t="s">
        <v>676</v>
      </c>
      <c r="N439" s="152" t="s">
        <v>637</v>
      </c>
      <c r="O439" s="152" t="s">
        <v>647</v>
      </c>
      <c r="P439" s="152" t="s">
        <v>628</v>
      </c>
      <c r="Q439" s="152" t="s">
        <v>637</v>
      </c>
      <c r="R439" s="152" t="s">
        <v>825</v>
      </c>
      <c r="S439" s="152" t="s">
        <v>637</v>
      </c>
      <c r="T439" s="152" t="s">
        <v>708</v>
      </c>
      <c r="U439" s="152" t="s">
        <v>644</v>
      </c>
      <c r="V439" s="152" t="s">
        <v>199</v>
      </c>
      <c r="W439" s="152" t="s">
        <v>643</v>
      </c>
      <c r="Y439" s="152" t="s">
        <v>637</v>
      </c>
      <c r="Z439" s="152" t="s">
        <v>642</v>
      </c>
      <c r="AA439" s="152" t="s">
        <v>665</v>
      </c>
      <c r="AB439" s="152" t="s">
        <v>640</v>
      </c>
      <c r="AC439" s="152" t="s">
        <v>708</v>
      </c>
      <c r="AD439" s="152" t="s">
        <v>673</v>
      </c>
      <c r="AE439" s="152" t="s">
        <v>637</v>
      </c>
      <c r="AF439" s="152" t="s">
        <v>637</v>
      </c>
      <c r="AG439" s="152" t="s">
        <v>637</v>
      </c>
      <c r="AH439" s="152" t="s">
        <v>636</v>
      </c>
      <c r="AI439" s="152" t="s">
        <v>655</v>
      </c>
      <c r="AJ439" s="152" t="s">
        <v>635</v>
      </c>
      <c r="AK439" s="152" t="s">
        <v>634</v>
      </c>
      <c r="AL439" s="152" t="s">
        <v>637</v>
      </c>
      <c r="AM439" s="152" t="s">
        <v>827</v>
      </c>
      <c r="AO439" s="152" t="s">
        <v>631</v>
      </c>
      <c r="AP439" s="152" t="s">
        <v>628</v>
      </c>
      <c r="AQ439" s="152" t="s">
        <v>826</v>
      </c>
      <c r="AR439" s="152" t="s">
        <v>629</v>
      </c>
      <c r="AS439" s="152" t="s">
        <v>678</v>
      </c>
      <c r="AT439" s="152" t="s">
        <v>670</v>
      </c>
      <c r="AU439" s="152">
        <v>2016</v>
      </c>
      <c r="AV439" s="339">
        <v>5660</v>
      </c>
      <c r="AW439" s="339">
        <v>1615724</v>
      </c>
      <c r="AX439" s="152">
        <v>30</v>
      </c>
      <c r="AY439" s="152">
        <v>0</v>
      </c>
      <c r="AZ439" s="152">
        <v>75</v>
      </c>
      <c r="BA439" s="152">
        <v>6.3338495249999998</v>
      </c>
      <c r="BB439" s="152">
        <v>151</v>
      </c>
      <c r="BC439" s="152">
        <v>90</v>
      </c>
      <c r="BD439" s="152">
        <v>4.0320001000000003</v>
      </c>
    </row>
    <row r="440" spans="1:56" x14ac:dyDescent="0.25">
      <c r="A440" s="152" t="s">
        <v>653</v>
      </c>
      <c r="B440" s="152">
        <v>43.666485000000002</v>
      </c>
      <c r="C440" s="152">
        <v>-97.348658</v>
      </c>
      <c r="D440" s="152">
        <v>27</v>
      </c>
      <c r="E440" s="152" t="s">
        <v>652</v>
      </c>
      <c r="F440" s="152">
        <v>2016</v>
      </c>
      <c r="G440" s="340">
        <v>42703.888888888891</v>
      </c>
      <c r="H440" s="152" t="s">
        <v>637</v>
      </c>
      <c r="I440" s="152" t="s">
        <v>745</v>
      </c>
      <c r="J440" s="152" t="s">
        <v>650</v>
      </c>
      <c r="L440" s="152" t="s">
        <v>649</v>
      </c>
      <c r="M440" s="152" t="s">
        <v>736</v>
      </c>
      <c r="N440" s="152" t="s">
        <v>637</v>
      </c>
      <c r="O440" s="152" t="s">
        <v>647</v>
      </c>
      <c r="P440" s="152" t="s">
        <v>628</v>
      </c>
      <c r="Q440" s="152" t="s">
        <v>637</v>
      </c>
      <c r="R440" s="152" t="s">
        <v>825</v>
      </c>
      <c r="S440" s="152" t="s">
        <v>637</v>
      </c>
      <c r="T440" s="152" t="s">
        <v>708</v>
      </c>
      <c r="U440" s="152" t="s">
        <v>644</v>
      </c>
      <c r="V440" s="152" t="s">
        <v>199</v>
      </c>
      <c r="W440" s="152" t="s">
        <v>643</v>
      </c>
      <c r="Y440" s="152" t="s">
        <v>637</v>
      </c>
      <c r="Z440" s="152" t="s">
        <v>642</v>
      </c>
      <c r="AA440" s="152" t="s">
        <v>665</v>
      </c>
      <c r="AB440" s="152" t="s">
        <v>640</v>
      </c>
      <c r="AC440" s="152" t="s">
        <v>708</v>
      </c>
      <c r="AD440" s="152" t="s">
        <v>673</v>
      </c>
      <c r="AE440" s="152" t="s">
        <v>637</v>
      </c>
      <c r="AF440" s="152" t="s">
        <v>637</v>
      </c>
      <c r="AG440" s="152" t="s">
        <v>637</v>
      </c>
      <c r="AH440" s="152" t="s">
        <v>636</v>
      </c>
      <c r="AI440" s="152" t="s">
        <v>655</v>
      </c>
      <c r="AJ440" s="152" t="s">
        <v>635</v>
      </c>
      <c r="AK440" s="152" t="s">
        <v>824</v>
      </c>
      <c r="AL440" s="152" t="s">
        <v>637</v>
      </c>
      <c r="AM440" s="152" t="s">
        <v>823</v>
      </c>
      <c r="AO440" s="152" t="s">
        <v>631</v>
      </c>
      <c r="AP440" s="152" t="s">
        <v>628</v>
      </c>
      <c r="AQ440" s="152" t="s">
        <v>671</v>
      </c>
      <c r="AR440" s="152" t="s">
        <v>629</v>
      </c>
      <c r="AS440" s="152" t="s">
        <v>628</v>
      </c>
      <c r="AT440" s="152" t="s">
        <v>677</v>
      </c>
      <c r="AU440" s="152">
        <v>2016</v>
      </c>
      <c r="AV440" s="339">
        <v>5660</v>
      </c>
      <c r="AW440" s="339">
        <v>1615720</v>
      </c>
      <c r="AX440" s="152">
        <v>29</v>
      </c>
      <c r="AY440" s="152">
        <v>0</v>
      </c>
      <c r="AZ440" s="152">
        <v>75</v>
      </c>
      <c r="BA440" s="152">
        <v>7.0540679180000003</v>
      </c>
      <c r="BB440" s="152">
        <v>152</v>
      </c>
      <c r="BC440" s="152">
        <v>90</v>
      </c>
      <c r="BD440" s="152">
        <v>4.0320001000000003</v>
      </c>
    </row>
    <row r="441" spans="1:56" x14ac:dyDescent="0.25">
      <c r="A441" s="152" t="s">
        <v>653</v>
      </c>
      <c r="B441" s="152">
        <v>43.666502999999999</v>
      </c>
      <c r="C441" s="152">
        <v>-97.346170000000001</v>
      </c>
      <c r="D441" s="152">
        <v>27</v>
      </c>
      <c r="E441" s="152" t="s">
        <v>652</v>
      </c>
      <c r="F441" s="152">
        <v>2017</v>
      </c>
      <c r="G441" s="340">
        <v>42960.791666666664</v>
      </c>
      <c r="H441" s="152" t="s">
        <v>637</v>
      </c>
      <c r="I441" s="152" t="s">
        <v>669</v>
      </c>
      <c r="J441" s="152" t="s">
        <v>650</v>
      </c>
      <c r="L441" s="152" t="s">
        <v>649</v>
      </c>
      <c r="M441" s="152" t="s">
        <v>712</v>
      </c>
      <c r="N441" s="152" t="s">
        <v>637</v>
      </c>
      <c r="O441" s="152" t="s">
        <v>647</v>
      </c>
      <c r="P441" s="152" t="s">
        <v>628</v>
      </c>
      <c r="Q441" s="152" t="s">
        <v>637</v>
      </c>
      <c r="R441" s="152" t="s">
        <v>724</v>
      </c>
      <c r="S441" s="152" t="s">
        <v>637</v>
      </c>
      <c r="T441" s="152" t="s">
        <v>723</v>
      </c>
      <c r="U441" s="152" t="s">
        <v>644</v>
      </c>
      <c r="V441" s="152" t="s">
        <v>199</v>
      </c>
      <c r="W441" s="152" t="s">
        <v>643</v>
      </c>
      <c r="Y441" s="152" t="s">
        <v>637</v>
      </c>
      <c r="Z441" s="152" t="s">
        <v>642</v>
      </c>
      <c r="AA441" s="152" t="s">
        <v>641</v>
      </c>
      <c r="AB441" s="152" t="s">
        <v>640</v>
      </c>
      <c r="AC441" s="152" t="s">
        <v>723</v>
      </c>
      <c r="AD441" s="152" t="s">
        <v>738</v>
      </c>
      <c r="AE441" s="152" t="s">
        <v>637</v>
      </c>
      <c r="AF441" s="152" t="s">
        <v>637</v>
      </c>
      <c r="AG441" s="152" t="s">
        <v>637</v>
      </c>
      <c r="AH441" s="152" t="s">
        <v>762</v>
      </c>
      <c r="AI441" s="152" t="s">
        <v>655</v>
      </c>
      <c r="AJ441" s="152" t="s">
        <v>635</v>
      </c>
      <c r="AK441" s="152" t="s">
        <v>634</v>
      </c>
      <c r="AL441" s="152" t="s">
        <v>637</v>
      </c>
      <c r="AM441" s="152" t="s">
        <v>822</v>
      </c>
      <c r="AO441" s="152" t="s">
        <v>631</v>
      </c>
      <c r="AP441" s="152" t="s">
        <v>628</v>
      </c>
      <c r="AQ441" s="152" t="s">
        <v>630</v>
      </c>
      <c r="AR441" s="152" t="s">
        <v>629</v>
      </c>
      <c r="AS441" s="152" t="s">
        <v>628</v>
      </c>
      <c r="AT441" s="152" t="s">
        <v>760</v>
      </c>
      <c r="AU441" s="152">
        <v>2017</v>
      </c>
      <c r="AV441" s="339">
        <v>5660</v>
      </c>
      <c r="AW441" s="339">
        <v>1710326</v>
      </c>
      <c r="AX441" s="152">
        <v>13</v>
      </c>
      <c r="AY441" s="152">
        <v>0</v>
      </c>
      <c r="AZ441" s="152">
        <v>75</v>
      </c>
      <c r="BA441" s="152">
        <v>7.5046331339999997</v>
      </c>
      <c r="BB441" s="152">
        <v>272</v>
      </c>
      <c r="BC441" s="152">
        <v>90</v>
      </c>
      <c r="BD441" s="152">
        <v>4.0320001000000003</v>
      </c>
    </row>
    <row r="442" spans="1:56" x14ac:dyDescent="0.25">
      <c r="A442" s="152" t="s">
        <v>653</v>
      </c>
      <c r="B442" s="152">
        <v>43.666511</v>
      </c>
      <c r="C442" s="152">
        <v>-97.342633000000006</v>
      </c>
      <c r="D442" s="152">
        <v>27</v>
      </c>
      <c r="E442" s="152" t="s">
        <v>821</v>
      </c>
      <c r="F442" s="152">
        <v>2018</v>
      </c>
      <c r="G442" s="340">
        <v>43432.361805555556</v>
      </c>
      <c r="H442" s="152" t="s">
        <v>637</v>
      </c>
      <c r="I442" s="152" t="s">
        <v>713</v>
      </c>
      <c r="J442" s="152" t="s">
        <v>650</v>
      </c>
      <c r="K442" s="152" t="s">
        <v>659</v>
      </c>
      <c r="L442" s="152" t="s">
        <v>649</v>
      </c>
      <c r="M442" s="152" t="s">
        <v>676</v>
      </c>
      <c r="N442" s="152" t="s">
        <v>637</v>
      </c>
      <c r="O442" s="152" t="s">
        <v>647</v>
      </c>
      <c r="P442" s="152" t="s">
        <v>820</v>
      </c>
      <c r="Q442" s="152" t="s">
        <v>637</v>
      </c>
      <c r="R442" s="152" t="s">
        <v>819</v>
      </c>
      <c r="S442" s="152" t="s">
        <v>637</v>
      </c>
      <c r="T442" s="152" t="s">
        <v>708</v>
      </c>
      <c r="U442" s="152" t="s">
        <v>644</v>
      </c>
      <c r="V442" s="152" t="s">
        <v>199</v>
      </c>
      <c r="W442" s="152" t="s">
        <v>643</v>
      </c>
      <c r="Y442" s="152" t="s">
        <v>637</v>
      </c>
      <c r="Z442" s="152" t="s">
        <v>642</v>
      </c>
      <c r="AA442" s="152" t="s">
        <v>641</v>
      </c>
      <c r="AB442" s="152" t="s">
        <v>640</v>
      </c>
      <c r="AC442" s="152" t="s">
        <v>708</v>
      </c>
      <c r="AD442" s="152" t="s">
        <v>673</v>
      </c>
      <c r="AE442" s="152" t="s">
        <v>637</v>
      </c>
      <c r="AF442" s="152" t="s">
        <v>637</v>
      </c>
      <c r="AG442" s="152" t="s">
        <v>637</v>
      </c>
      <c r="AH442" s="152" t="s">
        <v>636</v>
      </c>
      <c r="AI442" s="152" t="s">
        <v>655</v>
      </c>
      <c r="AJ442" s="152" t="s">
        <v>635</v>
      </c>
      <c r="AK442" s="152" t="s">
        <v>634</v>
      </c>
      <c r="AL442" s="152" t="s">
        <v>633</v>
      </c>
      <c r="AM442" s="152" t="s">
        <v>818</v>
      </c>
      <c r="AO442" s="152" t="s">
        <v>631</v>
      </c>
      <c r="AP442" s="152" t="s">
        <v>628</v>
      </c>
      <c r="AQ442" s="152" t="s">
        <v>703</v>
      </c>
      <c r="AR442" s="152" t="s">
        <v>629</v>
      </c>
      <c r="AS442" s="152" t="s">
        <v>628</v>
      </c>
      <c r="AT442" s="152" t="s">
        <v>797</v>
      </c>
      <c r="AU442" s="152">
        <v>2018</v>
      </c>
      <c r="AV442" s="339">
        <v>5660</v>
      </c>
      <c r="AW442" s="339">
        <v>1815732</v>
      </c>
      <c r="AX442" s="152">
        <v>28</v>
      </c>
      <c r="AY442" s="152">
        <v>0</v>
      </c>
      <c r="AZ442" s="152">
        <v>75</v>
      </c>
      <c r="BA442" s="152">
        <v>0.14867518599999999</v>
      </c>
      <c r="BB442" s="152">
        <v>486</v>
      </c>
      <c r="BC442" s="152">
        <v>90</v>
      </c>
      <c r="BD442" s="152">
        <v>4.0320001000000003</v>
      </c>
    </row>
    <row r="443" spans="1:56" x14ac:dyDescent="0.25">
      <c r="A443" s="152" t="s">
        <v>653</v>
      </c>
      <c r="B443" s="152">
        <v>43.666518000000003</v>
      </c>
      <c r="C443" s="152">
        <v>-97.341367000000005</v>
      </c>
      <c r="D443" s="152">
        <v>27</v>
      </c>
      <c r="E443" s="152" t="s">
        <v>652</v>
      </c>
      <c r="F443" s="152">
        <v>2018</v>
      </c>
      <c r="G443" s="340">
        <v>43114.583333333336</v>
      </c>
      <c r="H443" s="152" t="s">
        <v>637</v>
      </c>
      <c r="I443" s="152" t="s">
        <v>669</v>
      </c>
      <c r="J443" s="152" t="s">
        <v>660</v>
      </c>
      <c r="L443" s="152" t="s">
        <v>649</v>
      </c>
      <c r="M443" s="152" t="s">
        <v>712</v>
      </c>
      <c r="N443" s="152" t="s">
        <v>637</v>
      </c>
      <c r="O443" s="152" t="s">
        <v>647</v>
      </c>
      <c r="P443" s="152" t="s">
        <v>646</v>
      </c>
      <c r="Q443" s="152" t="s">
        <v>637</v>
      </c>
      <c r="R443" s="152" t="s">
        <v>817</v>
      </c>
      <c r="S443" s="152" t="s">
        <v>637</v>
      </c>
      <c r="T443" s="152" t="s">
        <v>656</v>
      </c>
      <c r="U443" s="152" t="s">
        <v>644</v>
      </c>
      <c r="V443" s="152" t="s">
        <v>199</v>
      </c>
      <c r="W443" s="152" t="s">
        <v>643</v>
      </c>
      <c r="Y443" s="152" t="s">
        <v>637</v>
      </c>
      <c r="Z443" s="152" t="s">
        <v>642</v>
      </c>
      <c r="AA443" s="152" t="s">
        <v>641</v>
      </c>
      <c r="AB443" s="152" t="s">
        <v>728</v>
      </c>
      <c r="AC443" s="152" t="s">
        <v>656</v>
      </c>
      <c r="AD443" s="152" t="s">
        <v>638</v>
      </c>
      <c r="AE443" s="152" t="s">
        <v>637</v>
      </c>
      <c r="AF443" s="152" t="s">
        <v>637</v>
      </c>
      <c r="AG443" s="152" t="s">
        <v>637</v>
      </c>
      <c r="AH443" s="152" t="s">
        <v>636</v>
      </c>
      <c r="AI443" s="152" t="s">
        <v>655</v>
      </c>
      <c r="AJ443" s="152" t="s">
        <v>635</v>
      </c>
      <c r="AK443" s="152" t="s">
        <v>816</v>
      </c>
      <c r="AL443" s="152" t="s">
        <v>633</v>
      </c>
      <c r="AM443" s="152" t="s">
        <v>815</v>
      </c>
      <c r="AO443" s="152" t="s">
        <v>631</v>
      </c>
      <c r="AP443" s="152" t="s">
        <v>628</v>
      </c>
      <c r="AQ443" s="152" t="s">
        <v>671</v>
      </c>
      <c r="AR443" s="152" t="s">
        <v>798</v>
      </c>
      <c r="AS443" s="152" t="s">
        <v>678</v>
      </c>
      <c r="AT443" s="152" t="s">
        <v>677</v>
      </c>
      <c r="AU443" s="152">
        <v>2018</v>
      </c>
      <c r="AV443" s="339">
        <v>5660</v>
      </c>
      <c r="AW443" s="339">
        <v>1800731</v>
      </c>
      <c r="AX443" s="152">
        <v>14</v>
      </c>
      <c r="AY443" s="152">
        <v>0</v>
      </c>
      <c r="AZ443" s="152">
        <v>75</v>
      </c>
      <c r="BA443" s="152">
        <v>1.5541550609999999</v>
      </c>
      <c r="BB443" s="152">
        <v>330</v>
      </c>
      <c r="BC443" s="152">
        <v>90</v>
      </c>
      <c r="BD443" s="152">
        <v>4.0320001000000003</v>
      </c>
    </row>
    <row r="444" spans="1:56" x14ac:dyDescent="0.25">
      <c r="A444" s="152" t="s">
        <v>653</v>
      </c>
      <c r="B444" s="152">
        <v>43.666527000000002</v>
      </c>
      <c r="C444" s="152">
        <v>-97.340140000000005</v>
      </c>
      <c r="D444" s="152">
        <v>27</v>
      </c>
      <c r="E444" s="152" t="s">
        <v>697</v>
      </c>
      <c r="F444" s="152">
        <v>2016</v>
      </c>
      <c r="G444" s="340">
        <v>42517.979166666664</v>
      </c>
      <c r="H444" s="152" t="s">
        <v>637</v>
      </c>
      <c r="I444" s="152" t="s">
        <v>696</v>
      </c>
      <c r="J444" s="152" t="s">
        <v>697</v>
      </c>
      <c r="L444" s="152" t="s">
        <v>649</v>
      </c>
      <c r="M444" s="152" t="s">
        <v>648</v>
      </c>
      <c r="N444" s="152" t="s">
        <v>637</v>
      </c>
      <c r="O444" s="152" t="s">
        <v>647</v>
      </c>
      <c r="P444" s="152" t="s">
        <v>696</v>
      </c>
      <c r="Q444" s="152" t="s">
        <v>637</v>
      </c>
      <c r="R444" s="152" t="s">
        <v>701</v>
      </c>
      <c r="S444" s="152" t="s">
        <v>637</v>
      </c>
      <c r="T444" s="152" t="s">
        <v>701</v>
      </c>
      <c r="U444" s="152" t="s">
        <v>644</v>
      </c>
      <c r="V444" s="152" t="s">
        <v>199</v>
      </c>
      <c r="W444" s="152" t="s">
        <v>643</v>
      </c>
      <c r="Y444" s="152" t="s">
        <v>637</v>
      </c>
      <c r="Z444" s="152" t="s">
        <v>642</v>
      </c>
      <c r="AA444" s="152" t="s">
        <v>665</v>
      </c>
      <c r="AB444" s="152" t="s">
        <v>640</v>
      </c>
      <c r="AC444" s="152" t="s">
        <v>701</v>
      </c>
      <c r="AD444" s="152" t="s">
        <v>752</v>
      </c>
      <c r="AE444" s="152" t="s">
        <v>637</v>
      </c>
      <c r="AF444" s="152" t="s">
        <v>637</v>
      </c>
      <c r="AG444" s="152" t="s">
        <v>637</v>
      </c>
      <c r="AH444" s="152" t="s">
        <v>664</v>
      </c>
      <c r="AI444" s="152" t="s">
        <v>699</v>
      </c>
      <c r="AJ444" s="152" t="s">
        <v>696</v>
      </c>
      <c r="AL444" s="152" t="s">
        <v>637</v>
      </c>
      <c r="AM444" s="152" t="s">
        <v>814</v>
      </c>
      <c r="AO444" s="152" t="s">
        <v>631</v>
      </c>
      <c r="AP444" s="152" t="s">
        <v>697</v>
      </c>
      <c r="AQ444" s="152" t="s">
        <v>630</v>
      </c>
      <c r="AS444" s="152" t="s">
        <v>696</v>
      </c>
      <c r="AT444" s="152" t="s">
        <v>702</v>
      </c>
      <c r="AU444" s="152">
        <v>2016</v>
      </c>
      <c r="AV444" s="339">
        <v>5660</v>
      </c>
      <c r="AW444" s="339">
        <v>1606232</v>
      </c>
      <c r="AX444" s="152">
        <v>27</v>
      </c>
      <c r="AY444" s="152">
        <v>-1</v>
      </c>
      <c r="AZ444" s="152">
        <v>75</v>
      </c>
      <c r="BA444" s="152">
        <v>2.1969845760000002</v>
      </c>
      <c r="BB444" s="152">
        <v>66</v>
      </c>
      <c r="BC444" s="152">
        <v>90</v>
      </c>
      <c r="BD444" s="152">
        <v>4.0320001000000003</v>
      </c>
    </row>
    <row r="445" spans="1:56" x14ac:dyDescent="0.25">
      <c r="A445" s="152" t="s">
        <v>653</v>
      </c>
      <c r="B445" s="152">
        <v>43.666541000000002</v>
      </c>
      <c r="C445" s="152">
        <v>-97.338614000000007</v>
      </c>
      <c r="D445" s="152">
        <v>27</v>
      </c>
      <c r="E445" s="152" t="s">
        <v>652</v>
      </c>
      <c r="F445" s="152">
        <v>2017</v>
      </c>
      <c r="G445" s="340">
        <v>42762.520833333336</v>
      </c>
      <c r="H445" s="152" t="s">
        <v>637</v>
      </c>
      <c r="I445" s="152" t="s">
        <v>669</v>
      </c>
      <c r="J445" s="152" t="s">
        <v>660</v>
      </c>
      <c r="L445" s="152" t="s">
        <v>649</v>
      </c>
      <c r="M445" s="152" t="s">
        <v>648</v>
      </c>
      <c r="N445" s="152" t="s">
        <v>637</v>
      </c>
      <c r="O445" s="152" t="s">
        <v>647</v>
      </c>
      <c r="P445" s="152" t="s">
        <v>813</v>
      </c>
      <c r="Q445" s="152" t="s">
        <v>637</v>
      </c>
      <c r="R445" s="152" t="s">
        <v>729</v>
      </c>
      <c r="S445" s="152" t="s">
        <v>637</v>
      </c>
      <c r="T445" s="152" t="s">
        <v>656</v>
      </c>
      <c r="U445" s="152" t="s">
        <v>644</v>
      </c>
      <c r="V445" s="152" t="s">
        <v>199</v>
      </c>
      <c r="W445" s="152" t="s">
        <v>643</v>
      </c>
      <c r="Y445" s="152" t="s">
        <v>637</v>
      </c>
      <c r="Z445" s="152" t="s">
        <v>642</v>
      </c>
      <c r="AA445" s="152" t="s">
        <v>641</v>
      </c>
      <c r="AB445" s="152" t="s">
        <v>728</v>
      </c>
      <c r="AC445" s="152" t="s">
        <v>656</v>
      </c>
      <c r="AD445" s="152" t="s">
        <v>638</v>
      </c>
      <c r="AE445" s="152" t="s">
        <v>637</v>
      </c>
      <c r="AF445" s="152" t="s">
        <v>637</v>
      </c>
      <c r="AG445" s="152" t="s">
        <v>637</v>
      </c>
      <c r="AH445" s="152" t="s">
        <v>636</v>
      </c>
      <c r="AI445" s="152" t="s">
        <v>655</v>
      </c>
      <c r="AJ445" s="152" t="s">
        <v>635</v>
      </c>
      <c r="AK445" s="152" t="s">
        <v>634</v>
      </c>
      <c r="AL445" s="152" t="s">
        <v>633</v>
      </c>
      <c r="AM445" s="152" t="s">
        <v>737</v>
      </c>
      <c r="AO445" s="152" t="s">
        <v>631</v>
      </c>
      <c r="AP445" s="152" t="s">
        <v>628</v>
      </c>
      <c r="AQ445" s="152" t="s">
        <v>755</v>
      </c>
      <c r="AR445" s="152" t="s">
        <v>798</v>
      </c>
      <c r="AS445" s="152" t="s">
        <v>678</v>
      </c>
      <c r="AT445" s="152" t="s">
        <v>670</v>
      </c>
      <c r="AU445" s="152">
        <v>2017</v>
      </c>
      <c r="AV445" s="339">
        <v>5660</v>
      </c>
      <c r="AW445" s="339">
        <v>1701246</v>
      </c>
      <c r="AX445" s="152">
        <v>27</v>
      </c>
      <c r="AY445" s="152">
        <v>0</v>
      </c>
      <c r="AZ445" s="152">
        <v>75</v>
      </c>
      <c r="BA445" s="152">
        <v>4.0262272020000003</v>
      </c>
      <c r="BB445" s="152">
        <v>186</v>
      </c>
      <c r="BC445" s="152">
        <v>90</v>
      </c>
      <c r="BD445" s="152">
        <v>4.0320001000000003</v>
      </c>
    </row>
    <row r="446" spans="1:56" x14ac:dyDescent="0.25">
      <c r="A446" s="152" t="s">
        <v>653</v>
      </c>
      <c r="B446" s="152">
        <v>43.666589999999999</v>
      </c>
      <c r="C446" s="152">
        <v>-97.332025999999999</v>
      </c>
      <c r="D446" s="152">
        <v>27</v>
      </c>
      <c r="E446" s="152" t="s">
        <v>759</v>
      </c>
      <c r="F446" s="152">
        <v>2016</v>
      </c>
      <c r="G446" s="340">
        <v>42694.786805555559</v>
      </c>
      <c r="H446" s="152" t="s">
        <v>637</v>
      </c>
      <c r="I446" s="152" t="s">
        <v>669</v>
      </c>
      <c r="J446" s="152" t="s">
        <v>812</v>
      </c>
      <c r="K446" s="152" t="s">
        <v>743</v>
      </c>
      <c r="L446" s="152" t="s">
        <v>649</v>
      </c>
      <c r="M446" s="152" t="s">
        <v>712</v>
      </c>
      <c r="N446" s="152" t="s">
        <v>637</v>
      </c>
      <c r="O446" s="152" t="s">
        <v>647</v>
      </c>
      <c r="P446" s="152" t="s">
        <v>811</v>
      </c>
      <c r="Q446" s="152" t="s">
        <v>637</v>
      </c>
      <c r="R446" s="152" t="s">
        <v>810</v>
      </c>
      <c r="S446" s="152" t="s">
        <v>637</v>
      </c>
      <c r="T446" s="152" t="s">
        <v>656</v>
      </c>
      <c r="U446" s="152" t="s">
        <v>644</v>
      </c>
      <c r="V446" s="152" t="s">
        <v>199</v>
      </c>
      <c r="W446" s="152" t="s">
        <v>643</v>
      </c>
      <c r="Y446" s="152" t="s">
        <v>637</v>
      </c>
      <c r="Z446" s="152" t="s">
        <v>642</v>
      </c>
      <c r="AA446" s="152" t="s">
        <v>665</v>
      </c>
      <c r="AB446" s="152" t="s">
        <v>657</v>
      </c>
      <c r="AC446" s="152" t="s">
        <v>656</v>
      </c>
      <c r="AD446" s="152" t="s">
        <v>673</v>
      </c>
      <c r="AE446" s="152" t="s">
        <v>637</v>
      </c>
      <c r="AF446" s="152" t="s">
        <v>633</v>
      </c>
      <c r="AG446" s="152" t="s">
        <v>637</v>
      </c>
      <c r="AH446" s="152" t="s">
        <v>664</v>
      </c>
      <c r="AI446" s="152" t="s">
        <v>628</v>
      </c>
      <c r="AJ446" s="152" t="s">
        <v>635</v>
      </c>
      <c r="AK446" s="152" t="s">
        <v>634</v>
      </c>
      <c r="AL446" s="152" t="s">
        <v>637</v>
      </c>
      <c r="AM446" s="152" t="s">
        <v>809</v>
      </c>
      <c r="AO446" s="152" t="s">
        <v>631</v>
      </c>
      <c r="AP446" s="152" t="s">
        <v>628</v>
      </c>
      <c r="AQ446" s="152" t="s">
        <v>773</v>
      </c>
      <c r="AR446" s="152" t="s">
        <v>629</v>
      </c>
      <c r="AS446" s="152" t="s">
        <v>628</v>
      </c>
      <c r="AT446" s="152" t="s">
        <v>702</v>
      </c>
      <c r="AU446" s="152">
        <v>2016</v>
      </c>
      <c r="AV446" s="339">
        <v>5660</v>
      </c>
      <c r="AW446" s="339">
        <v>1615537</v>
      </c>
      <c r="AX446" s="152">
        <v>20</v>
      </c>
      <c r="AY446" s="152">
        <v>0</v>
      </c>
      <c r="AZ446" s="152">
        <v>75</v>
      </c>
      <c r="BA446" s="152">
        <v>6.7346131150000001</v>
      </c>
      <c r="BB446" s="152">
        <v>143</v>
      </c>
      <c r="BC446" s="152">
        <v>90</v>
      </c>
      <c r="BD446" s="152">
        <v>4.0320001000000003</v>
      </c>
    </row>
    <row r="447" spans="1:56" x14ac:dyDescent="0.25">
      <c r="A447" s="152" t="s">
        <v>653</v>
      </c>
      <c r="B447" s="152">
        <v>43.666604</v>
      </c>
      <c r="C447" s="152">
        <v>-97.329839000000007</v>
      </c>
      <c r="D447" s="152">
        <v>27</v>
      </c>
      <c r="E447" s="152" t="s">
        <v>759</v>
      </c>
      <c r="F447" s="152">
        <v>2018</v>
      </c>
      <c r="G447" s="340">
        <v>43203.479166666664</v>
      </c>
      <c r="H447" s="152" t="s">
        <v>637</v>
      </c>
      <c r="I447" s="152" t="s">
        <v>669</v>
      </c>
      <c r="J447" s="152" t="s">
        <v>650</v>
      </c>
      <c r="L447" s="152" t="s">
        <v>649</v>
      </c>
      <c r="M447" s="152" t="s">
        <v>648</v>
      </c>
      <c r="N447" s="152" t="s">
        <v>637</v>
      </c>
      <c r="O447" s="152" t="s">
        <v>647</v>
      </c>
      <c r="P447" s="152" t="s">
        <v>628</v>
      </c>
      <c r="Q447" s="152" t="s">
        <v>637</v>
      </c>
      <c r="R447" s="152" t="s">
        <v>709</v>
      </c>
      <c r="S447" s="152" t="s">
        <v>637</v>
      </c>
      <c r="T447" s="152" t="s">
        <v>708</v>
      </c>
      <c r="U447" s="152" t="s">
        <v>644</v>
      </c>
      <c r="V447" s="152" t="s">
        <v>199</v>
      </c>
      <c r="W447" s="152" t="s">
        <v>643</v>
      </c>
      <c r="Y447" s="152" t="s">
        <v>637</v>
      </c>
      <c r="Z447" s="152" t="s">
        <v>642</v>
      </c>
      <c r="AA447" s="152" t="s">
        <v>641</v>
      </c>
      <c r="AB447" s="152" t="s">
        <v>640</v>
      </c>
      <c r="AC447" s="152" t="s">
        <v>708</v>
      </c>
      <c r="AD447" s="152" t="s">
        <v>787</v>
      </c>
      <c r="AE447" s="152" t="s">
        <v>637</v>
      </c>
      <c r="AF447" s="152" t="s">
        <v>637</v>
      </c>
      <c r="AG447" s="152" t="s">
        <v>637</v>
      </c>
      <c r="AH447" s="152" t="s">
        <v>808</v>
      </c>
      <c r="AI447" s="152" t="s">
        <v>655</v>
      </c>
      <c r="AJ447" s="152" t="s">
        <v>635</v>
      </c>
      <c r="AK447" s="152" t="s">
        <v>634</v>
      </c>
      <c r="AL447" s="152" t="s">
        <v>637</v>
      </c>
      <c r="AM447" s="152" t="s">
        <v>807</v>
      </c>
      <c r="AO447" s="152" t="s">
        <v>631</v>
      </c>
      <c r="AP447" s="152" t="s">
        <v>628</v>
      </c>
      <c r="AQ447" s="152" t="s">
        <v>806</v>
      </c>
      <c r="AR447" s="152" t="s">
        <v>629</v>
      </c>
      <c r="AS447" s="152" t="s">
        <v>628</v>
      </c>
      <c r="AT447" s="152" t="s">
        <v>670</v>
      </c>
      <c r="AU447" s="152">
        <v>2018</v>
      </c>
      <c r="AV447" s="339">
        <v>5660</v>
      </c>
      <c r="AW447" s="339">
        <v>1804613</v>
      </c>
      <c r="AX447" s="152">
        <v>13</v>
      </c>
      <c r="AY447" s="152">
        <v>0</v>
      </c>
      <c r="AZ447" s="152">
        <v>75</v>
      </c>
      <c r="BA447" s="152">
        <v>6.5205359639999996</v>
      </c>
      <c r="BB447" s="152">
        <v>368</v>
      </c>
      <c r="BC447" s="152">
        <v>90</v>
      </c>
      <c r="BD447" s="152">
        <v>4.0320001000000003</v>
      </c>
    </row>
    <row r="448" spans="1:56" x14ac:dyDescent="0.25">
      <c r="A448" s="152" t="s">
        <v>653</v>
      </c>
      <c r="B448" s="152">
        <v>43.666609000000001</v>
      </c>
      <c r="C448" s="152">
        <v>-97.328667999999993</v>
      </c>
      <c r="D448" s="152">
        <v>27</v>
      </c>
      <c r="E448" s="152" t="s">
        <v>697</v>
      </c>
      <c r="F448" s="152">
        <v>2017</v>
      </c>
      <c r="G448" s="340">
        <v>42918.909722222219</v>
      </c>
      <c r="H448" s="152" t="s">
        <v>637</v>
      </c>
      <c r="I448" s="152" t="s">
        <v>696</v>
      </c>
      <c r="J448" s="152" t="s">
        <v>697</v>
      </c>
      <c r="L448" s="152" t="s">
        <v>649</v>
      </c>
      <c r="M448" s="152" t="s">
        <v>712</v>
      </c>
      <c r="N448" s="152" t="s">
        <v>637</v>
      </c>
      <c r="O448" s="152" t="s">
        <v>647</v>
      </c>
      <c r="P448" s="152" t="s">
        <v>696</v>
      </c>
      <c r="Q448" s="152" t="s">
        <v>637</v>
      </c>
      <c r="R448" s="152" t="s">
        <v>701</v>
      </c>
      <c r="S448" s="152" t="s">
        <v>637</v>
      </c>
      <c r="T448" s="152" t="s">
        <v>701</v>
      </c>
      <c r="U448" s="152" t="s">
        <v>644</v>
      </c>
      <c r="V448" s="152" t="s">
        <v>199</v>
      </c>
      <c r="W448" s="152" t="s">
        <v>643</v>
      </c>
      <c r="Y448" s="152" t="s">
        <v>637</v>
      </c>
      <c r="Z448" s="152" t="s">
        <v>642</v>
      </c>
      <c r="AA448" s="152" t="s">
        <v>665</v>
      </c>
      <c r="AB448" s="152" t="s">
        <v>640</v>
      </c>
      <c r="AC448" s="152" t="s">
        <v>701</v>
      </c>
      <c r="AD448" s="152" t="s">
        <v>805</v>
      </c>
      <c r="AE448" s="152" t="s">
        <v>637</v>
      </c>
      <c r="AF448" s="152" t="s">
        <v>637</v>
      </c>
      <c r="AG448" s="152" t="s">
        <v>637</v>
      </c>
      <c r="AH448" s="152" t="s">
        <v>664</v>
      </c>
      <c r="AI448" s="152" t="s">
        <v>699</v>
      </c>
      <c r="AJ448" s="152" t="s">
        <v>696</v>
      </c>
      <c r="AL448" s="152" t="s">
        <v>637</v>
      </c>
      <c r="AM448" s="152" t="s">
        <v>804</v>
      </c>
      <c r="AO448" s="152" t="s">
        <v>631</v>
      </c>
      <c r="AP448" s="152" t="s">
        <v>697</v>
      </c>
      <c r="AQ448" s="152" t="s">
        <v>630</v>
      </c>
      <c r="AS448" s="152" t="s">
        <v>696</v>
      </c>
      <c r="AT448" s="152" t="s">
        <v>702</v>
      </c>
      <c r="AU448" s="152">
        <v>2017</v>
      </c>
      <c r="AV448" s="339">
        <v>5660</v>
      </c>
      <c r="AW448" s="339">
        <v>1707823</v>
      </c>
      <c r="AX448" s="152">
        <v>2</v>
      </c>
      <c r="AY448" s="152">
        <v>-1</v>
      </c>
      <c r="AZ448" s="152">
        <v>75</v>
      </c>
      <c r="BA448" s="152">
        <v>5.4595606090000004</v>
      </c>
      <c r="BB448" s="152">
        <v>253</v>
      </c>
      <c r="BC448" s="152">
        <v>90</v>
      </c>
      <c r="BD448" s="152">
        <v>4.0320001000000003</v>
      </c>
    </row>
    <row r="449" spans="1:56" x14ac:dyDescent="0.25">
      <c r="A449" s="152" t="s">
        <v>653</v>
      </c>
      <c r="B449" s="152">
        <v>43.666612000000001</v>
      </c>
      <c r="C449" s="152">
        <v>-97.328536</v>
      </c>
      <c r="D449" s="152">
        <v>27</v>
      </c>
      <c r="E449" s="152" t="s">
        <v>652</v>
      </c>
      <c r="F449" s="152">
        <v>2019</v>
      </c>
      <c r="G449" s="340">
        <v>43757.125</v>
      </c>
      <c r="H449" s="152" t="s">
        <v>637</v>
      </c>
      <c r="I449" s="152" t="s">
        <v>669</v>
      </c>
      <c r="J449" s="152" t="s">
        <v>650</v>
      </c>
      <c r="L449" s="152" t="s">
        <v>649</v>
      </c>
      <c r="M449" s="152" t="s">
        <v>693</v>
      </c>
      <c r="N449" s="152" t="s">
        <v>637</v>
      </c>
      <c r="O449" s="152" t="s">
        <v>647</v>
      </c>
      <c r="P449" s="152" t="s">
        <v>803</v>
      </c>
      <c r="Q449" s="152" t="s">
        <v>637</v>
      </c>
      <c r="R449" s="152" t="s">
        <v>802</v>
      </c>
      <c r="S449" s="152" t="s">
        <v>633</v>
      </c>
      <c r="T449" s="152" t="s">
        <v>708</v>
      </c>
      <c r="U449" s="152" t="s">
        <v>644</v>
      </c>
      <c r="V449" s="152" t="s">
        <v>199</v>
      </c>
      <c r="W449" s="152" t="s">
        <v>643</v>
      </c>
      <c r="Y449" s="152" t="s">
        <v>637</v>
      </c>
      <c r="Z449" s="152" t="s">
        <v>642</v>
      </c>
      <c r="AA449" s="152" t="s">
        <v>665</v>
      </c>
      <c r="AB449" s="152" t="s">
        <v>640</v>
      </c>
      <c r="AC449" s="152" t="s">
        <v>708</v>
      </c>
      <c r="AD449" s="152" t="s">
        <v>700</v>
      </c>
      <c r="AE449" s="152" t="s">
        <v>637</v>
      </c>
      <c r="AF449" s="152" t="s">
        <v>637</v>
      </c>
      <c r="AG449" s="152" t="s">
        <v>637</v>
      </c>
      <c r="AH449" s="152" t="s">
        <v>664</v>
      </c>
      <c r="AI449" s="152" t="s">
        <v>628</v>
      </c>
      <c r="AJ449" s="152" t="s">
        <v>635</v>
      </c>
      <c r="AK449" s="152" t="s">
        <v>634</v>
      </c>
      <c r="AL449" s="152" t="s">
        <v>637</v>
      </c>
      <c r="AM449" s="152" t="s">
        <v>801</v>
      </c>
      <c r="AO449" s="152" t="s">
        <v>631</v>
      </c>
      <c r="AP449" s="152" t="s">
        <v>628</v>
      </c>
      <c r="AQ449" s="152" t="s">
        <v>630</v>
      </c>
      <c r="AR449" s="152" t="s">
        <v>629</v>
      </c>
      <c r="AS449" s="152" t="s">
        <v>628</v>
      </c>
      <c r="AT449" s="152" t="s">
        <v>702</v>
      </c>
      <c r="AU449" s="152">
        <v>2019</v>
      </c>
      <c r="AV449" s="339">
        <v>5660</v>
      </c>
      <c r="AW449" s="339">
        <v>1914465</v>
      </c>
      <c r="AX449" s="152">
        <v>19</v>
      </c>
      <c r="AY449" s="152">
        <v>0</v>
      </c>
      <c r="AZ449" s="152">
        <v>75</v>
      </c>
      <c r="BA449" s="152">
        <v>6.2077622010000004</v>
      </c>
      <c r="BB449" s="152">
        <v>598</v>
      </c>
      <c r="BC449" s="152">
        <v>90</v>
      </c>
      <c r="BD449" s="152">
        <v>4.0320001000000003</v>
      </c>
    </row>
    <row r="450" spans="1:56" x14ac:dyDescent="0.25">
      <c r="A450" s="152" t="s">
        <v>653</v>
      </c>
      <c r="B450" s="152">
        <v>43.666620999999999</v>
      </c>
      <c r="C450" s="152">
        <v>-97.327436000000006</v>
      </c>
      <c r="D450" s="152">
        <v>27</v>
      </c>
      <c r="E450" s="152" t="s">
        <v>652</v>
      </c>
      <c r="F450" s="152">
        <v>2018</v>
      </c>
      <c r="G450" s="340">
        <v>43203.454861111109</v>
      </c>
      <c r="H450" s="152" t="s">
        <v>637</v>
      </c>
      <c r="I450" s="152" t="s">
        <v>669</v>
      </c>
      <c r="J450" s="152" t="s">
        <v>660</v>
      </c>
      <c r="K450" s="152" t="s">
        <v>659</v>
      </c>
      <c r="L450" s="152" t="s">
        <v>649</v>
      </c>
      <c r="M450" s="152" t="s">
        <v>648</v>
      </c>
      <c r="N450" s="152" t="s">
        <v>637</v>
      </c>
      <c r="O450" s="152" t="s">
        <v>647</v>
      </c>
      <c r="P450" s="152" t="s">
        <v>646</v>
      </c>
      <c r="Q450" s="152" t="s">
        <v>637</v>
      </c>
      <c r="R450" s="152" t="s">
        <v>800</v>
      </c>
      <c r="S450" s="152" t="s">
        <v>637</v>
      </c>
      <c r="T450" s="152" t="s">
        <v>656</v>
      </c>
      <c r="U450" s="152" t="s">
        <v>644</v>
      </c>
      <c r="V450" s="152" t="s">
        <v>199</v>
      </c>
      <c r="W450" s="152" t="s">
        <v>643</v>
      </c>
      <c r="Y450" s="152" t="s">
        <v>637</v>
      </c>
      <c r="Z450" s="152" t="s">
        <v>642</v>
      </c>
      <c r="AA450" s="152" t="s">
        <v>641</v>
      </c>
      <c r="AB450" s="152" t="s">
        <v>657</v>
      </c>
      <c r="AC450" s="152" t="s">
        <v>656</v>
      </c>
      <c r="AD450" s="152" t="s">
        <v>787</v>
      </c>
      <c r="AE450" s="152" t="s">
        <v>637</v>
      </c>
      <c r="AF450" s="152" t="s">
        <v>637</v>
      </c>
      <c r="AG450" s="152" t="s">
        <v>637</v>
      </c>
      <c r="AH450" s="152" t="s">
        <v>636</v>
      </c>
      <c r="AI450" s="152" t="s">
        <v>655</v>
      </c>
      <c r="AJ450" s="152" t="s">
        <v>635</v>
      </c>
      <c r="AK450" s="152" t="s">
        <v>634</v>
      </c>
      <c r="AL450" s="152" t="s">
        <v>633</v>
      </c>
      <c r="AM450" s="152" t="s">
        <v>799</v>
      </c>
      <c r="AO450" s="152" t="s">
        <v>631</v>
      </c>
      <c r="AP450" s="152" t="s">
        <v>628</v>
      </c>
      <c r="AQ450" s="152" t="s">
        <v>671</v>
      </c>
      <c r="AR450" s="152" t="s">
        <v>798</v>
      </c>
      <c r="AS450" s="152" t="s">
        <v>628</v>
      </c>
      <c r="AT450" s="152" t="s">
        <v>797</v>
      </c>
      <c r="AU450" s="152">
        <v>2018</v>
      </c>
      <c r="AV450" s="339">
        <v>5660</v>
      </c>
      <c r="AW450" s="339">
        <v>1805041</v>
      </c>
      <c r="AX450" s="152">
        <v>13</v>
      </c>
      <c r="AY450" s="152">
        <v>0</v>
      </c>
      <c r="AZ450" s="152">
        <v>75</v>
      </c>
      <c r="BA450" s="152">
        <v>6.6135593009999996</v>
      </c>
      <c r="BB450" s="152">
        <v>375</v>
      </c>
      <c r="BC450" s="152">
        <v>90</v>
      </c>
      <c r="BD450" s="152">
        <v>4.0320001000000003</v>
      </c>
    </row>
    <row r="451" spans="1:56" x14ac:dyDescent="0.25">
      <c r="A451" s="152" t="s">
        <v>653</v>
      </c>
      <c r="B451" s="152">
        <v>43.666665000000002</v>
      </c>
      <c r="C451" s="152">
        <v>-97.318566000000004</v>
      </c>
      <c r="D451" s="152">
        <v>27</v>
      </c>
      <c r="E451" s="152" t="s">
        <v>746</v>
      </c>
      <c r="F451" s="152">
        <v>2016</v>
      </c>
      <c r="G451" s="340">
        <v>42597.263888888891</v>
      </c>
      <c r="H451" s="152" t="s">
        <v>637</v>
      </c>
      <c r="I451" s="152" t="s">
        <v>669</v>
      </c>
      <c r="J451" s="152" t="s">
        <v>650</v>
      </c>
      <c r="L451" s="152" t="s">
        <v>649</v>
      </c>
      <c r="M451" s="152" t="s">
        <v>685</v>
      </c>
      <c r="N451" s="152" t="s">
        <v>637</v>
      </c>
      <c r="O451" s="152" t="s">
        <v>647</v>
      </c>
      <c r="P451" s="152" t="s">
        <v>796</v>
      </c>
      <c r="Q451" s="152" t="s">
        <v>637</v>
      </c>
      <c r="R451" s="152" t="s">
        <v>795</v>
      </c>
      <c r="S451" s="152" t="s">
        <v>633</v>
      </c>
      <c r="T451" s="152" t="s">
        <v>708</v>
      </c>
      <c r="U451" s="152" t="s">
        <v>644</v>
      </c>
      <c r="V451" s="152" t="s">
        <v>199</v>
      </c>
      <c r="W451" s="152" t="s">
        <v>643</v>
      </c>
      <c r="Y451" s="152" t="s">
        <v>637</v>
      </c>
      <c r="Z451" s="152" t="s">
        <v>642</v>
      </c>
      <c r="AA451" s="152" t="s">
        <v>782</v>
      </c>
      <c r="AB451" s="152" t="s">
        <v>640</v>
      </c>
      <c r="AC451" s="152" t="s">
        <v>708</v>
      </c>
      <c r="AD451" s="152" t="s">
        <v>738</v>
      </c>
      <c r="AE451" s="152" t="s">
        <v>637</v>
      </c>
      <c r="AF451" s="152" t="s">
        <v>637</v>
      </c>
      <c r="AG451" s="152" t="s">
        <v>637</v>
      </c>
      <c r="AH451" s="152" t="s">
        <v>762</v>
      </c>
      <c r="AI451" s="152" t="s">
        <v>628</v>
      </c>
      <c r="AJ451" s="152" t="s">
        <v>635</v>
      </c>
      <c r="AK451" s="152" t="s">
        <v>634</v>
      </c>
      <c r="AL451" s="152" t="s">
        <v>637</v>
      </c>
      <c r="AM451" s="152" t="s">
        <v>794</v>
      </c>
      <c r="AO451" s="152" t="s">
        <v>631</v>
      </c>
      <c r="AP451" s="152" t="s">
        <v>628</v>
      </c>
      <c r="AQ451" s="152" t="s">
        <v>703</v>
      </c>
      <c r="AR451" s="152" t="s">
        <v>629</v>
      </c>
      <c r="AS451" s="152" t="s">
        <v>628</v>
      </c>
      <c r="AT451" s="152" t="s">
        <v>793</v>
      </c>
      <c r="AU451" s="152">
        <v>2016</v>
      </c>
      <c r="AV451" s="339">
        <v>5660</v>
      </c>
      <c r="AW451" s="339">
        <v>1610029</v>
      </c>
      <c r="AX451" s="152">
        <v>15</v>
      </c>
      <c r="AY451" s="152">
        <v>0</v>
      </c>
      <c r="AZ451" s="152">
        <v>75</v>
      </c>
      <c r="BA451" s="152">
        <v>0.21286018900000001</v>
      </c>
      <c r="BB451" s="152">
        <v>98</v>
      </c>
      <c r="BC451" s="152">
        <v>90</v>
      </c>
      <c r="BD451" s="152">
        <v>4.0320001000000003</v>
      </c>
    </row>
    <row r="452" spans="1:56" x14ac:dyDescent="0.25">
      <c r="A452" s="152" t="s">
        <v>653</v>
      </c>
      <c r="B452" s="152">
        <v>43.666673000000003</v>
      </c>
      <c r="C452" s="152">
        <v>-97.317181000000005</v>
      </c>
      <c r="D452" s="152">
        <v>27</v>
      </c>
      <c r="E452" s="152" t="s">
        <v>697</v>
      </c>
      <c r="F452" s="152">
        <v>2018</v>
      </c>
      <c r="G452" s="340">
        <v>43226.659722222219</v>
      </c>
      <c r="H452" s="152" t="s">
        <v>637</v>
      </c>
      <c r="I452" s="152" t="s">
        <v>696</v>
      </c>
      <c r="J452" s="152" t="s">
        <v>697</v>
      </c>
      <c r="L452" s="152" t="s">
        <v>649</v>
      </c>
      <c r="M452" s="152" t="s">
        <v>712</v>
      </c>
      <c r="N452" s="152" t="s">
        <v>637</v>
      </c>
      <c r="O452" s="152" t="s">
        <v>647</v>
      </c>
      <c r="P452" s="152" t="s">
        <v>696</v>
      </c>
      <c r="Q452" s="152" t="s">
        <v>637</v>
      </c>
      <c r="R452" s="152" t="s">
        <v>701</v>
      </c>
      <c r="S452" s="152" t="s">
        <v>637</v>
      </c>
      <c r="T452" s="152" t="s">
        <v>701</v>
      </c>
      <c r="U452" s="152" t="s">
        <v>644</v>
      </c>
      <c r="V452" s="152" t="s">
        <v>199</v>
      </c>
      <c r="W452" s="152" t="s">
        <v>643</v>
      </c>
      <c r="Y452" s="152" t="s">
        <v>637</v>
      </c>
      <c r="Z452" s="152" t="s">
        <v>642</v>
      </c>
      <c r="AA452" s="152" t="s">
        <v>641</v>
      </c>
      <c r="AB452" s="152" t="s">
        <v>640</v>
      </c>
      <c r="AC452" s="152" t="s">
        <v>701</v>
      </c>
      <c r="AD452" s="152" t="s">
        <v>752</v>
      </c>
      <c r="AE452" s="152" t="s">
        <v>637</v>
      </c>
      <c r="AF452" s="152" t="s">
        <v>637</v>
      </c>
      <c r="AG452" s="152" t="s">
        <v>637</v>
      </c>
      <c r="AH452" s="152" t="s">
        <v>664</v>
      </c>
      <c r="AI452" s="152" t="s">
        <v>699</v>
      </c>
      <c r="AJ452" s="152" t="s">
        <v>696</v>
      </c>
      <c r="AL452" s="152" t="s">
        <v>637</v>
      </c>
      <c r="AM452" s="152" t="s">
        <v>792</v>
      </c>
      <c r="AO452" s="152" t="s">
        <v>631</v>
      </c>
      <c r="AP452" s="152" t="s">
        <v>697</v>
      </c>
      <c r="AQ452" s="152" t="s">
        <v>671</v>
      </c>
      <c r="AS452" s="152" t="s">
        <v>696</v>
      </c>
      <c r="AT452" s="152" t="s">
        <v>702</v>
      </c>
      <c r="AU452" s="152">
        <v>2018</v>
      </c>
      <c r="AV452" s="339">
        <v>5660</v>
      </c>
      <c r="AW452" s="339">
        <v>1805182</v>
      </c>
      <c r="AX452" s="152">
        <v>6</v>
      </c>
      <c r="AY452" s="152">
        <v>-1</v>
      </c>
      <c r="AZ452" s="152">
        <v>75</v>
      </c>
      <c r="BA452" s="152">
        <v>5.3687262999999999E-2</v>
      </c>
      <c r="BB452" s="152">
        <v>378</v>
      </c>
      <c r="BC452" s="152">
        <v>90</v>
      </c>
      <c r="BD452" s="152">
        <v>4.0320001000000003</v>
      </c>
    </row>
    <row r="453" spans="1:56" x14ac:dyDescent="0.25">
      <c r="A453" s="152" t="s">
        <v>653</v>
      </c>
      <c r="B453" s="152">
        <v>43.666685999999999</v>
      </c>
      <c r="C453" s="152">
        <v>-97.315344999999994</v>
      </c>
      <c r="D453" s="152">
        <v>27</v>
      </c>
      <c r="E453" s="152" t="s">
        <v>697</v>
      </c>
      <c r="F453" s="152">
        <v>2018</v>
      </c>
      <c r="G453" s="340">
        <v>43427.945138888892</v>
      </c>
      <c r="H453" s="152" t="s">
        <v>637</v>
      </c>
      <c r="I453" s="152" t="s">
        <v>696</v>
      </c>
      <c r="J453" s="152" t="s">
        <v>697</v>
      </c>
      <c r="L453" s="152" t="s">
        <v>649</v>
      </c>
      <c r="M453" s="152" t="s">
        <v>648</v>
      </c>
      <c r="N453" s="152" t="s">
        <v>637</v>
      </c>
      <c r="O453" s="152" t="s">
        <v>647</v>
      </c>
      <c r="P453" s="152" t="s">
        <v>696</v>
      </c>
      <c r="Q453" s="152" t="s">
        <v>637</v>
      </c>
      <c r="R453" s="152" t="s">
        <v>701</v>
      </c>
      <c r="S453" s="152" t="s">
        <v>637</v>
      </c>
      <c r="T453" s="152" t="s">
        <v>701</v>
      </c>
      <c r="U453" s="152" t="s">
        <v>644</v>
      </c>
      <c r="V453" s="152" t="s">
        <v>199</v>
      </c>
      <c r="W453" s="152" t="s">
        <v>643</v>
      </c>
      <c r="Y453" s="152" t="s">
        <v>637</v>
      </c>
      <c r="Z453" s="152" t="s">
        <v>642</v>
      </c>
      <c r="AA453" s="152" t="s">
        <v>665</v>
      </c>
      <c r="AB453" s="152" t="s">
        <v>640</v>
      </c>
      <c r="AC453" s="152" t="s">
        <v>701</v>
      </c>
      <c r="AD453" s="152" t="s">
        <v>673</v>
      </c>
      <c r="AE453" s="152" t="s">
        <v>637</v>
      </c>
      <c r="AF453" s="152" t="s">
        <v>637</v>
      </c>
      <c r="AG453" s="152" t="s">
        <v>637</v>
      </c>
      <c r="AH453" s="152" t="s">
        <v>664</v>
      </c>
      <c r="AI453" s="152" t="s">
        <v>699</v>
      </c>
      <c r="AJ453" s="152" t="s">
        <v>696</v>
      </c>
      <c r="AL453" s="152" t="s">
        <v>637</v>
      </c>
      <c r="AM453" s="152" t="s">
        <v>791</v>
      </c>
      <c r="AO453" s="152" t="s">
        <v>631</v>
      </c>
      <c r="AP453" s="152" t="s">
        <v>697</v>
      </c>
      <c r="AQ453" s="152" t="s">
        <v>671</v>
      </c>
      <c r="AS453" s="152" t="s">
        <v>696</v>
      </c>
      <c r="AT453" s="152" t="s">
        <v>702</v>
      </c>
      <c r="AU453" s="152">
        <v>2018</v>
      </c>
      <c r="AV453" s="339">
        <v>5660</v>
      </c>
      <c r="AW453" s="339">
        <v>1815657</v>
      </c>
      <c r="AX453" s="152">
        <v>23</v>
      </c>
      <c r="AY453" s="152">
        <v>-1</v>
      </c>
      <c r="AZ453" s="152">
        <v>75</v>
      </c>
      <c r="BA453" s="152">
        <v>0.210226475</v>
      </c>
      <c r="BB453" s="152">
        <v>484</v>
      </c>
      <c r="BC453" s="152">
        <v>90</v>
      </c>
      <c r="BD453" s="152">
        <v>4.0320001000000003</v>
      </c>
    </row>
    <row r="454" spans="1:56" x14ac:dyDescent="0.25">
      <c r="A454" s="152" t="s">
        <v>653</v>
      </c>
      <c r="B454" s="152">
        <v>43.666724000000002</v>
      </c>
      <c r="C454" s="152">
        <v>-97.309331</v>
      </c>
      <c r="D454" s="152">
        <v>27</v>
      </c>
      <c r="E454" s="152" t="s">
        <v>652</v>
      </c>
      <c r="F454" s="152">
        <v>2018</v>
      </c>
      <c r="G454" s="340">
        <v>43166.363888888889</v>
      </c>
      <c r="H454" s="152" t="s">
        <v>637</v>
      </c>
      <c r="I454" s="152" t="s">
        <v>669</v>
      </c>
      <c r="J454" s="152" t="s">
        <v>650</v>
      </c>
      <c r="L454" s="152" t="s">
        <v>649</v>
      </c>
      <c r="M454" s="152" t="s">
        <v>676</v>
      </c>
      <c r="N454" s="152" t="s">
        <v>637</v>
      </c>
      <c r="O454" s="152" t="s">
        <v>647</v>
      </c>
      <c r="P454" s="152" t="s">
        <v>646</v>
      </c>
      <c r="Q454" s="152" t="s">
        <v>637</v>
      </c>
      <c r="R454" s="152" t="s">
        <v>790</v>
      </c>
      <c r="S454" s="152" t="s">
        <v>637</v>
      </c>
      <c r="T454" s="152" t="s">
        <v>687</v>
      </c>
      <c r="U454" s="152" t="s">
        <v>644</v>
      </c>
      <c r="V454" s="152" t="s">
        <v>199</v>
      </c>
      <c r="W454" s="152" t="s">
        <v>643</v>
      </c>
      <c r="Y454" s="152" t="s">
        <v>637</v>
      </c>
      <c r="Z454" s="152" t="s">
        <v>783</v>
      </c>
      <c r="AA454" s="152" t="s">
        <v>641</v>
      </c>
      <c r="AB454" s="152" t="s">
        <v>640</v>
      </c>
      <c r="AC454" s="152" t="s">
        <v>687</v>
      </c>
      <c r="AD454" s="152" t="s">
        <v>691</v>
      </c>
      <c r="AE454" s="152" t="s">
        <v>637</v>
      </c>
      <c r="AF454" s="152" t="s">
        <v>637</v>
      </c>
      <c r="AG454" s="152" t="s">
        <v>637</v>
      </c>
      <c r="AH454" s="152" t="s">
        <v>677</v>
      </c>
      <c r="AI454" s="152" t="s">
        <v>655</v>
      </c>
      <c r="AJ454" s="152" t="s">
        <v>635</v>
      </c>
      <c r="AK454" s="152" t="s">
        <v>634</v>
      </c>
      <c r="AL454" s="152" t="s">
        <v>633</v>
      </c>
      <c r="AM454" s="152" t="s">
        <v>789</v>
      </c>
      <c r="AO454" s="152" t="s">
        <v>631</v>
      </c>
      <c r="AP454" s="152" t="s">
        <v>628</v>
      </c>
      <c r="AQ454" s="152" t="s">
        <v>662</v>
      </c>
      <c r="AR454" s="152" t="s">
        <v>629</v>
      </c>
      <c r="AS454" s="152" t="s">
        <v>628</v>
      </c>
      <c r="AT454" s="152" t="s">
        <v>788</v>
      </c>
      <c r="AU454" s="152">
        <v>2018</v>
      </c>
      <c r="AV454" s="339">
        <v>5660</v>
      </c>
      <c r="AW454" s="339">
        <v>1803277</v>
      </c>
      <c r="AX454" s="152">
        <v>7</v>
      </c>
      <c r="AY454" s="152">
        <v>0</v>
      </c>
      <c r="AZ454" s="152">
        <v>75</v>
      </c>
      <c r="BA454" s="152">
        <v>0.28969158299999997</v>
      </c>
      <c r="BB454" s="152">
        <v>349</v>
      </c>
      <c r="BC454" s="152">
        <v>90</v>
      </c>
      <c r="BD454" s="152">
        <v>4.0320001000000003</v>
      </c>
    </row>
    <row r="455" spans="1:56" x14ac:dyDescent="0.25">
      <c r="A455" s="152" t="s">
        <v>653</v>
      </c>
      <c r="B455" s="152">
        <v>43.666727000000002</v>
      </c>
      <c r="C455" s="152">
        <v>-97.308814999999996</v>
      </c>
      <c r="D455" s="152">
        <v>27</v>
      </c>
      <c r="E455" s="152" t="s">
        <v>697</v>
      </c>
      <c r="F455" s="152">
        <v>2016</v>
      </c>
      <c r="G455" s="340">
        <v>42474.475694444445</v>
      </c>
      <c r="H455" s="152" t="s">
        <v>637</v>
      </c>
      <c r="I455" s="152" t="s">
        <v>696</v>
      </c>
      <c r="J455" s="152" t="s">
        <v>697</v>
      </c>
      <c r="L455" s="152" t="s">
        <v>649</v>
      </c>
      <c r="M455" s="152" t="s">
        <v>668</v>
      </c>
      <c r="N455" s="152" t="s">
        <v>637</v>
      </c>
      <c r="O455" s="152" t="s">
        <v>647</v>
      </c>
      <c r="P455" s="152" t="s">
        <v>696</v>
      </c>
      <c r="Q455" s="152" t="s">
        <v>637</v>
      </c>
      <c r="R455" s="152" t="s">
        <v>701</v>
      </c>
      <c r="S455" s="152" t="s">
        <v>637</v>
      </c>
      <c r="T455" s="152" t="s">
        <v>701</v>
      </c>
      <c r="U455" s="152" t="s">
        <v>644</v>
      </c>
      <c r="V455" s="152" t="s">
        <v>199</v>
      </c>
      <c r="W455" s="152" t="s">
        <v>643</v>
      </c>
      <c r="Y455" s="152" t="s">
        <v>637</v>
      </c>
      <c r="Z455" s="152" t="s">
        <v>642</v>
      </c>
      <c r="AA455" s="152" t="s">
        <v>641</v>
      </c>
      <c r="AB455" s="152" t="s">
        <v>640</v>
      </c>
      <c r="AC455" s="152" t="s">
        <v>701</v>
      </c>
      <c r="AD455" s="152" t="s">
        <v>787</v>
      </c>
      <c r="AE455" s="152" t="s">
        <v>637</v>
      </c>
      <c r="AF455" s="152" t="s">
        <v>637</v>
      </c>
      <c r="AG455" s="152" t="s">
        <v>637</v>
      </c>
      <c r="AH455" s="152" t="s">
        <v>664</v>
      </c>
      <c r="AI455" s="152" t="s">
        <v>699</v>
      </c>
      <c r="AJ455" s="152" t="s">
        <v>696</v>
      </c>
      <c r="AL455" s="152" t="s">
        <v>637</v>
      </c>
      <c r="AM455" s="152" t="s">
        <v>786</v>
      </c>
      <c r="AO455" s="152" t="s">
        <v>631</v>
      </c>
      <c r="AP455" s="152" t="s">
        <v>697</v>
      </c>
      <c r="AQ455" s="152" t="s">
        <v>630</v>
      </c>
      <c r="AS455" s="152" t="s">
        <v>696</v>
      </c>
      <c r="AT455" s="152" t="s">
        <v>702</v>
      </c>
      <c r="AU455" s="152">
        <v>2016</v>
      </c>
      <c r="AV455" s="339">
        <v>5660</v>
      </c>
      <c r="AW455" s="339">
        <v>1605876</v>
      </c>
      <c r="AX455" s="152">
        <v>14</v>
      </c>
      <c r="AY455" s="152">
        <v>-1</v>
      </c>
      <c r="AZ455" s="152">
        <v>75</v>
      </c>
      <c r="BA455" s="152">
        <v>0.21802706899999999</v>
      </c>
      <c r="BB455" s="152">
        <v>61</v>
      </c>
      <c r="BC455" s="152">
        <v>90</v>
      </c>
      <c r="BD455" s="152">
        <v>4.0320001000000003</v>
      </c>
    </row>
    <row r="456" spans="1:56" x14ac:dyDescent="0.25">
      <c r="A456" s="152" t="s">
        <v>653</v>
      </c>
      <c r="B456" s="152">
        <v>43.666536000000001</v>
      </c>
      <c r="C456" s="152">
        <v>-97.181454000000002</v>
      </c>
      <c r="D456" s="152">
        <v>47</v>
      </c>
      <c r="E456" s="152" t="s">
        <v>652</v>
      </c>
      <c r="F456" s="152">
        <v>2018</v>
      </c>
      <c r="G456" s="340">
        <v>43458.284722222219</v>
      </c>
      <c r="H456" s="152" t="s">
        <v>637</v>
      </c>
      <c r="I456" s="152" t="s">
        <v>669</v>
      </c>
      <c r="J456" s="152" t="s">
        <v>650</v>
      </c>
      <c r="K456" s="152" t="s">
        <v>785</v>
      </c>
      <c r="L456" s="152" t="s">
        <v>649</v>
      </c>
      <c r="M456" s="152" t="s">
        <v>685</v>
      </c>
      <c r="N456" s="152" t="s">
        <v>637</v>
      </c>
      <c r="O456" s="152" t="s">
        <v>647</v>
      </c>
      <c r="P456" s="152" t="s">
        <v>784</v>
      </c>
      <c r="Q456" s="152" t="s">
        <v>637</v>
      </c>
      <c r="R456" s="152" t="s">
        <v>675</v>
      </c>
      <c r="S456" s="152" t="s">
        <v>637</v>
      </c>
      <c r="T456" s="152" t="s">
        <v>674</v>
      </c>
      <c r="U456" s="152" t="s">
        <v>644</v>
      </c>
      <c r="V456" s="152" t="s">
        <v>199</v>
      </c>
      <c r="W456" s="152" t="s">
        <v>643</v>
      </c>
      <c r="Y456" s="152" t="s">
        <v>637</v>
      </c>
      <c r="Z456" s="152" t="s">
        <v>783</v>
      </c>
      <c r="AA456" s="152" t="s">
        <v>782</v>
      </c>
      <c r="AB456" s="152" t="s">
        <v>640</v>
      </c>
      <c r="AC456" s="152" t="s">
        <v>674</v>
      </c>
      <c r="AD456" s="152" t="s">
        <v>681</v>
      </c>
      <c r="AE456" s="152" t="s">
        <v>637</v>
      </c>
      <c r="AF456" s="152" t="s">
        <v>637</v>
      </c>
      <c r="AG456" s="152" t="s">
        <v>637</v>
      </c>
      <c r="AH456" s="152" t="s">
        <v>664</v>
      </c>
      <c r="AI456" s="152" t="s">
        <v>628</v>
      </c>
      <c r="AJ456" s="152" t="s">
        <v>635</v>
      </c>
      <c r="AK456" s="152" t="s">
        <v>634</v>
      </c>
      <c r="AL456" s="152" t="s">
        <v>637</v>
      </c>
      <c r="AM456" s="152" t="s">
        <v>781</v>
      </c>
      <c r="AO456" s="152" t="s">
        <v>631</v>
      </c>
      <c r="AP456" s="152" t="s">
        <v>628</v>
      </c>
      <c r="AQ456" s="152" t="s">
        <v>630</v>
      </c>
      <c r="AR456" s="152" t="s">
        <v>629</v>
      </c>
      <c r="AS456" s="152" t="s">
        <v>628</v>
      </c>
      <c r="AT456" s="152" t="s">
        <v>702</v>
      </c>
      <c r="AU456" s="152">
        <v>2018</v>
      </c>
      <c r="AV456" s="339">
        <v>5995</v>
      </c>
      <c r="AW456" s="339">
        <v>1817072</v>
      </c>
      <c r="AX456" s="152">
        <v>24</v>
      </c>
      <c r="AY456" s="152">
        <v>0</v>
      </c>
      <c r="AZ456" s="152">
        <v>75</v>
      </c>
      <c r="BA456" s="152">
        <v>0.89041017700000002</v>
      </c>
      <c r="BB456" s="152">
        <v>495</v>
      </c>
      <c r="BC456" s="152">
        <v>90</v>
      </c>
      <c r="BD456" s="152">
        <v>5.6069998999999999</v>
      </c>
    </row>
    <row r="457" spans="1:56" x14ac:dyDescent="0.25">
      <c r="A457" s="152" t="s">
        <v>653</v>
      </c>
      <c r="B457" s="152">
        <v>43.666550999999998</v>
      </c>
      <c r="C457" s="152">
        <v>-97.179264000000003</v>
      </c>
      <c r="D457" s="152">
        <v>47</v>
      </c>
      <c r="E457" s="152" t="s">
        <v>652</v>
      </c>
      <c r="F457" s="152">
        <v>2018</v>
      </c>
      <c r="G457" s="340">
        <v>43130.145833333336</v>
      </c>
      <c r="H457" s="152" t="s">
        <v>637</v>
      </c>
      <c r="I457" s="152" t="s">
        <v>669</v>
      </c>
      <c r="J457" s="152" t="s">
        <v>660</v>
      </c>
      <c r="L457" s="152" t="s">
        <v>649</v>
      </c>
      <c r="M457" s="152" t="s">
        <v>736</v>
      </c>
      <c r="N457" s="152" t="s">
        <v>637</v>
      </c>
      <c r="O457" s="152" t="s">
        <v>647</v>
      </c>
      <c r="P457" s="152" t="s">
        <v>628</v>
      </c>
      <c r="Q457" s="152" t="s">
        <v>637</v>
      </c>
      <c r="R457" s="152" t="s">
        <v>656</v>
      </c>
      <c r="S457" s="152" t="s">
        <v>637</v>
      </c>
      <c r="T457" s="152" t="s">
        <v>656</v>
      </c>
      <c r="U457" s="152" t="s">
        <v>644</v>
      </c>
      <c r="V457" s="152" t="s">
        <v>199</v>
      </c>
      <c r="W457" s="152" t="s">
        <v>643</v>
      </c>
      <c r="Y457" s="152" t="s">
        <v>637</v>
      </c>
      <c r="Z457" s="152" t="s">
        <v>642</v>
      </c>
      <c r="AA457" s="152" t="s">
        <v>665</v>
      </c>
      <c r="AB457" s="152" t="s">
        <v>728</v>
      </c>
      <c r="AC457" s="152" t="s">
        <v>656</v>
      </c>
      <c r="AD457" s="152" t="s">
        <v>638</v>
      </c>
      <c r="AE457" s="152" t="s">
        <v>637</v>
      </c>
      <c r="AF457" s="152" t="s">
        <v>637</v>
      </c>
      <c r="AG457" s="152" t="s">
        <v>637</v>
      </c>
      <c r="AH457" s="152" t="s">
        <v>664</v>
      </c>
      <c r="AI457" s="152" t="s">
        <v>628</v>
      </c>
      <c r="AJ457" s="152" t="s">
        <v>635</v>
      </c>
      <c r="AK457" s="152" t="s">
        <v>634</v>
      </c>
      <c r="AL457" s="152" t="s">
        <v>637</v>
      </c>
      <c r="AM457" s="152" t="s">
        <v>780</v>
      </c>
      <c r="AO457" s="152" t="s">
        <v>631</v>
      </c>
      <c r="AP457" s="152" t="s">
        <v>628</v>
      </c>
      <c r="AQ457" s="152" t="s">
        <v>779</v>
      </c>
      <c r="AR457" s="152" t="s">
        <v>772</v>
      </c>
      <c r="AS457" s="152" t="s">
        <v>628</v>
      </c>
      <c r="AT457" s="152" t="s">
        <v>702</v>
      </c>
      <c r="AU457" s="152">
        <v>2018</v>
      </c>
      <c r="AV457" s="339">
        <v>5995</v>
      </c>
      <c r="AW457" s="339">
        <v>1801729</v>
      </c>
      <c r="AX457" s="152">
        <v>30</v>
      </c>
      <c r="AY457" s="152">
        <v>0</v>
      </c>
      <c r="AZ457" s="152">
        <v>75</v>
      </c>
      <c r="BA457" s="152">
        <v>0.25505970100000003</v>
      </c>
      <c r="BB457" s="152">
        <v>334</v>
      </c>
      <c r="BC457" s="152">
        <v>90</v>
      </c>
      <c r="BD457" s="152">
        <v>5.6069998999999999</v>
      </c>
    </row>
    <row r="458" spans="1:56" x14ac:dyDescent="0.25">
      <c r="A458" s="152" t="s">
        <v>653</v>
      </c>
      <c r="B458" s="152">
        <v>43.666550999999998</v>
      </c>
      <c r="C458" s="152">
        <v>-97.179233999999994</v>
      </c>
      <c r="D458" s="152">
        <v>47</v>
      </c>
      <c r="E458" s="152" t="s">
        <v>652</v>
      </c>
      <c r="F458" s="152">
        <v>2018</v>
      </c>
      <c r="G458" s="340">
        <v>43460.4375</v>
      </c>
      <c r="H458" s="152" t="s">
        <v>637</v>
      </c>
      <c r="I458" s="152" t="s">
        <v>669</v>
      </c>
      <c r="J458" s="152" t="s">
        <v>650</v>
      </c>
      <c r="L458" s="152" t="s">
        <v>649</v>
      </c>
      <c r="M458" s="152" t="s">
        <v>676</v>
      </c>
      <c r="N458" s="152" t="s">
        <v>637</v>
      </c>
      <c r="O458" s="152" t="s">
        <v>647</v>
      </c>
      <c r="P458" s="152" t="s">
        <v>628</v>
      </c>
      <c r="Q458" s="152" t="s">
        <v>637</v>
      </c>
      <c r="R458" s="152" t="s">
        <v>778</v>
      </c>
      <c r="S458" s="152" t="s">
        <v>637</v>
      </c>
      <c r="T458" s="152" t="s">
        <v>777</v>
      </c>
      <c r="U458" s="152" t="s">
        <v>644</v>
      </c>
      <c r="V458" s="152" t="s">
        <v>199</v>
      </c>
      <c r="W458" s="152" t="s">
        <v>643</v>
      </c>
      <c r="Y458" s="152" t="s">
        <v>637</v>
      </c>
      <c r="Z458" s="152" t="s">
        <v>642</v>
      </c>
      <c r="AA458" s="152" t="s">
        <v>641</v>
      </c>
      <c r="AB458" s="152" t="s">
        <v>640</v>
      </c>
      <c r="AC458" s="152" t="s">
        <v>777</v>
      </c>
      <c r="AD458" s="152" t="s">
        <v>681</v>
      </c>
      <c r="AE458" s="152" t="s">
        <v>637</v>
      </c>
      <c r="AF458" s="152" t="s">
        <v>637</v>
      </c>
      <c r="AG458" s="152" t="s">
        <v>637</v>
      </c>
      <c r="AH458" s="152" t="s">
        <v>677</v>
      </c>
      <c r="AI458" s="152" t="s">
        <v>655</v>
      </c>
      <c r="AJ458" s="152" t="s">
        <v>635</v>
      </c>
      <c r="AK458" s="152" t="s">
        <v>634</v>
      </c>
      <c r="AL458" s="152" t="s">
        <v>637</v>
      </c>
      <c r="AM458" s="152" t="s">
        <v>776</v>
      </c>
      <c r="AO458" s="152" t="s">
        <v>631</v>
      </c>
      <c r="AP458" s="152" t="s">
        <v>628</v>
      </c>
      <c r="AQ458" s="152" t="s">
        <v>703</v>
      </c>
      <c r="AR458" s="152" t="s">
        <v>629</v>
      </c>
      <c r="AS458" s="152" t="s">
        <v>628</v>
      </c>
      <c r="AT458" s="152" t="s">
        <v>677</v>
      </c>
      <c r="AU458" s="152">
        <v>2018</v>
      </c>
      <c r="AV458" s="339">
        <v>5995</v>
      </c>
      <c r="AW458" s="339">
        <v>1817073</v>
      </c>
      <c r="AX458" s="152">
        <v>26</v>
      </c>
      <c r="AY458" s="152">
        <v>0</v>
      </c>
      <c r="AZ458" s="152">
        <v>75</v>
      </c>
      <c r="BA458" s="152">
        <v>0.34537897400000001</v>
      </c>
      <c r="BB458" s="152">
        <v>496</v>
      </c>
      <c r="BC458" s="152">
        <v>90</v>
      </c>
      <c r="BD458" s="152">
        <v>5.6069998999999999</v>
      </c>
    </row>
    <row r="459" spans="1:56" x14ac:dyDescent="0.25">
      <c r="A459" s="152" t="s">
        <v>653</v>
      </c>
      <c r="B459" s="152">
        <v>43.666553999999998</v>
      </c>
      <c r="C459" s="152">
        <v>-97.177874000000003</v>
      </c>
      <c r="D459" s="152">
        <v>47</v>
      </c>
      <c r="E459" s="152" t="s">
        <v>652</v>
      </c>
      <c r="F459" s="152">
        <v>2016</v>
      </c>
      <c r="G459" s="340">
        <v>42547.631944444445</v>
      </c>
      <c r="H459" s="152" t="s">
        <v>637</v>
      </c>
      <c r="I459" s="152" t="s">
        <v>669</v>
      </c>
      <c r="J459" s="152" t="s">
        <v>660</v>
      </c>
      <c r="K459" s="152" t="s">
        <v>775</v>
      </c>
      <c r="L459" s="152" t="s">
        <v>649</v>
      </c>
      <c r="M459" s="152" t="s">
        <v>712</v>
      </c>
      <c r="N459" s="152" t="s">
        <v>637</v>
      </c>
      <c r="O459" s="152" t="s">
        <v>647</v>
      </c>
      <c r="P459" s="152" t="s">
        <v>774</v>
      </c>
      <c r="Q459" s="152" t="s">
        <v>637</v>
      </c>
      <c r="R459" s="152" t="s">
        <v>656</v>
      </c>
      <c r="S459" s="152" t="s">
        <v>637</v>
      </c>
      <c r="T459" s="152" t="s">
        <v>656</v>
      </c>
      <c r="U459" s="152" t="s">
        <v>644</v>
      </c>
      <c r="V459" s="152" t="s">
        <v>199</v>
      </c>
      <c r="W459" s="152" t="s">
        <v>643</v>
      </c>
      <c r="Y459" s="152" t="s">
        <v>637</v>
      </c>
      <c r="Z459" s="152" t="s">
        <v>642</v>
      </c>
      <c r="AA459" s="152" t="s">
        <v>641</v>
      </c>
      <c r="AB459" s="152" t="s">
        <v>728</v>
      </c>
      <c r="AC459" s="152" t="s">
        <v>656</v>
      </c>
      <c r="AD459" s="152" t="s">
        <v>771</v>
      </c>
      <c r="AE459" s="152" t="s">
        <v>637</v>
      </c>
      <c r="AF459" s="152" t="s">
        <v>637</v>
      </c>
      <c r="AG459" s="152" t="s">
        <v>637</v>
      </c>
      <c r="AH459" s="152" t="s">
        <v>664</v>
      </c>
      <c r="AI459" s="152" t="s">
        <v>628</v>
      </c>
      <c r="AJ459" s="152" t="s">
        <v>635</v>
      </c>
      <c r="AK459" s="152" t="s">
        <v>634</v>
      </c>
      <c r="AL459" s="152" t="s">
        <v>637</v>
      </c>
      <c r="AM459" s="152" t="s">
        <v>727</v>
      </c>
      <c r="AO459" s="152" t="s">
        <v>631</v>
      </c>
      <c r="AP459" s="152" t="s">
        <v>628</v>
      </c>
      <c r="AQ459" s="152" t="s">
        <v>773</v>
      </c>
      <c r="AR459" s="152" t="s">
        <v>772</v>
      </c>
      <c r="AS459" s="152" t="s">
        <v>628</v>
      </c>
      <c r="AT459" s="152" t="s">
        <v>702</v>
      </c>
      <c r="AU459" s="152">
        <v>2016</v>
      </c>
      <c r="AV459" s="339">
        <v>5995</v>
      </c>
      <c r="AW459" s="339">
        <v>1607678</v>
      </c>
      <c r="AX459" s="152">
        <v>26</v>
      </c>
      <c r="AY459" s="152">
        <v>0</v>
      </c>
      <c r="AZ459" s="152">
        <v>75</v>
      </c>
      <c r="BA459" s="152">
        <v>3.35039058</v>
      </c>
      <c r="BB459" s="152">
        <v>82</v>
      </c>
      <c r="BC459" s="152">
        <v>90</v>
      </c>
      <c r="BD459" s="152">
        <v>5.6069998999999999</v>
      </c>
    </row>
    <row r="460" spans="1:56" x14ac:dyDescent="0.25">
      <c r="A460" s="152" t="s">
        <v>653</v>
      </c>
      <c r="B460" s="152">
        <v>43.666555000000002</v>
      </c>
      <c r="C460" s="152">
        <v>-97.177689999999998</v>
      </c>
      <c r="D460" s="152">
        <v>47</v>
      </c>
      <c r="E460" s="152" t="s">
        <v>697</v>
      </c>
      <c r="F460" s="152">
        <v>2016</v>
      </c>
      <c r="G460" s="340">
        <v>42535.9375</v>
      </c>
      <c r="H460" s="152" t="s">
        <v>637</v>
      </c>
      <c r="I460" s="152" t="s">
        <v>696</v>
      </c>
      <c r="J460" s="152" t="s">
        <v>697</v>
      </c>
      <c r="L460" s="152" t="s">
        <v>649</v>
      </c>
      <c r="M460" s="152" t="s">
        <v>736</v>
      </c>
      <c r="N460" s="152" t="s">
        <v>637</v>
      </c>
      <c r="O460" s="152" t="s">
        <v>647</v>
      </c>
      <c r="P460" s="152" t="s">
        <v>696</v>
      </c>
      <c r="Q460" s="152" t="s">
        <v>637</v>
      </c>
      <c r="R460" s="152" t="s">
        <v>701</v>
      </c>
      <c r="S460" s="152" t="s">
        <v>637</v>
      </c>
      <c r="T460" s="152" t="s">
        <v>701</v>
      </c>
      <c r="U460" s="152" t="s">
        <v>644</v>
      </c>
      <c r="V460" s="152" t="s">
        <v>199</v>
      </c>
      <c r="W460" s="152" t="s">
        <v>643</v>
      </c>
      <c r="Y460" s="152" t="s">
        <v>637</v>
      </c>
      <c r="Z460" s="152" t="s">
        <v>642</v>
      </c>
      <c r="AA460" s="152" t="s">
        <v>665</v>
      </c>
      <c r="AB460" s="152" t="s">
        <v>640</v>
      </c>
      <c r="AC460" s="152" t="s">
        <v>701</v>
      </c>
      <c r="AD460" s="152" t="s">
        <v>771</v>
      </c>
      <c r="AE460" s="152" t="s">
        <v>637</v>
      </c>
      <c r="AF460" s="152" t="s">
        <v>637</v>
      </c>
      <c r="AG460" s="152" t="s">
        <v>637</v>
      </c>
      <c r="AH460" s="152" t="s">
        <v>664</v>
      </c>
      <c r="AI460" s="152" t="s">
        <v>699</v>
      </c>
      <c r="AJ460" s="152" t="s">
        <v>696</v>
      </c>
      <c r="AL460" s="152" t="s">
        <v>637</v>
      </c>
      <c r="AM460" s="152" t="s">
        <v>770</v>
      </c>
      <c r="AO460" s="152" t="s">
        <v>631</v>
      </c>
      <c r="AP460" s="152" t="s">
        <v>697</v>
      </c>
      <c r="AQ460" s="152" t="s">
        <v>769</v>
      </c>
      <c r="AS460" s="152" t="s">
        <v>696</v>
      </c>
      <c r="AT460" s="152" t="s">
        <v>702</v>
      </c>
      <c r="AU460" s="152">
        <v>2016</v>
      </c>
      <c r="AV460" s="339">
        <v>5995</v>
      </c>
      <c r="AW460" s="339">
        <v>1606807</v>
      </c>
      <c r="AX460" s="152">
        <v>14</v>
      </c>
      <c r="AY460" s="152">
        <v>-1</v>
      </c>
      <c r="AZ460" s="152">
        <v>75</v>
      </c>
      <c r="BA460" s="152">
        <v>3.539828156</v>
      </c>
      <c r="BB460" s="152">
        <v>72</v>
      </c>
      <c r="BC460" s="152">
        <v>90</v>
      </c>
      <c r="BD460" s="152">
        <v>5.6069998999999999</v>
      </c>
    </row>
    <row r="461" spans="1:56" x14ac:dyDescent="0.25">
      <c r="A461" s="152" t="s">
        <v>653</v>
      </c>
      <c r="B461" s="152">
        <v>43.666589999999999</v>
      </c>
      <c r="C461" s="152">
        <v>-97.174259000000006</v>
      </c>
      <c r="D461" s="152">
        <v>47</v>
      </c>
      <c r="E461" s="152" t="s">
        <v>652</v>
      </c>
      <c r="F461" s="152">
        <v>2016</v>
      </c>
      <c r="G461" s="340">
        <v>42377.833333333336</v>
      </c>
      <c r="H461" s="152" t="s">
        <v>637</v>
      </c>
      <c r="I461" s="152" t="s">
        <v>713</v>
      </c>
      <c r="J461" s="152" t="s">
        <v>650</v>
      </c>
      <c r="L461" s="152" t="s">
        <v>649</v>
      </c>
      <c r="M461" s="152" t="s">
        <v>648</v>
      </c>
      <c r="N461" s="152" t="s">
        <v>637</v>
      </c>
      <c r="O461" s="152" t="s">
        <v>647</v>
      </c>
      <c r="P461" s="152" t="s">
        <v>628</v>
      </c>
      <c r="Q461" s="152" t="s">
        <v>637</v>
      </c>
      <c r="R461" s="152" t="s">
        <v>768</v>
      </c>
      <c r="S461" s="152" t="s">
        <v>637</v>
      </c>
      <c r="T461" s="152" t="s">
        <v>723</v>
      </c>
      <c r="U461" s="152" t="s">
        <v>644</v>
      </c>
      <c r="V461" s="152" t="s">
        <v>199</v>
      </c>
      <c r="W461" s="152" t="s">
        <v>643</v>
      </c>
      <c r="Y461" s="152" t="s">
        <v>637</v>
      </c>
      <c r="Z461" s="152" t="s">
        <v>642</v>
      </c>
      <c r="AA461" s="152" t="s">
        <v>665</v>
      </c>
      <c r="AB461" s="152" t="s">
        <v>640</v>
      </c>
      <c r="AC461" s="152" t="s">
        <v>719</v>
      </c>
      <c r="AD461" s="152" t="s">
        <v>638</v>
      </c>
      <c r="AE461" s="152" t="s">
        <v>637</v>
      </c>
      <c r="AF461" s="152" t="s">
        <v>637</v>
      </c>
      <c r="AG461" s="152" t="s">
        <v>637</v>
      </c>
      <c r="AH461" s="152" t="s">
        <v>636</v>
      </c>
      <c r="AI461" s="152" t="s">
        <v>655</v>
      </c>
      <c r="AJ461" s="152" t="s">
        <v>635</v>
      </c>
      <c r="AK461" s="152" t="s">
        <v>634</v>
      </c>
      <c r="AL461" s="152" t="s">
        <v>637</v>
      </c>
      <c r="AM461" s="152" t="s">
        <v>767</v>
      </c>
      <c r="AO461" s="152" t="s">
        <v>631</v>
      </c>
      <c r="AP461" s="152" t="s">
        <v>628</v>
      </c>
      <c r="AQ461" s="152" t="s">
        <v>630</v>
      </c>
      <c r="AR461" s="152" t="s">
        <v>629</v>
      </c>
      <c r="AS461" s="152" t="s">
        <v>678</v>
      </c>
      <c r="AT461" s="152" t="s">
        <v>766</v>
      </c>
      <c r="AU461" s="152">
        <v>2016</v>
      </c>
      <c r="AV461" s="339">
        <v>5995</v>
      </c>
      <c r="AW461" s="339">
        <v>1602320</v>
      </c>
      <c r="AX461" s="152">
        <v>8</v>
      </c>
      <c r="AY461" s="152">
        <v>0</v>
      </c>
      <c r="AZ461" s="152">
        <v>75</v>
      </c>
      <c r="BA461" s="152">
        <v>4.8247115E-2</v>
      </c>
      <c r="BB461" s="152">
        <v>33</v>
      </c>
      <c r="BC461" s="152">
        <v>90</v>
      </c>
      <c r="BD461" s="152">
        <v>5.6069998999999999</v>
      </c>
    </row>
    <row r="462" spans="1:56" x14ac:dyDescent="0.25">
      <c r="A462" s="152" t="s">
        <v>653</v>
      </c>
      <c r="B462" s="152">
        <v>43.666594000000003</v>
      </c>
      <c r="C462" s="152">
        <v>-97.173469999999995</v>
      </c>
      <c r="D462" s="152">
        <v>47</v>
      </c>
      <c r="E462" s="152" t="s">
        <v>652</v>
      </c>
      <c r="F462" s="152">
        <v>2018</v>
      </c>
      <c r="G462" s="340">
        <v>43387.958333333336</v>
      </c>
      <c r="H462" s="152" t="s">
        <v>637</v>
      </c>
      <c r="I462" s="152" t="s">
        <v>669</v>
      </c>
      <c r="J462" s="152" t="s">
        <v>650</v>
      </c>
      <c r="L462" s="152" t="s">
        <v>649</v>
      </c>
      <c r="M462" s="152" t="s">
        <v>712</v>
      </c>
      <c r="N462" s="152" t="s">
        <v>637</v>
      </c>
      <c r="O462" s="152" t="s">
        <v>647</v>
      </c>
      <c r="P462" s="152" t="s">
        <v>765</v>
      </c>
      <c r="Q462" s="152" t="s">
        <v>637</v>
      </c>
      <c r="R462" s="152" t="s">
        <v>764</v>
      </c>
      <c r="S462" s="152" t="s">
        <v>637</v>
      </c>
      <c r="T462" s="152" t="s">
        <v>763</v>
      </c>
      <c r="U462" s="152" t="s">
        <v>644</v>
      </c>
      <c r="V462" s="152" t="s">
        <v>199</v>
      </c>
      <c r="W462" s="152" t="s">
        <v>643</v>
      </c>
      <c r="Y462" s="152" t="s">
        <v>637</v>
      </c>
      <c r="Z462" s="152" t="s">
        <v>642</v>
      </c>
      <c r="AA462" s="152" t="s">
        <v>665</v>
      </c>
      <c r="AB462" s="152" t="s">
        <v>640</v>
      </c>
      <c r="AC462" s="152" t="s">
        <v>763</v>
      </c>
      <c r="AD462" s="152" t="s">
        <v>700</v>
      </c>
      <c r="AE462" s="152" t="s">
        <v>637</v>
      </c>
      <c r="AF462" s="152" t="s">
        <v>637</v>
      </c>
      <c r="AG462" s="152" t="s">
        <v>637</v>
      </c>
      <c r="AH462" s="152" t="s">
        <v>762</v>
      </c>
      <c r="AI462" s="152" t="s">
        <v>628</v>
      </c>
      <c r="AJ462" s="152" t="s">
        <v>680</v>
      </c>
      <c r="AK462" s="152" t="s">
        <v>634</v>
      </c>
      <c r="AL462" s="152" t="s">
        <v>637</v>
      </c>
      <c r="AM462" s="152" t="s">
        <v>761</v>
      </c>
      <c r="AO462" s="152" t="s">
        <v>715</v>
      </c>
      <c r="AP462" s="152" t="s">
        <v>628</v>
      </c>
      <c r="AQ462" s="152" t="s">
        <v>703</v>
      </c>
      <c r="AR462" s="152" t="s">
        <v>629</v>
      </c>
      <c r="AS462" s="152" t="s">
        <v>628</v>
      </c>
      <c r="AT462" s="152" t="s">
        <v>760</v>
      </c>
      <c r="AU462" s="152">
        <v>2018</v>
      </c>
      <c r="AV462" s="339">
        <v>5995</v>
      </c>
      <c r="AW462" s="339">
        <v>1812745</v>
      </c>
      <c r="AX462" s="152">
        <v>14</v>
      </c>
      <c r="AY462" s="152">
        <v>0</v>
      </c>
      <c r="AZ462" s="152">
        <v>75</v>
      </c>
      <c r="BA462" s="152">
        <v>0.210749773</v>
      </c>
      <c r="BB462" s="152">
        <v>453</v>
      </c>
      <c r="BC462" s="152">
        <v>90</v>
      </c>
      <c r="BD462" s="152">
        <v>5.6069998999999999</v>
      </c>
    </row>
    <row r="463" spans="1:56" x14ac:dyDescent="0.25">
      <c r="A463" s="152" t="s">
        <v>653</v>
      </c>
      <c r="B463" s="152">
        <v>43.666606999999999</v>
      </c>
      <c r="C463" s="152">
        <v>-97.172336999999999</v>
      </c>
      <c r="D463" s="152">
        <v>47</v>
      </c>
      <c r="E463" s="152" t="s">
        <v>759</v>
      </c>
      <c r="F463" s="152">
        <v>2019</v>
      </c>
      <c r="G463" s="340">
        <v>43516.459027777775</v>
      </c>
      <c r="H463" s="152" t="s">
        <v>637</v>
      </c>
      <c r="I463" s="152" t="s">
        <v>745</v>
      </c>
      <c r="J463" s="152" t="s">
        <v>660</v>
      </c>
      <c r="K463" s="152" t="s">
        <v>743</v>
      </c>
      <c r="L463" s="152" t="s">
        <v>649</v>
      </c>
      <c r="M463" s="152" t="s">
        <v>676</v>
      </c>
      <c r="N463" s="152" t="s">
        <v>637</v>
      </c>
      <c r="O463" s="152" t="s">
        <v>647</v>
      </c>
      <c r="P463" s="152" t="s">
        <v>758</v>
      </c>
      <c r="Q463" s="152" t="s">
        <v>637</v>
      </c>
      <c r="R463" s="152" t="s">
        <v>757</v>
      </c>
      <c r="S463" s="152" t="s">
        <v>637</v>
      </c>
      <c r="T463" s="152" t="s">
        <v>656</v>
      </c>
      <c r="U463" s="152" t="s">
        <v>644</v>
      </c>
      <c r="V463" s="152" t="s">
        <v>199</v>
      </c>
      <c r="W463" s="152" t="s">
        <v>643</v>
      </c>
      <c r="Y463" s="152" t="s">
        <v>637</v>
      </c>
      <c r="Z463" s="152" t="s">
        <v>642</v>
      </c>
      <c r="AA463" s="152" t="s">
        <v>641</v>
      </c>
      <c r="AB463" s="152" t="s">
        <v>740</v>
      </c>
      <c r="AC463" s="152" t="s">
        <v>656</v>
      </c>
      <c r="AD463" s="152" t="s">
        <v>718</v>
      </c>
      <c r="AE463" s="152" t="s">
        <v>637</v>
      </c>
      <c r="AF463" s="152" t="s">
        <v>637</v>
      </c>
      <c r="AG463" s="152" t="s">
        <v>637</v>
      </c>
      <c r="AH463" s="152" t="s">
        <v>677</v>
      </c>
      <c r="AI463" s="152" t="s">
        <v>655</v>
      </c>
      <c r="AJ463" s="152" t="s">
        <v>635</v>
      </c>
      <c r="AK463" s="152" t="s">
        <v>634</v>
      </c>
      <c r="AL463" s="152" t="s">
        <v>637</v>
      </c>
      <c r="AM463" s="152" t="s">
        <v>756</v>
      </c>
      <c r="AO463" s="152" t="s">
        <v>631</v>
      </c>
      <c r="AP463" s="152" t="s">
        <v>628</v>
      </c>
      <c r="AQ463" s="152" t="s">
        <v>755</v>
      </c>
      <c r="AR463" s="152" t="s">
        <v>629</v>
      </c>
      <c r="AS463" s="152" t="s">
        <v>678</v>
      </c>
      <c r="AT463" s="152" t="s">
        <v>677</v>
      </c>
      <c r="AU463" s="152">
        <v>2019</v>
      </c>
      <c r="AV463" s="339">
        <v>5995</v>
      </c>
      <c r="AW463" s="339">
        <v>1901877</v>
      </c>
      <c r="AX463" s="152">
        <v>20</v>
      </c>
      <c r="AY463" s="152">
        <v>0</v>
      </c>
      <c r="AZ463" s="152">
        <v>75</v>
      </c>
      <c r="BA463" s="152">
        <v>8.9338101000000003E-2</v>
      </c>
      <c r="BB463" s="152">
        <v>515</v>
      </c>
      <c r="BC463" s="152">
        <v>90</v>
      </c>
      <c r="BD463" s="152">
        <v>5.6069998999999999</v>
      </c>
    </row>
    <row r="464" spans="1:56" x14ac:dyDescent="0.25">
      <c r="A464" s="152" t="s">
        <v>653</v>
      </c>
      <c r="B464" s="152">
        <v>43.666629</v>
      </c>
      <c r="C464" s="152">
        <v>-97.169307000000003</v>
      </c>
      <c r="D464" s="152">
        <v>47</v>
      </c>
      <c r="E464" s="152" t="s">
        <v>697</v>
      </c>
      <c r="F464" s="152">
        <v>2018</v>
      </c>
      <c r="G464" s="340">
        <v>43241.142361111109</v>
      </c>
      <c r="H464" s="152" t="s">
        <v>637</v>
      </c>
      <c r="I464" s="152" t="s">
        <v>696</v>
      </c>
      <c r="J464" s="152" t="s">
        <v>697</v>
      </c>
      <c r="L464" s="152" t="s">
        <v>649</v>
      </c>
      <c r="M464" s="152" t="s">
        <v>685</v>
      </c>
      <c r="N464" s="152" t="s">
        <v>637</v>
      </c>
      <c r="O464" s="152" t="s">
        <v>647</v>
      </c>
      <c r="P464" s="152" t="s">
        <v>696</v>
      </c>
      <c r="Q464" s="152" t="s">
        <v>637</v>
      </c>
      <c r="R464" s="152" t="s">
        <v>701</v>
      </c>
      <c r="S464" s="152" t="s">
        <v>637</v>
      </c>
      <c r="T464" s="152" t="s">
        <v>701</v>
      </c>
      <c r="U464" s="152" t="s">
        <v>644</v>
      </c>
      <c r="V464" s="152" t="s">
        <v>199</v>
      </c>
      <c r="W464" s="152" t="s">
        <v>643</v>
      </c>
      <c r="Y464" s="152" t="s">
        <v>637</v>
      </c>
      <c r="Z464" s="152" t="s">
        <v>642</v>
      </c>
      <c r="AA464" s="152" t="s">
        <v>665</v>
      </c>
      <c r="AB464" s="152" t="s">
        <v>640</v>
      </c>
      <c r="AC464" s="152" t="s">
        <v>701</v>
      </c>
      <c r="AD464" s="152" t="s">
        <v>752</v>
      </c>
      <c r="AE464" s="152" t="s">
        <v>637</v>
      </c>
      <c r="AF464" s="152" t="s">
        <v>637</v>
      </c>
      <c r="AG464" s="152" t="s">
        <v>637</v>
      </c>
      <c r="AH464" s="152" t="s">
        <v>664</v>
      </c>
      <c r="AI464" s="152" t="s">
        <v>699</v>
      </c>
      <c r="AJ464" s="152" t="s">
        <v>696</v>
      </c>
      <c r="AL464" s="152" t="s">
        <v>637</v>
      </c>
      <c r="AM464" s="152" t="s">
        <v>754</v>
      </c>
      <c r="AO464" s="152" t="s">
        <v>631</v>
      </c>
      <c r="AP464" s="152" t="s">
        <v>697</v>
      </c>
      <c r="AQ464" s="152" t="s">
        <v>662</v>
      </c>
      <c r="AS464" s="152" t="s">
        <v>696</v>
      </c>
      <c r="AT464" s="152" t="s">
        <v>702</v>
      </c>
      <c r="AU464" s="152">
        <v>2018</v>
      </c>
      <c r="AV464" s="339">
        <v>5995</v>
      </c>
      <c r="AW464" s="339">
        <v>1805839</v>
      </c>
      <c r="AX464" s="152">
        <v>21</v>
      </c>
      <c r="AY464" s="152">
        <v>-1</v>
      </c>
      <c r="AZ464" s="152">
        <v>75</v>
      </c>
      <c r="BA464" s="152">
        <v>0.28665826500000002</v>
      </c>
      <c r="BB464" s="152">
        <v>396</v>
      </c>
      <c r="BC464" s="152">
        <v>90</v>
      </c>
      <c r="BD464" s="152">
        <v>5.6069998999999999</v>
      </c>
    </row>
    <row r="465" spans="1:56" x14ac:dyDescent="0.25">
      <c r="A465" s="152" t="s">
        <v>653</v>
      </c>
      <c r="B465" s="152">
        <v>43.666631000000002</v>
      </c>
      <c r="C465" s="152">
        <v>-97.169059000000004</v>
      </c>
      <c r="D465" s="152">
        <v>47</v>
      </c>
      <c r="E465" s="152" t="s">
        <v>697</v>
      </c>
      <c r="F465" s="152">
        <v>2019</v>
      </c>
      <c r="G465" s="340">
        <v>43786.677083333336</v>
      </c>
      <c r="H465" s="152" t="s">
        <v>637</v>
      </c>
      <c r="I465" s="152" t="s">
        <v>696</v>
      </c>
      <c r="J465" s="152" t="s">
        <v>697</v>
      </c>
      <c r="L465" s="152" t="s">
        <v>649</v>
      </c>
      <c r="M465" s="152" t="s">
        <v>712</v>
      </c>
      <c r="N465" s="152" t="s">
        <v>637</v>
      </c>
      <c r="O465" s="152" t="s">
        <v>647</v>
      </c>
      <c r="P465" s="152" t="s">
        <v>696</v>
      </c>
      <c r="Q465" s="152" t="s">
        <v>637</v>
      </c>
      <c r="R465" s="152" t="s">
        <v>701</v>
      </c>
      <c r="S465" s="152" t="s">
        <v>637</v>
      </c>
      <c r="T465" s="152" t="s">
        <v>701</v>
      </c>
      <c r="U465" s="152" t="s">
        <v>644</v>
      </c>
      <c r="V465" s="152" t="s">
        <v>199</v>
      </c>
      <c r="W465" s="152" t="s">
        <v>643</v>
      </c>
      <c r="Y465" s="152" t="s">
        <v>637</v>
      </c>
      <c r="Z465" s="152" t="s">
        <v>696</v>
      </c>
      <c r="AA465" s="152" t="s">
        <v>641</v>
      </c>
      <c r="AB465" s="152" t="s">
        <v>640</v>
      </c>
      <c r="AC465" s="152" t="s">
        <v>701</v>
      </c>
      <c r="AD465" s="152" t="s">
        <v>673</v>
      </c>
      <c r="AE465" s="152" t="s">
        <v>637</v>
      </c>
      <c r="AF465" s="152" t="s">
        <v>637</v>
      </c>
      <c r="AG465" s="152" t="s">
        <v>637</v>
      </c>
      <c r="AH465" s="152" t="s">
        <v>664</v>
      </c>
      <c r="AI465" s="152" t="s">
        <v>699</v>
      </c>
      <c r="AJ465" s="152" t="s">
        <v>696</v>
      </c>
      <c r="AL465" s="152" t="s">
        <v>637</v>
      </c>
      <c r="AM465" s="152" t="s">
        <v>753</v>
      </c>
      <c r="AO465" s="152" t="s">
        <v>631</v>
      </c>
      <c r="AP465" s="152" t="s">
        <v>697</v>
      </c>
      <c r="AQ465" s="152" t="s">
        <v>671</v>
      </c>
      <c r="AS465" s="152" t="s">
        <v>696</v>
      </c>
      <c r="AT465" s="152" t="s">
        <v>702</v>
      </c>
      <c r="AU465" s="152">
        <v>2019</v>
      </c>
      <c r="AV465" s="339">
        <v>5995</v>
      </c>
      <c r="AW465" s="339">
        <v>1918172</v>
      </c>
      <c r="AX465" s="152">
        <v>17</v>
      </c>
      <c r="AY465" s="152">
        <v>-1</v>
      </c>
      <c r="AZ465" s="152">
        <v>75</v>
      </c>
      <c r="BA465" s="152">
        <v>0.32194693000000002</v>
      </c>
      <c r="BB465" s="152">
        <v>622</v>
      </c>
      <c r="BC465" s="152">
        <v>90</v>
      </c>
      <c r="BD465" s="152">
        <v>5.6069998999999999</v>
      </c>
    </row>
    <row r="466" spans="1:56" x14ac:dyDescent="0.25">
      <c r="A466" s="152" t="s">
        <v>653</v>
      </c>
      <c r="B466" s="152">
        <v>43.666643999999998</v>
      </c>
      <c r="C466" s="152">
        <v>-97.166917999999995</v>
      </c>
      <c r="D466" s="152">
        <v>47</v>
      </c>
      <c r="E466" s="152" t="s">
        <v>697</v>
      </c>
      <c r="F466" s="152">
        <v>2019</v>
      </c>
      <c r="G466" s="340">
        <v>43596.878472222219</v>
      </c>
      <c r="H466" s="152" t="s">
        <v>637</v>
      </c>
      <c r="I466" s="152" t="s">
        <v>696</v>
      </c>
      <c r="J466" s="152" t="s">
        <v>697</v>
      </c>
      <c r="L466" s="152" t="s">
        <v>649</v>
      </c>
      <c r="M466" s="152" t="s">
        <v>693</v>
      </c>
      <c r="N466" s="152" t="s">
        <v>637</v>
      </c>
      <c r="O466" s="152" t="s">
        <v>647</v>
      </c>
      <c r="P466" s="152" t="s">
        <v>696</v>
      </c>
      <c r="Q466" s="152" t="s">
        <v>637</v>
      </c>
      <c r="R466" s="152" t="s">
        <v>701</v>
      </c>
      <c r="S466" s="152" t="s">
        <v>637</v>
      </c>
      <c r="T466" s="152" t="s">
        <v>701</v>
      </c>
      <c r="U466" s="152" t="s">
        <v>644</v>
      </c>
      <c r="V466" s="152" t="s">
        <v>199</v>
      </c>
      <c r="W466" s="152" t="s">
        <v>643</v>
      </c>
      <c r="Y466" s="152" t="s">
        <v>637</v>
      </c>
      <c r="Z466" s="152" t="s">
        <v>696</v>
      </c>
      <c r="AA466" s="152" t="s">
        <v>665</v>
      </c>
      <c r="AB466" s="152" t="s">
        <v>640</v>
      </c>
      <c r="AC466" s="152" t="s">
        <v>701</v>
      </c>
      <c r="AD466" s="152" t="s">
        <v>752</v>
      </c>
      <c r="AE466" s="152" t="s">
        <v>637</v>
      </c>
      <c r="AF466" s="152" t="s">
        <v>637</v>
      </c>
      <c r="AG466" s="152" t="s">
        <v>637</v>
      </c>
      <c r="AH466" s="152" t="s">
        <v>664</v>
      </c>
      <c r="AI466" s="152" t="s">
        <v>699</v>
      </c>
      <c r="AJ466" s="152" t="s">
        <v>696</v>
      </c>
      <c r="AL466" s="152" t="s">
        <v>637</v>
      </c>
      <c r="AM466" s="152" t="s">
        <v>751</v>
      </c>
      <c r="AO466" s="152" t="s">
        <v>631</v>
      </c>
      <c r="AP466" s="152" t="s">
        <v>697</v>
      </c>
      <c r="AQ466" s="152" t="s">
        <v>630</v>
      </c>
      <c r="AS466" s="152" t="s">
        <v>696</v>
      </c>
      <c r="AT466" s="152" t="s">
        <v>702</v>
      </c>
      <c r="AU466" s="152">
        <v>2019</v>
      </c>
      <c r="AV466" s="339">
        <v>5995</v>
      </c>
      <c r="AW466" s="339">
        <v>1905081</v>
      </c>
      <c r="AX466" s="152">
        <v>11</v>
      </c>
      <c r="AY466" s="152">
        <v>-1</v>
      </c>
      <c r="AZ466" s="152">
        <v>75</v>
      </c>
      <c r="BA466" s="152">
        <v>0.91895704499999997</v>
      </c>
      <c r="BB466" s="152">
        <v>534</v>
      </c>
      <c r="BC466" s="152">
        <v>90</v>
      </c>
      <c r="BD466" s="152">
        <v>5.6069998999999999</v>
      </c>
    </row>
    <row r="467" spans="1:56" x14ac:dyDescent="0.25">
      <c r="A467" s="152" t="s">
        <v>653</v>
      </c>
      <c r="B467" s="152">
        <v>43.66666</v>
      </c>
      <c r="C467" s="152">
        <v>-97.164338999999998</v>
      </c>
      <c r="D467" s="152">
        <v>47</v>
      </c>
      <c r="E467" s="152" t="s">
        <v>697</v>
      </c>
      <c r="F467" s="152">
        <v>2020</v>
      </c>
      <c r="G467" s="340">
        <v>44106.930555555555</v>
      </c>
      <c r="H467" s="152" t="s">
        <v>637</v>
      </c>
      <c r="I467" s="152" t="s">
        <v>696</v>
      </c>
      <c r="J467" s="152" t="s">
        <v>697</v>
      </c>
      <c r="L467" s="152" t="s">
        <v>649</v>
      </c>
      <c r="M467" s="152" t="s">
        <v>648</v>
      </c>
      <c r="N467" s="152" t="s">
        <v>637</v>
      </c>
      <c r="O467" s="152" t="s">
        <v>647</v>
      </c>
      <c r="P467" s="152" t="s">
        <v>696</v>
      </c>
      <c r="Q467" s="152" t="s">
        <v>637</v>
      </c>
      <c r="R467" s="152" t="s">
        <v>701</v>
      </c>
      <c r="S467" s="152" t="s">
        <v>637</v>
      </c>
      <c r="T467" s="152" t="s">
        <v>701</v>
      </c>
      <c r="U467" s="152" t="s">
        <v>644</v>
      </c>
      <c r="V467" s="152" t="s">
        <v>199</v>
      </c>
      <c r="W467" s="152" t="s">
        <v>643</v>
      </c>
      <c r="Y467" s="152" t="s">
        <v>637</v>
      </c>
      <c r="Z467" s="152" t="s">
        <v>696</v>
      </c>
      <c r="AA467" s="152" t="s">
        <v>665</v>
      </c>
      <c r="AB467" s="152" t="s">
        <v>640</v>
      </c>
      <c r="AC467" s="152" t="s">
        <v>701</v>
      </c>
      <c r="AD467" s="152" t="s">
        <v>700</v>
      </c>
      <c r="AE467" s="152" t="s">
        <v>637</v>
      </c>
      <c r="AF467" s="152" t="s">
        <v>637</v>
      </c>
      <c r="AG467" s="152" t="s">
        <v>637</v>
      </c>
      <c r="AH467" s="152" t="s">
        <v>664</v>
      </c>
      <c r="AI467" s="152" t="s">
        <v>699</v>
      </c>
      <c r="AJ467" s="152" t="s">
        <v>696</v>
      </c>
      <c r="AL467" s="152" t="s">
        <v>637</v>
      </c>
      <c r="AM467" s="152" t="s">
        <v>750</v>
      </c>
      <c r="AO467" s="152" t="s">
        <v>631</v>
      </c>
      <c r="AP467" s="152" t="s">
        <v>697</v>
      </c>
      <c r="AQ467" s="152" t="s">
        <v>671</v>
      </c>
      <c r="AS467" s="152" t="s">
        <v>696</v>
      </c>
      <c r="AT467" s="152" t="s">
        <v>695</v>
      </c>
      <c r="AU467" s="152">
        <v>2020</v>
      </c>
      <c r="AV467" s="339">
        <v>5995</v>
      </c>
      <c r="AW467" s="339">
        <v>2012357</v>
      </c>
      <c r="AX467" s="152">
        <v>2</v>
      </c>
      <c r="AY467" s="152">
        <v>-1</v>
      </c>
      <c r="AZ467" s="152">
        <v>75</v>
      </c>
      <c r="BA467" s="152">
        <v>3.0415949000000001E-2</v>
      </c>
      <c r="BB467" s="152">
        <v>731</v>
      </c>
      <c r="BC467" s="152">
        <v>90</v>
      </c>
      <c r="BD467" s="152">
        <v>5.6069998999999999</v>
      </c>
    </row>
    <row r="468" spans="1:56" x14ac:dyDescent="0.25">
      <c r="A468" s="152" t="s">
        <v>653</v>
      </c>
      <c r="B468" s="152">
        <v>43.666671000000001</v>
      </c>
      <c r="C468" s="152">
        <v>-97.163337999999996</v>
      </c>
      <c r="D468" s="152">
        <v>47</v>
      </c>
      <c r="E468" s="152" t="s">
        <v>697</v>
      </c>
      <c r="F468" s="152">
        <v>2018</v>
      </c>
      <c r="G468" s="340">
        <v>43189.010416666664</v>
      </c>
      <c r="H468" s="152" t="s">
        <v>637</v>
      </c>
      <c r="I468" s="152" t="s">
        <v>696</v>
      </c>
      <c r="J468" s="152" t="s">
        <v>697</v>
      </c>
      <c r="L468" s="152" t="s">
        <v>649</v>
      </c>
      <c r="M468" s="152" t="s">
        <v>648</v>
      </c>
      <c r="N468" s="152" t="s">
        <v>637</v>
      </c>
      <c r="O468" s="152" t="s">
        <v>647</v>
      </c>
      <c r="P468" s="152" t="s">
        <v>696</v>
      </c>
      <c r="Q468" s="152" t="s">
        <v>637</v>
      </c>
      <c r="R468" s="152" t="s">
        <v>701</v>
      </c>
      <c r="S468" s="152" t="s">
        <v>637</v>
      </c>
      <c r="T468" s="152" t="s">
        <v>701</v>
      </c>
      <c r="U468" s="152" t="s">
        <v>644</v>
      </c>
      <c r="V468" s="152" t="s">
        <v>199</v>
      </c>
      <c r="W468" s="152" t="s">
        <v>643</v>
      </c>
      <c r="Y468" s="152" t="s">
        <v>637</v>
      </c>
      <c r="Z468" s="152" t="s">
        <v>642</v>
      </c>
      <c r="AA468" s="152" t="s">
        <v>665</v>
      </c>
      <c r="AB468" s="152" t="s">
        <v>640</v>
      </c>
      <c r="AC468" s="152" t="s">
        <v>701</v>
      </c>
      <c r="AD468" s="152" t="s">
        <v>691</v>
      </c>
      <c r="AE468" s="152" t="s">
        <v>637</v>
      </c>
      <c r="AF468" s="152" t="s">
        <v>637</v>
      </c>
      <c r="AG468" s="152" t="s">
        <v>637</v>
      </c>
      <c r="AH468" s="152" t="s">
        <v>664</v>
      </c>
      <c r="AI468" s="152" t="s">
        <v>699</v>
      </c>
      <c r="AJ468" s="152" t="s">
        <v>696</v>
      </c>
      <c r="AL468" s="152" t="s">
        <v>637</v>
      </c>
      <c r="AM468" s="152" t="s">
        <v>749</v>
      </c>
      <c r="AO468" s="152" t="s">
        <v>631</v>
      </c>
      <c r="AP468" s="152" t="s">
        <v>697</v>
      </c>
      <c r="AQ468" s="152" t="s">
        <v>671</v>
      </c>
      <c r="AS468" s="152" t="s">
        <v>696</v>
      </c>
      <c r="AT468" s="152" t="s">
        <v>695</v>
      </c>
      <c r="AU468" s="152">
        <v>2018</v>
      </c>
      <c r="AV468" s="339">
        <v>5995</v>
      </c>
      <c r="AW468" s="339">
        <v>1803891</v>
      </c>
      <c r="AX468" s="152">
        <v>30</v>
      </c>
      <c r="AY468" s="152">
        <v>-1</v>
      </c>
      <c r="AZ468" s="152">
        <v>75</v>
      </c>
      <c r="BA468" s="152">
        <v>0.23116529899999999</v>
      </c>
      <c r="BB468" s="152">
        <v>359</v>
      </c>
      <c r="BC468" s="152">
        <v>90</v>
      </c>
      <c r="BD468" s="152">
        <v>5.6069998999999999</v>
      </c>
    </row>
    <row r="469" spans="1:56" x14ac:dyDescent="0.25">
      <c r="A469" s="152" t="s">
        <v>653</v>
      </c>
      <c r="B469" s="152">
        <v>43.666671000000001</v>
      </c>
      <c r="C469" s="152">
        <v>-97.163337999999996</v>
      </c>
      <c r="D469" s="152">
        <v>47</v>
      </c>
      <c r="E469" s="152" t="s">
        <v>652</v>
      </c>
      <c r="F469" s="152">
        <v>2018</v>
      </c>
      <c r="G469" s="340">
        <v>43166.298611111109</v>
      </c>
      <c r="H469" s="152" t="s">
        <v>637</v>
      </c>
      <c r="I469" s="152" t="s">
        <v>745</v>
      </c>
      <c r="J469" s="152" t="s">
        <v>650</v>
      </c>
      <c r="K469" s="152" t="s">
        <v>659</v>
      </c>
      <c r="L469" s="152" t="s">
        <v>649</v>
      </c>
      <c r="M469" s="152" t="s">
        <v>676</v>
      </c>
      <c r="N469" s="152" t="s">
        <v>637</v>
      </c>
      <c r="O469" s="152" t="s">
        <v>647</v>
      </c>
      <c r="P469" s="152" t="s">
        <v>646</v>
      </c>
      <c r="Q469" s="152" t="s">
        <v>637</v>
      </c>
      <c r="R469" s="152" t="s">
        <v>748</v>
      </c>
      <c r="S469" s="152" t="s">
        <v>637</v>
      </c>
      <c r="T469" s="152" t="s">
        <v>682</v>
      </c>
      <c r="U469" s="152" t="s">
        <v>644</v>
      </c>
      <c r="V469" s="152" t="s">
        <v>199</v>
      </c>
      <c r="W469" s="152" t="s">
        <v>643</v>
      </c>
      <c r="Y469" s="152" t="s">
        <v>637</v>
      </c>
      <c r="Z469" s="152" t="s">
        <v>642</v>
      </c>
      <c r="AA469" s="152" t="s">
        <v>641</v>
      </c>
      <c r="AB469" s="152" t="s">
        <v>640</v>
      </c>
      <c r="AC469" s="152" t="s">
        <v>682</v>
      </c>
      <c r="AD469" s="152" t="s">
        <v>691</v>
      </c>
      <c r="AE469" s="152" t="s">
        <v>637</v>
      </c>
      <c r="AF469" s="152" t="s">
        <v>637</v>
      </c>
      <c r="AG469" s="152" t="s">
        <v>637</v>
      </c>
      <c r="AH469" s="152" t="s">
        <v>636</v>
      </c>
      <c r="AI469" s="152" t="s">
        <v>655</v>
      </c>
      <c r="AJ469" s="152" t="s">
        <v>635</v>
      </c>
      <c r="AK469" s="152" t="s">
        <v>634</v>
      </c>
      <c r="AL469" s="152" t="s">
        <v>633</v>
      </c>
      <c r="AM469" s="152" t="s">
        <v>747</v>
      </c>
      <c r="AO469" s="152" t="s">
        <v>631</v>
      </c>
      <c r="AP469" s="152" t="s">
        <v>628</v>
      </c>
      <c r="AQ469" s="152" t="s">
        <v>662</v>
      </c>
      <c r="AR469" s="152" t="s">
        <v>629</v>
      </c>
      <c r="AS469" s="152" t="s">
        <v>628</v>
      </c>
      <c r="AT469" s="152" t="s">
        <v>702</v>
      </c>
      <c r="AU469" s="152">
        <v>2018</v>
      </c>
      <c r="AV469" s="339">
        <v>5995</v>
      </c>
      <c r="AW469" s="339">
        <v>1803674</v>
      </c>
      <c r="AX469" s="152">
        <v>7</v>
      </c>
      <c r="AY469" s="152">
        <v>0</v>
      </c>
      <c r="AZ469" s="152">
        <v>75</v>
      </c>
      <c r="BA469" s="152">
        <v>0.23116529899999999</v>
      </c>
      <c r="BB469" s="152">
        <v>354</v>
      </c>
      <c r="BC469" s="152">
        <v>90</v>
      </c>
      <c r="BD469" s="152">
        <v>5.6069998999999999</v>
      </c>
    </row>
    <row r="470" spans="1:56" x14ac:dyDescent="0.25">
      <c r="A470" s="152" t="s">
        <v>653</v>
      </c>
      <c r="B470" s="152">
        <v>43.666677</v>
      </c>
      <c r="C470" s="152">
        <v>-97.161719000000005</v>
      </c>
      <c r="D470" s="152">
        <v>47</v>
      </c>
      <c r="E470" s="152" t="s">
        <v>746</v>
      </c>
      <c r="F470" s="152">
        <v>2016</v>
      </c>
      <c r="G470" s="340">
        <v>42590.520833333336</v>
      </c>
      <c r="H470" s="152" t="s">
        <v>637</v>
      </c>
      <c r="I470" s="152" t="s">
        <v>745</v>
      </c>
      <c r="J470" s="152" t="s">
        <v>744</v>
      </c>
      <c r="K470" s="152" t="s">
        <v>743</v>
      </c>
      <c r="L470" s="152" t="s">
        <v>649</v>
      </c>
      <c r="M470" s="152" t="s">
        <v>685</v>
      </c>
      <c r="N470" s="152" t="s">
        <v>637</v>
      </c>
      <c r="O470" s="152" t="s">
        <v>647</v>
      </c>
      <c r="P470" s="152" t="s">
        <v>742</v>
      </c>
      <c r="Q470" s="152" t="s">
        <v>637</v>
      </c>
      <c r="R470" s="152" t="s">
        <v>741</v>
      </c>
      <c r="S470" s="152" t="s">
        <v>637</v>
      </c>
      <c r="T470" s="152" t="s">
        <v>656</v>
      </c>
      <c r="U470" s="152" t="s">
        <v>644</v>
      </c>
      <c r="V470" s="152" t="s">
        <v>199</v>
      </c>
      <c r="W470" s="152" t="s">
        <v>643</v>
      </c>
      <c r="Y470" s="152" t="s">
        <v>637</v>
      </c>
      <c r="Z470" s="152" t="s">
        <v>642</v>
      </c>
      <c r="AA470" s="152" t="s">
        <v>641</v>
      </c>
      <c r="AB470" s="152" t="s">
        <v>740</v>
      </c>
      <c r="AC470" s="152" t="s">
        <v>739</v>
      </c>
      <c r="AD470" s="152" t="s">
        <v>738</v>
      </c>
      <c r="AE470" s="152" t="s">
        <v>637</v>
      </c>
      <c r="AF470" s="152" t="s">
        <v>637</v>
      </c>
      <c r="AG470" s="152" t="s">
        <v>637</v>
      </c>
      <c r="AH470" s="152" t="s">
        <v>664</v>
      </c>
      <c r="AI470" s="152" t="s">
        <v>628</v>
      </c>
      <c r="AJ470" s="152" t="s">
        <v>680</v>
      </c>
      <c r="AK470" s="152" t="s">
        <v>634</v>
      </c>
      <c r="AL470" s="152" t="s">
        <v>637</v>
      </c>
      <c r="AM470" s="152" t="s">
        <v>737</v>
      </c>
      <c r="AO470" s="152" t="s">
        <v>631</v>
      </c>
      <c r="AP470" s="152" t="s">
        <v>628</v>
      </c>
      <c r="AQ470" s="152" t="s">
        <v>703</v>
      </c>
      <c r="AR470" s="152" t="s">
        <v>629</v>
      </c>
      <c r="AS470" s="152" t="s">
        <v>628</v>
      </c>
      <c r="AT470" s="152" t="s">
        <v>702</v>
      </c>
      <c r="AU470" s="152">
        <v>2016</v>
      </c>
      <c r="AV470" s="339">
        <v>5995</v>
      </c>
      <c r="AW470" s="339">
        <v>1609569</v>
      </c>
      <c r="AX470" s="152">
        <v>8</v>
      </c>
      <c r="AY470" s="152">
        <v>0</v>
      </c>
      <c r="AZ470" s="152">
        <v>75</v>
      </c>
      <c r="BA470" s="152">
        <v>2.6357610990000002</v>
      </c>
      <c r="BB470" s="152">
        <v>97</v>
      </c>
      <c r="BC470" s="152">
        <v>90</v>
      </c>
      <c r="BD470" s="152">
        <v>5.6069998999999999</v>
      </c>
    </row>
    <row r="471" spans="1:56" x14ac:dyDescent="0.25">
      <c r="A471" s="152" t="s">
        <v>653</v>
      </c>
      <c r="B471" s="152">
        <v>43.666679000000002</v>
      </c>
      <c r="C471" s="152">
        <v>-97.161551000000003</v>
      </c>
      <c r="D471" s="152">
        <v>47</v>
      </c>
      <c r="E471" s="152" t="s">
        <v>697</v>
      </c>
      <c r="F471" s="152">
        <v>2016</v>
      </c>
      <c r="G471" s="340">
        <v>42689.732638888891</v>
      </c>
      <c r="H471" s="152" t="s">
        <v>637</v>
      </c>
      <c r="I471" s="152" t="s">
        <v>696</v>
      </c>
      <c r="J471" s="152" t="s">
        <v>697</v>
      </c>
      <c r="L471" s="152" t="s">
        <v>649</v>
      </c>
      <c r="M471" s="152" t="s">
        <v>736</v>
      </c>
      <c r="N471" s="152" t="s">
        <v>637</v>
      </c>
      <c r="O471" s="152" t="s">
        <v>647</v>
      </c>
      <c r="P471" s="152" t="s">
        <v>696</v>
      </c>
      <c r="Q471" s="152" t="s">
        <v>637</v>
      </c>
      <c r="R471" s="152" t="s">
        <v>701</v>
      </c>
      <c r="S471" s="152" t="s">
        <v>637</v>
      </c>
      <c r="T471" s="152" t="s">
        <v>701</v>
      </c>
      <c r="U471" s="152" t="s">
        <v>644</v>
      </c>
      <c r="V471" s="152" t="s">
        <v>199</v>
      </c>
      <c r="W471" s="152" t="s">
        <v>643</v>
      </c>
      <c r="Y471" s="152" t="s">
        <v>637</v>
      </c>
      <c r="Z471" s="152" t="s">
        <v>642</v>
      </c>
      <c r="AA471" s="152" t="s">
        <v>665</v>
      </c>
      <c r="AB471" s="152" t="s">
        <v>640</v>
      </c>
      <c r="AC471" s="152" t="s">
        <v>701</v>
      </c>
      <c r="AD471" s="152" t="s">
        <v>673</v>
      </c>
      <c r="AE471" s="152" t="s">
        <v>637</v>
      </c>
      <c r="AF471" s="152" t="s">
        <v>637</v>
      </c>
      <c r="AG471" s="152" t="s">
        <v>637</v>
      </c>
      <c r="AH471" s="152" t="s">
        <v>664</v>
      </c>
      <c r="AI471" s="152" t="s">
        <v>699</v>
      </c>
      <c r="AJ471" s="152" t="s">
        <v>696</v>
      </c>
      <c r="AL471" s="152" t="s">
        <v>637</v>
      </c>
      <c r="AM471" s="152" t="s">
        <v>735</v>
      </c>
      <c r="AO471" s="152" t="s">
        <v>631</v>
      </c>
      <c r="AP471" s="152" t="s">
        <v>697</v>
      </c>
      <c r="AQ471" s="152" t="s">
        <v>630</v>
      </c>
      <c r="AS471" s="152" t="s">
        <v>696</v>
      </c>
      <c r="AT471" s="152" t="s">
        <v>702</v>
      </c>
      <c r="AU471" s="152">
        <v>2016</v>
      </c>
      <c r="AV471" s="339">
        <v>5995</v>
      </c>
      <c r="AW471" s="339">
        <v>1614770</v>
      </c>
      <c r="AX471" s="152">
        <v>15</v>
      </c>
      <c r="AY471" s="152">
        <v>-1</v>
      </c>
      <c r="AZ471" s="152">
        <v>75</v>
      </c>
      <c r="BA471" s="152">
        <v>2.4307259210000001</v>
      </c>
      <c r="BB471" s="152">
        <v>130</v>
      </c>
      <c r="BC471" s="152">
        <v>90</v>
      </c>
      <c r="BD471" s="152">
        <v>5.6069998999999999</v>
      </c>
    </row>
    <row r="472" spans="1:56" x14ac:dyDescent="0.25">
      <c r="A472" s="152" t="s">
        <v>653</v>
      </c>
      <c r="B472" s="152">
        <v>43.666696000000002</v>
      </c>
      <c r="C472" s="152">
        <v>-97.159473000000006</v>
      </c>
      <c r="D472" s="152">
        <v>47</v>
      </c>
      <c r="E472" s="152" t="s">
        <v>652</v>
      </c>
      <c r="F472" s="152">
        <v>2016</v>
      </c>
      <c r="G472" s="340">
        <v>42378.333333333336</v>
      </c>
      <c r="H472" s="152" t="s">
        <v>637</v>
      </c>
      <c r="I472" s="152" t="s">
        <v>669</v>
      </c>
      <c r="J472" s="152" t="s">
        <v>650</v>
      </c>
      <c r="L472" s="152" t="s">
        <v>649</v>
      </c>
      <c r="M472" s="152" t="s">
        <v>693</v>
      </c>
      <c r="N472" s="152" t="s">
        <v>637</v>
      </c>
      <c r="O472" s="152" t="s">
        <v>647</v>
      </c>
      <c r="P472" s="152" t="s">
        <v>734</v>
      </c>
      <c r="Q472" s="152" t="s">
        <v>637</v>
      </c>
      <c r="R472" s="152" t="s">
        <v>733</v>
      </c>
      <c r="S472" s="152" t="s">
        <v>637</v>
      </c>
      <c r="T472" s="152" t="s">
        <v>719</v>
      </c>
      <c r="U472" s="152" t="s">
        <v>644</v>
      </c>
      <c r="V472" s="152" t="s">
        <v>199</v>
      </c>
      <c r="W472" s="152" t="s">
        <v>643</v>
      </c>
      <c r="Y472" s="152" t="s">
        <v>637</v>
      </c>
      <c r="Z472" s="152" t="s">
        <v>642</v>
      </c>
      <c r="AA472" s="152" t="s">
        <v>641</v>
      </c>
      <c r="AB472" s="152" t="s">
        <v>640</v>
      </c>
      <c r="AC472" s="152" t="s">
        <v>719</v>
      </c>
      <c r="AD472" s="152" t="s">
        <v>638</v>
      </c>
      <c r="AE472" s="152" t="s">
        <v>637</v>
      </c>
      <c r="AF472" s="152" t="s">
        <v>637</v>
      </c>
      <c r="AG472" s="152" t="s">
        <v>637</v>
      </c>
      <c r="AH472" s="152" t="s">
        <v>636</v>
      </c>
      <c r="AI472" s="152" t="s">
        <v>628</v>
      </c>
      <c r="AJ472" s="152" t="s">
        <v>635</v>
      </c>
      <c r="AK472" s="152" t="s">
        <v>634</v>
      </c>
      <c r="AL472" s="152" t="s">
        <v>633</v>
      </c>
      <c r="AM472" s="152" t="s">
        <v>732</v>
      </c>
      <c r="AO472" s="152" t="s">
        <v>631</v>
      </c>
      <c r="AP472" s="152" t="s">
        <v>628</v>
      </c>
      <c r="AQ472" s="152" t="s">
        <v>630</v>
      </c>
      <c r="AR472" s="152" t="s">
        <v>629</v>
      </c>
      <c r="AS472" s="152" t="s">
        <v>628</v>
      </c>
      <c r="AT472" s="152" t="s">
        <v>702</v>
      </c>
      <c r="AU472" s="152">
        <v>2016</v>
      </c>
      <c r="AV472" s="339">
        <v>5995</v>
      </c>
      <c r="AW472" s="339">
        <v>1600207</v>
      </c>
      <c r="AX472" s="152">
        <v>9</v>
      </c>
      <c r="AY472" s="152">
        <v>0</v>
      </c>
      <c r="AZ472" s="152">
        <v>75</v>
      </c>
      <c r="BA472" s="152">
        <v>1.344265029</v>
      </c>
      <c r="BB472" s="152">
        <v>8</v>
      </c>
      <c r="BC472" s="152">
        <v>90</v>
      </c>
      <c r="BD472" s="152">
        <v>5.6069998999999999</v>
      </c>
    </row>
    <row r="473" spans="1:56" x14ac:dyDescent="0.25">
      <c r="A473" s="152" t="s">
        <v>653</v>
      </c>
      <c r="B473" s="152">
        <v>43.666713000000001</v>
      </c>
      <c r="C473" s="152">
        <v>-97.153277000000003</v>
      </c>
      <c r="D473" s="152">
        <v>47</v>
      </c>
      <c r="E473" s="152" t="s">
        <v>652</v>
      </c>
      <c r="F473" s="152">
        <v>2018</v>
      </c>
      <c r="G473" s="340">
        <v>43114.631944444445</v>
      </c>
      <c r="H473" s="152" t="s">
        <v>637</v>
      </c>
      <c r="I473" s="152" t="s">
        <v>669</v>
      </c>
      <c r="J473" s="152" t="s">
        <v>660</v>
      </c>
      <c r="K473" s="152" t="s">
        <v>731</v>
      </c>
      <c r="L473" s="152" t="s">
        <v>649</v>
      </c>
      <c r="M473" s="152" t="s">
        <v>712</v>
      </c>
      <c r="N473" s="152" t="s">
        <v>637</v>
      </c>
      <c r="O473" s="152" t="s">
        <v>647</v>
      </c>
      <c r="P473" s="152" t="s">
        <v>730</v>
      </c>
      <c r="Q473" s="152" t="s">
        <v>637</v>
      </c>
      <c r="R473" s="152" t="s">
        <v>729</v>
      </c>
      <c r="S473" s="152" t="s">
        <v>637</v>
      </c>
      <c r="T473" s="152" t="s">
        <v>656</v>
      </c>
      <c r="U473" s="152" t="s">
        <v>644</v>
      </c>
      <c r="V473" s="152" t="s">
        <v>199</v>
      </c>
      <c r="W473" s="152" t="s">
        <v>643</v>
      </c>
      <c r="Y473" s="152" t="s">
        <v>637</v>
      </c>
      <c r="Z473" s="152" t="s">
        <v>642</v>
      </c>
      <c r="AA473" s="152" t="s">
        <v>641</v>
      </c>
      <c r="AB473" s="152" t="s">
        <v>728</v>
      </c>
      <c r="AC473" s="152" t="s">
        <v>656</v>
      </c>
      <c r="AD473" s="152" t="s">
        <v>638</v>
      </c>
      <c r="AE473" s="152" t="s">
        <v>637</v>
      </c>
      <c r="AF473" s="152" t="s">
        <v>633</v>
      </c>
      <c r="AG473" s="152" t="s">
        <v>637</v>
      </c>
      <c r="AH473" s="152" t="s">
        <v>677</v>
      </c>
      <c r="AI473" s="152" t="s">
        <v>628</v>
      </c>
      <c r="AJ473" s="152" t="s">
        <v>635</v>
      </c>
      <c r="AK473" s="152" t="s">
        <v>634</v>
      </c>
      <c r="AL473" s="152" t="s">
        <v>633</v>
      </c>
      <c r="AM473" s="152" t="s">
        <v>727</v>
      </c>
      <c r="AO473" s="152" t="s">
        <v>631</v>
      </c>
      <c r="AP473" s="152" t="s">
        <v>628</v>
      </c>
      <c r="AQ473" s="152" t="s">
        <v>726</v>
      </c>
      <c r="AR473" s="152" t="s">
        <v>629</v>
      </c>
      <c r="AS473" s="152" t="s">
        <v>628</v>
      </c>
      <c r="AT473" s="152" t="s">
        <v>677</v>
      </c>
      <c r="AU473" s="152">
        <v>2018</v>
      </c>
      <c r="AV473" s="339">
        <v>5995</v>
      </c>
      <c r="AW473" s="339">
        <v>1803075</v>
      </c>
      <c r="AX473" s="152">
        <v>14</v>
      </c>
      <c r="AY473" s="152">
        <v>0</v>
      </c>
      <c r="AZ473" s="152">
        <v>75</v>
      </c>
      <c r="BA473" s="152">
        <v>0.110600373</v>
      </c>
      <c r="BB473" s="152">
        <v>341</v>
      </c>
      <c r="BC473" s="152">
        <v>90</v>
      </c>
      <c r="BD473" s="152">
        <v>5.6069998999999999</v>
      </c>
    </row>
    <row r="474" spans="1:56" x14ac:dyDescent="0.25">
      <c r="A474" s="152" t="s">
        <v>653</v>
      </c>
      <c r="B474" s="152">
        <v>43.666713999999999</v>
      </c>
      <c r="C474" s="152">
        <v>-97.153237000000004</v>
      </c>
      <c r="D474" s="152">
        <v>47</v>
      </c>
      <c r="E474" s="152" t="s">
        <v>697</v>
      </c>
      <c r="F474" s="152">
        <v>2019</v>
      </c>
      <c r="G474" s="340">
        <v>43778.741666666669</v>
      </c>
      <c r="H474" s="152" t="s">
        <v>637</v>
      </c>
      <c r="I474" s="152" t="s">
        <v>696</v>
      </c>
      <c r="J474" s="152" t="s">
        <v>697</v>
      </c>
      <c r="L474" s="152" t="s">
        <v>649</v>
      </c>
      <c r="M474" s="152" t="s">
        <v>693</v>
      </c>
      <c r="N474" s="152" t="s">
        <v>637</v>
      </c>
      <c r="O474" s="152" t="s">
        <v>647</v>
      </c>
      <c r="P474" s="152" t="s">
        <v>696</v>
      </c>
      <c r="Q474" s="152" t="s">
        <v>637</v>
      </c>
      <c r="R474" s="152" t="s">
        <v>701</v>
      </c>
      <c r="S474" s="152" t="s">
        <v>637</v>
      </c>
      <c r="T474" s="152" t="s">
        <v>701</v>
      </c>
      <c r="U474" s="152" t="s">
        <v>644</v>
      </c>
      <c r="V474" s="152" t="s">
        <v>199</v>
      </c>
      <c r="W474" s="152" t="s">
        <v>643</v>
      </c>
      <c r="Y474" s="152" t="s">
        <v>637</v>
      </c>
      <c r="Z474" s="152" t="s">
        <v>696</v>
      </c>
      <c r="AA474" s="152" t="s">
        <v>665</v>
      </c>
      <c r="AB474" s="152" t="s">
        <v>640</v>
      </c>
      <c r="AC474" s="152" t="s">
        <v>701</v>
      </c>
      <c r="AD474" s="152" t="s">
        <v>673</v>
      </c>
      <c r="AE474" s="152" t="s">
        <v>637</v>
      </c>
      <c r="AF474" s="152" t="s">
        <v>637</v>
      </c>
      <c r="AG474" s="152" t="s">
        <v>637</v>
      </c>
      <c r="AH474" s="152" t="s">
        <v>664</v>
      </c>
      <c r="AI474" s="152" t="s">
        <v>699</v>
      </c>
      <c r="AJ474" s="152" t="s">
        <v>696</v>
      </c>
      <c r="AL474" s="152" t="s">
        <v>637</v>
      </c>
      <c r="AM474" s="152" t="s">
        <v>725</v>
      </c>
      <c r="AO474" s="152" t="s">
        <v>631</v>
      </c>
      <c r="AP474" s="152" t="s">
        <v>697</v>
      </c>
      <c r="AQ474" s="152" t="s">
        <v>671</v>
      </c>
      <c r="AS474" s="152" t="s">
        <v>696</v>
      </c>
      <c r="AT474" s="152" t="s">
        <v>702</v>
      </c>
      <c r="AU474" s="152">
        <v>2019</v>
      </c>
      <c r="AV474" s="339">
        <v>5995</v>
      </c>
      <c r="AW474" s="339">
        <v>1917277</v>
      </c>
      <c r="AX474" s="152">
        <v>9</v>
      </c>
      <c r="AY474" s="152">
        <v>-1</v>
      </c>
      <c r="AZ474" s="152">
        <v>75</v>
      </c>
      <c r="BA474" s="152">
        <v>0.19965892900000001</v>
      </c>
      <c r="BB474" s="152">
        <v>617</v>
      </c>
      <c r="BC474" s="152">
        <v>90</v>
      </c>
      <c r="BD474" s="152">
        <v>5.6069998999999999</v>
      </c>
    </row>
    <row r="475" spans="1:56" x14ac:dyDescent="0.25">
      <c r="A475" s="152" t="s">
        <v>653</v>
      </c>
      <c r="B475" s="152">
        <v>43.666727999999999</v>
      </c>
      <c r="C475" s="152">
        <v>-97.149473</v>
      </c>
      <c r="D475" s="152">
        <v>47</v>
      </c>
      <c r="E475" s="152" t="s">
        <v>652</v>
      </c>
      <c r="F475" s="152">
        <v>2020</v>
      </c>
      <c r="G475" s="340">
        <v>44195.706944444442</v>
      </c>
      <c r="H475" s="152" t="s">
        <v>637</v>
      </c>
      <c r="I475" s="152" t="s">
        <v>669</v>
      </c>
      <c r="J475" s="152" t="s">
        <v>650</v>
      </c>
      <c r="L475" s="152" t="s">
        <v>649</v>
      </c>
      <c r="M475" s="152" t="s">
        <v>676</v>
      </c>
      <c r="N475" s="152" t="s">
        <v>637</v>
      </c>
      <c r="O475" s="152" t="s">
        <v>647</v>
      </c>
      <c r="P475" s="152" t="s">
        <v>646</v>
      </c>
      <c r="Q475" s="152" t="s">
        <v>637</v>
      </c>
      <c r="R475" s="152" t="s">
        <v>724</v>
      </c>
      <c r="S475" s="152" t="s">
        <v>637</v>
      </c>
      <c r="T475" s="152" t="s">
        <v>723</v>
      </c>
      <c r="U475" s="152" t="s">
        <v>644</v>
      </c>
      <c r="V475" s="152" t="s">
        <v>199</v>
      </c>
      <c r="W475" s="152" t="s">
        <v>643</v>
      </c>
      <c r="Y475" s="152" t="s">
        <v>637</v>
      </c>
      <c r="Z475" s="152" t="s">
        <v>642</v>
      </c>
      <c r="AA475" s="152" t="s">
        <v>641</v>
      </c>
      <c r="AB475" s="152" t="s">
        <v>640</v>
      </c>
      <c r="AC475" s="152" t="s">
        <v>723</v>
      </c>
      <c r="AD475" s="152" t="s">
        <v>681</v>
      </c>
      <c r="AE475" s="152" t="s">
        <v>637</v>
      </c>
      <c r="AF475" s="152" t="s">
        <v>637</v>
      </c>
      <c r="AG475" s="152" t="s">
        <v>637</v>
      </c>
      <c r="AH475" s="152" t="s">
        <v>677</v>
      </c>
      <c r="AI475" s="152" t="s">
        <v>655</v>
      </c>
      <c r="AJ475" s="152" t="s">
        <v>635</v>
      </c>
      <c r="AK475" s="152" t="s">
        <v>634</v>
      </c>
      <c r="AL475" s="152" t="s">
        <v>633</v>
      </c>
      <c r="AM475" s="152" t="s">
        <v>722</v>
      </c>
      <c r="AO475" s="152" t="s">
        <v>631</v>
      </c>
      <c r="AP475" s="152" t="s">
        <v>628</v>
      </c>
      <c r="AQ475" s="152" t="s">
        <v>703</v>
      </c>
      <c r="AR475" s="152" t="s">
        <v>629</v>
      </c>
      <c r="AS475" s="152" t="s">
        <v>628</v>
      </c>
      <c r="AT475" s="152" t="s">
        <v>627</v>
      </c>
      <c r="AU475" s="152">
        <v>2020</v>
      </c>
      <c r="AV475" s="339">
        <v>5995</v>
      </c>
      <c r="AW475" s="339">
        <v>2017700</v>
      </c>
      <c r="AX475" s="152">
        <v>30</v>
      </c>
      <c r="AY475" s="152">
        <v>0</v>
      </c>
      <c r="AZ475" s="152">
        <v>75</v>
      </c>
      <c r="BA475" s="152">
        <v>2.5899618520000001</v>
      </c>
      <c r="BB475" s="152">
        <v>779</v>
      </c>
      <c r="BC475" s="152">
        <v>90</v>
      </c>
      <c r="BD475" s="152">
        <v>5.6069998999999999</v>
      </c>
    </row>
    <row r="476" spans="1:56" x14ac:dyDescent="0.25">
      <c r="A476" s="152" t="s">
        <v>653</v>
      </c>
      <c r="B476" s="152">
        <v>43.666727999999999</v>
      </c>
      <c r="C476" s="152">
        <v>-97.149450999999999</v>
      </c>
      <c r="D476" s="152">
        <v>47</v>
      </c>
      <c r="E476" s="152" t="s">
        <v>652</v>
      </c>
      <c r="F476" s="152">
        <v>2019</v>
      </c>
      <c r="G476" s="340">
        <v>43521.263194444444</v>
      </c>
      <c r="H476" s="152" t="s">
        <v>637</v>
      </c>
      <c r="I476" s="152" t="s">
        <v>669</v>
      </c>
      <c r="J476" s="152" t="s">
        <v>650</v>
      </c>
      <c r="L476" s="152" t="s">
        <v>649</v>
      </c>
      <c r="M476" s="152" t="s">
        <v>685</v>
      </c>
      <c r="N476" s="152" t="s">
        <v>637</v>
      </c>
      <c r="O476" s="152" t="s">
        <v>647</v>
      </c>
      <c r="P476" s="152" t="s">
        <v>721</v>
      </c>
      <c r="Q476" s="152" t="s">
        <v>637</v>
      </c>
      <c r="R476" s="152" t="s">
        <v>720</v>
      </c>
      <c r="S476" s="152" t="s">
        <v>637</v>
      </c>
      <c r="T476" s="152" t="s">
        <v>719</v>
      </c>
      <c r="U476" s="152" t="s">
        <v>644</v>
      </c>
      <c r="V476" s="152" t="s">
        <v>199</v>
      </c>
      <c r="W476" s="152" t="s">
        <v>643</v>
      </c>
      <c r="Y476" s="152" t="s">
        <v>637</v>
      </c>
      <c r="Z476" s="152" t="s">
        <v>642</v>
      </c>
      <c r="AA476" s="152" t="s">
        <v>665</v>
      </c>
      <c r="AB476" s="152" t="s">
        <v>640</v>
      </c>
      <c r="AC476" s="152" t="s">
        <v>708</v>
      </c>
      <c r="AD476" s="152" t="s">
        <v>718</v>
      </c>
      <c r="AE476" s="152" t="s">
        <v>637</v>
      </c>
      <c r="AF476" s="152" t="s">
        <v>637</v>
      </c>
      <c r="AG476" s="152" t="s">
        <v>637</v>
      </c>
      <c r="AH476" s="152" t="s">
        <v>636</v>
      </c>
      <c r="AI476" s="152" t="s">
        <v>655</v>
      </c>
      <c r="AJ476" s="152" t="s">
        <v>635</v>
      </c>
      <c r="AK476" s="152" t="s">
        <v>634</v>
      </c>
      <c r="AL476" s="152" t="s">
        <v>637</v>
      </c>
      <c r="AM476" s="152" t="s">
        <v>717</v>
      </c>
      <c r="AO476" s="152" t="s">
        <v>631</v>
      </c>
      <c r="AP476" s="152" t="s">
        <v>628</v>
      </c>
      <c r="AQ476" s="152" t="s">
        <v>671</v>
      </c>
      <c r="AR476" s="152" t="s">
        <v>629</v>
      </c>
      <c r="AS476" s="152" t="s">
        <v>628</v>
      </c>
      <c r="AT476" s="152" t="s">
        <v>627</v>
      </c>
      <c r="AU476" s="152">
        <v>2019</v>
      </c>
      <c r="AV476" s="339">
        <v>5995</v>
      </c>
      <c r="AW476" s="339">
        <v>1902388</v>
      </c>
      <c r="AX476" s="152">
        <v>25</v>
      </c>
      <c r="AY476" s="152">
        <v>0</v>
      </c>
      <c r="AZ476" s="152">
        <v>75</v>
      </c>
      <c r="BA476" s="152">
        <v>2.653238773</v>
      </c>
      <c r="BB476" s="152">
        <v>517</v>
      </c>
      <c r="BC476" s="152">
        <v>90</v>
      </c>
      <c r="BD476" s="152">
        <v>5.6069998999999999</v>
      </c>
    </row>
    <row r="477" spans="1:56" x14ac:dyDescent="0.25">
      <c r="A477" s="152" t="s">
        <v>653</v>
      </c>
      <c r="B477" s="152">
        <v>43.666732000000003</v>
      </c>
      <c r="C477" s="152">
        <v>-97.148549000000003</v>
      </c>
      <c r="D477" s="152">
        <v>47</v>
      </c>
      <c r="E477" s="152" t="s">
        <v>652</v>
      </c>
      <c r="F477" s="152">
        <v>2020</v>
      </c>
      <c r="G477" s="340">
        <v>44142.97152777778</v>
      </c>
      <c r="H477" s="152" t="s">
        <v>637</v>
      </c>
      <c r="I477" s="152" t="s">
        <v>669</v>
      </c>
      <c r="J477" s="152" t="s">
        <v>650</v>
      </c>
      <c r="L477" s="152" t="s">
        <v>649</v>
      </c>
      <c r="M477" s="152" t="s">
        <v>693</v>
      </c>
      <c r="N477" s="152" t="s">
        <v>637</v>
      </c>
      <c r="O477" s="152" t="s">
        <v>647</v>
      </c>
      <c r="P477" s="152" t="s">
        <v>628</v>
      </c>
      <c r="Q477" s="152" t="s">
        <v>637</v>
      </c>
      <c r="R477" s="152" t="s">
        <v>701</v>
      </c>
      <c r="S477" s="152" t="s">
        <v>637</v>
      </c>
      <c r="T477" s="152" t="s">
        <v>701</v>
      </c>
      <c r="U477" s="152" t="s">
        <v>644</v>
      </c>
      <c r="V477" s="152" t="s">
        <v>199</v>
      </c>
      <c r="W477" s="152" t="s">
        <v>643</v>
      </c>
      <c r="Y477" s="152" t="s">
        <v>637</v>
      </c>
      <c r="Z477" s="152" t="s">
        <v>642</v>
      </c>
      <c r="AA477" s="152" t="s">
        <v>665</v>
      </c>
      <c r="AB477" s="152" t="s">
        <v>640</v>
      </c>
      <c r="AC477" s="152" t="s">
        <v>701</v>
      </c>
      <c r="AD477" s="152" t="s">
        <v>673</v>
      </c>
      <c r="AE477" s="152" t="s">
        <v>637</v>
      </c>
      <c r="AF477" s="152" t="s">
        <v>637</v>
      </c>
      <c r="AG477" s="152" t="s">
        <v>637</v>
      </c>
      <c r="AH477" s="152" t="s">
        <v>664</v>
      </c>
      <c r="AI477" s="152" t="s">
        <v>699</v>
      </c>
      <c r="AJ477" s="152" t="s">
        <v>635</v>
      </c>
      <c r="AK477" s="152" t="s">
        <v>634</v>
      </c>
      <c r="AL477" s="152" t="s">
        <v>637</v>
      </c>
      <c r="AM477" s="152" t="s">
        <v>716</v>
      </c>
      <c r="AO477" s="152" t="s">
        <v>715</v>
      </c>
      <c r="AP477" s="152" t="s">
        <v>628</v>
      </c>
      <c r="AQ477" s="152" t="s">
        <v>671</v>
      </c>
      <c r="AR477" s="152" t="s">
        <v>629</v>
      </c>
      <c r="AS477" s="152" t="s">
        <v>628</v>
      </c>
      <c r="AT477" s="152" t="s">
        <v>714</v>
      </c>
      <c r="AU477" s="152">
        <v>2020</v>
      </c>
      <c r="AV477" s="339">
        <v>5995</v>
      </c>
      <c r="AW477" s="339">
        <v>2014778</v>
      </c>
      <c r="AX477" s="152">
        <v>7</v>
      </c>
      <c r="AY477" s="152">
        <v>0</v>
      </c>
      <c r="AZ477" s="152">
        <v>75</v>
      </c>
      <c r="BA477" s="152">
        <v>3.3029871709999998</v>
      </c>
      <c r="BB477" s="152">
        <v>764</v>
      </c>
      <c r="BC477" s="152">
        <v>90</v>
      </c>
      <c r="BD477" s="152">
        <v>5.6069998999999999</v>
      </c>
    </row>
    <row r="478" spans="1:56" x14ac:dyDescent="0.25">
      <c r="A478" s="152" t="s">
        <v>653</v>
      </c>
      <c r="B478" s="152">
        <v>43.666755999999999</v>
      </c>
      <c r="C478" s="152">
        <v>-97.143107999999998</v>
      </c>
      <c r="D478" s="152">
        <v>47</v>
      </c>
      <c r="E478" s="152" t="s">
        <v>652</v>
      </c>
      <c r="F478" s="152">
        <v>2020</v>
      </c>
      <c r="G478" s="340">
        <v>44122.6875</v>
      </c>
      <c r="H478" s="152" t="s">
        <v>637</v>
      </c>
      <c r="I478" s="152" t="s">
        <v>713</v>
      </c>
      <c r="J478" s="152" t="s">
        <v>650</v>
      </c>
      <c r="L478" s="152" t="s">
        <v>649</v>
      </c>
      <c r="M478" s="152" t="s">
        <v>712</v>
      </c>
      <c r="N478" s="152" t="s">
        <v>637</v>
      </c>
      <c r="O478" s="152" t="s">
        <v>647</v>
      </c>
      <c r="P478" s="152" t="s">
        <v>628</v>
      </c>
      <c r="Q478" s="152" t="s">
        <v>637</v>
      </c>
      <c r="R478" s="152" t="s">
        <v>711</v>
      </c>
      <c r="S478" s="152" t="s">
        <v>637</v>
      </c>
      <c r="T478" s="152" t="s">
        <v>711</v>
      </c>
      <c r="U478" s="152" t="s">
        <v>644</v>
      </c>
      <c r="V478" s="152" t="s">
        <v>199</v>
      </c>
      <c r="W478" s="152" t="s">
        <v>643</v>
      </c>
      <c r="Y478" s="152" t="s">
        <v>637</v>
      </c>
      <c r="Z478" s="152" t="s">
        <v>642</v>
      </c>
      <c r="AA478" s="152" t="s">
        <v>641</v>
      </c>
      <c r="AB478" s="152" t="s">
        <v>640</v>
      </c>
      <c r="AC478" s="152" t="s">
        <v>711</v>
      </c>
      <c r="AD478" s="152" t="s">
        <v>700</v>
      </c>
      <c r="AE478" s="152" t="s">
        <v>637</v>
      </c>
      <c r="AF478" s="152" t="s">
        <v>637</v>
      </c>
      <c r="AG478" s="152" t="s">
        <v>637</v>
      </c>
      <c r="AH478" s="152" t="s">
        <v>664</v>
      </c>
      <c r="AI478" s="152" t="s">
        <v>628</v>
      </c>
      <c r="AJ478" s="152" t="s">
        <v>635</v>
      </c>
      <c r="AK478" s="152" t="s">
        <v>634</v>
      </c>
      <c r="AL478" s="152" t="s">
        <v>637</v>
      </c>
      <c r="AM478" s="152" t="s">
        <v>710</v>
      </c>
      <c r="AO478" s="152" t="s">
        <v>631</v>
      </c>
      <c r="AP478" s="152" t="s">
        <v>628</v>
      </c>
      <c r="AQ478" s="152" t="s">
        <v>671</v>
      </c>
      <c r="AR478" s="152" t="s">
        <v>629</v>
      </c>
      <c r="AS478" s="152" t="s">
        <v>628</v>
      </c>
      <c r="AT478" s="152" t="s">
        <v>702</v>
      </c>
      <c r="AU478" s="152">
        <v>2020</v>
      </c>
      <c r="AV478" s="339">
        <v>5995</v>
      </c>
      <c r="AW478" s="339">
        <v>2012822</v>
      </c>
      <c r="AX478" s="152">
        <v>18</v>
      </c>
      <c r="AY478" s="152">
        <v>0</v>
      </c>
      <c r="AZ478" s="152">
        <v>75</v>
      </c>
      <c r="BA478" s="152">
        <v>1.525214866</v>
      </c>
      <c r="BB478" s="152">
        <v>740</v>
      </c>
      <c r="BC478" s="152">
        <v>90</v>
      </c>
      <c r="BD478" s="152">
        <v>5.6069998999999999</v>
      </c>
    </row>
    <row r="479" spans="1:56" x14ac:dyDescent="0.25">
      <c r="A479" s="152" t="s">
        <v>653</v>
      </c>
      <c r="B479" s="152">
        <v>43.666755999999999</v>
      </c>
      <c r="C479" s="152">
        <v>-97.142979999999994</v>
      </c>
      <c r="D479" s="152">
        <v>47</v>
      </c>
      <c r="E479" s="152" t="s">
        <v>652</v>
      </c>
      <c r="F479" s="152">
        <v>2020</v>
      </c>
      <c r="G479" s="340">
        <v>43833.8125</v>
      </c>
      <c r="H479" s="152" t="s">
        <v>637</v>
      </c>
      <c r="I479" s="152" t="s">
        <v>669</v>
      </c>
      <c r="J479" s="152" t="s">
        <v>694</v>
      </c>
      <c r="L479" s="152" t="s">
        <v>649</v>
      </c>
      <c r="M479" s="152" t="s">
        <v>648</v>
      </c>
      <c r="N479" s="152" t="s">
        <v>637</v>
      </c>
      <c r="O479" s="152" t="s">
        <v>647</v>
      </c>
      <c r="P479" s="152" t="s">
        <v>628</v>
      </c>
      <c r="Q479" s="152" t="s">
        <v>637</v>
      </c>
      <c r="R479" s="152" t="s">
        <v>709</v>
      </c>
      <c r="S479" s="152" t="s">
        <v>637</v>
      </c>
      <c r="T479" s="152" t="s">
        <v>708</v>
      </c>
      <c r="U479" s="152" t="s">
        <v>644</v>
      </c>
      <c r="V479" s="152" t="s">
        <v>199</v>
      </c>
      <c r="W479" s="152" t="s">
        <v>643</v>
      </c>
      <c r="Y479" s="152" t="s">
        <v>637</v>
      </c>
      <c r="Z479" s="152" t="s">
        <v>642</v>
      </c>
      <c r="AA479" s="152" t="s">
        <v>665</v>
      </c>
      <c r="AB479" s="152" t="s">
        <v>640</v>
      </c>
      <c r="AC479" s="152" t="s">
        <v>708</v>
      </c>
      <c r="AD479" s="152" t="s">
        <v>638</v>
      </c>
      <c r="AE479" s="152" t="s">
        <v>637</v>
      </c>
      <c r="AF479" s="152" t="s">
        <v>637</v>
      </c>
      <c r="AG479" s="152" t="s">
        <v>637</v>
      </c>
      <c r="AH479" s="152" t="s">
        <v>636</v>
      </c>
      <c r="AI479" s="152" t="s">
        <v>655</v>
      </c>
      <c r="AJ479" s="152" t="s">
        <v>635</v>
      </c>
      <c r="AK479" s="152" t="s">
        <v>634</v>
      </c>
      <c r="AL479" s="152" t="s">
        <v>637</v>
      </c>
      <c r="AM479" s="152" t="s">
        <v>707</v>
      </c>
      <c r="AO479" s="152" t="s">
        <v>631</v>
      </c>
      <c r="AP479" s="152" t="s">
        <v>628</v>
      </c>
      <c r="AQ479" s="152" t="s">
        <v>630</v>
      </c>
      <c r="AR479" s="152" t="s">
        <v>629</v>
      </c>
      <c r="AS479" s="152" t="s">
        <v>628</v>
      </c>
      <c r="AT479" s="152" t="s">
        <v>695</v>
      </c>
      <c r="AU479" s="152">
        <v>2020</v>
      </c>
      <c r="AV479" s="339">
        <v>5995</v>
      </c>
      <c r="AW479" s="339">
        <v>2000300</v>
      </c>
      <c r="AX479" s="152">
        <v>3</v>
      </c>
      <c r="AY479" s="152">
        <v>0</v>
      </c>
      <c r="AZ479" s="152">
        <v>75</v>
      </c>
      <c r="BA479" s="152">
        <v>1.6276232639999999</v>
      </c>
      <c r="BB479" s="152">
        <v>641</v>
      </c>
      <c r="BC479" s="152">
        <v>90</v>
      </c>
      <c r="BD479" s="152">
        <v>5.6069998999999999</v>
      </c>
    </row>
    <row r="480" spans="1:56" x14ac:dyDescent="0.25">
      <c r="A480" s="152" t="s">
        <v>653</v>
      </c>
      <c r="B480" s="152">
        <v>43.666755999999999</v>
      </c>
      <c r="C480" s="152">
        <v>-97.142911999999995</v>
      </c>
      <c r="D480" s="152">
        <v>47</v>
      </c>
      <c r="E480" s="152" t="s">
        <v>697</v>
      </c>
      <c r="F480" s="152">
        <v>2016</v>
      </c>
      <c r="G480" s="340">
        <v>42643.354166666664</v>
      </c>
      <c r="H480" s="152" t="s">
        <v>637</v>
      </c>
      <c r="I480" s="152" t="s">
        <v>696</v>
      </c>
      <c r="J480" s="152" t="s">
        <v>697</v>
      </c>
      <c r="L480" s="152" t="s">
        <v>649</v>
      </c>
      <c r="M480" s="152" t="s">
        <v>648</v>
      </c>
      <c r="N480" s="152" t="s">
        <v>637</v>
      </c>
      <c r="O480" s="152" t="s">
        <v>647</v>
      </c>
      <c r="P480" s="152" t="s">
        <v>696</v>
      </c>
      <c r="Q480" s="152" t="s">
        <v>637</v>
      </c>
      <c r="R480" s="152" t="s">
        <v>701</v>
      </c>
      <c r="S480" s="152" t="s">
        <v>637</v>
      </c>
      <c r="T480" s="152" t="s">
        <v>701</v>
      </c>
      <c r="U480" s="152" t="s">
        <v>644</v>
      </c>
      <c r="V480" s="152" t="s">
        <v>199</v>
      </c>
      <c r="W480" s="152" t="s">
        <v>643</v>
      </c>
      <c r="Y480" s="152" t="s">
        <v>637</v>
      </c>
      <c r="Z480" s="152" t="s">
        <v>642</v>
      </c>
      <c r="AA480" s="152" t="s">
        <v>641</v>
      </c>
      <c r="AB480" s="152" t="s">
        <v>640</v>
      </c>
      <c r="AC480" s="152" t="s">
        <v>701</v>
      </c>
      <c r="AD480" s="152" t="s">
        <v>706</v>
      </c>
      <c r="AE480" s="152" t="s">
        <v>637</v>
      </c>
      <c r="AF480" s="152" t="s">
        <v>637</v>
      </c>
      <c r="AG480" s="152" t="s">
        <v>637</v>
      </c>
      <c r="AH480" s="152" t="s">
        <v>664</v>
      </c>
      <c r="AI480" s="152" t="s">
        <v>699</v>
      </c>
      <c r="AJ480" s="152" t="s">
        <v>696</v>
      </c>
      <c r="AL480" s="152" t="s">
        <v>637</v>
      </c>
      <c r="AM480" s="152" t="s">
        <v>705</v>
      </c>
      <c r="AO480" s="152" t="s">
        <v>631</v>
      </c>
      <c r="AP480" s="152" t="s">
        <v>697</v>
      </c>
      <c r="AQ480" s="152" t="s">
        <v>630</v>
      </c>
      <c r="AS480" s="152" t="s">
        <v>696</v>
      </c>
      <c r="AT480" s="152" t="s">
        <v>702</v>
      </c>
      <c r="AU480" s="152">
        <v>2016</v>
      </c>
      <c r="AV480" s="339">
        <v>5995</v>
      </c>
      <c r="AW480" s="339">
        <v>1611919</v>
      </c>
      <c r="AX480" s="152">
        <v>30</v>
      </c>
      <c r="AY480" s="152">
        <v>-1</v>
      </c>
      <c r="AZ480" s="152">
        <v>75</v>
      </c>
      <c r="BA480" s="152">
        <v>1.6819871609999999</v>
      </c>
      <c r="BB480" s="152">
        <v>109</v>
      </c>
      <c r="BC480" s="152">
        <v>90</v>
      </c>
      <c r="BD480" s="152">
        <v>5.6069998999999999</v>
      </c>
    </row>
    <row r="481" spans="1:56" x14ac:dyDescent="0.25">
      <c r="A481" s="152" t="s">
        <v>653</v>
      </c>
      <c r="B481" s="152">
        <v>43.666759999999996</v>
      </c>
      <c r="C481" s="152">
        <v>-97.145199000000005</v>
      </c>
      <c r="D481" s="152">
        <v>47</v>
      </c>
      <c r="E481" s="152" t="s">
        <v>697</v>
      </c>
      <c r="F481" s="152">
        <v>2018</v>
      </c>
      <c r="G481" s="340">
        <v>43393.368055555555</v>
      </c>
      <c r="H481" s="152" t="s">
        <v>637</v>
      </c>
      <c r="I481" s="152" t="s">
        <v>696</v>
      </c>
      <c r="J481" s="152" t="s">
        <v>697</v>
      </c>
      <c r="L481" s="152" t="s">
        <v>649</v>
      </c>
      <c r="M481" s="152" t="s">
        <v>693</v>
      </c>
      <c r="N481" s="152" t="s">
        <v>637</v>
      </c>
      <c r="O481" s="152" t="s">
        <v>647</v>
      </c>
      <c r="P481" s="152" t="s">
        <v>696</v>
      </c>
      <c r="Q481" s="152" t="s">
        <v>637</v>
      </c>
      <c r="R481" s="152" t="s">
        <v>701</v>
      </c>
      <c r="S481" s="152" t="s">
        <v>637</v>
      </c>
      <c r="T481" s="152" t="s">
        <v>701</v>
      </c>
      <c r="U481" s="152" t="s">
        <v>644</v>
      </c>
      <c r="V481" s="152" t="s">
        <v>199</v>
      </c>
      <c r="W481" s="152" t="s">
        <v>643</v>
      </c>
      <c r="Y481" s="152" t="s">
        <v>637</v>
      </c>
      <c r="Z481" s="152" t="s">
        <v>642</v>
      </c>
      <c r="AA481" s="152" t="s">
        <v>641</v>
      </c>
      <c r="AB481" s="152" t="s">
        <v>640</v>
      </c>
      <c r="AC481" s="152" t="s">
        <v>701</v>
      </c>
      <c r="AD481" s="152" t="s">
        <v>700</v>
      </c>
      <c r="AE481" s="152" t="s">
        <v>637</v>
      </c>
      <c r="AF481" s="152" t="s">
        <v>637</v>
      </c>
      <c r="AG481" s="152" t="s">
        <v>637</v>
      </c>
      <c r="AH481" s="152" t="s">
        <v>664</v>
      </c>
      <c r="AI481" s="152" t="s">
        <v>699</v>
      </c>
      <c r="AJ481" s="152" t="s">
        <v>696</v>
      </c>
      <c r="AL481" s="152" t="s">
        <v>637</v>
      </c>
      <c r="AM481" s="152" t="s">
        <v>704</v>
      </c>
      <c r="AO481" s="152" t="s">
        <v>631</v>
      </c>
      <c r="AP481" s="152" t="s">
        <v>697</v>
      </c>
      <c r="AQ481" s="152" t="s">
        <v>703</v>
      </c>
      <c r="AS481" s="152" t="s">
        <v>696</v>
      </c>
      <c r="AT481" s="152" t="s">
        <v>702</v>
      </c>
      <c r="AU481" s="152">
        <v>2018</v>
      </c>
      <c r="AV481" s="339">
        <v>5995</v>
      </c>
      <c r="AW481" s="339">
        <v>1813045</v>
      </c>
      <c r="AX481" s="152">
        <v>20</v>
      </c>
      <c r="AY481" s="152">
        <v>-1</v>
      </c>
      <c r="AZ481" s="152">
        <v>75</v>
      </c>
      <c r="BA481" s="152">
        <v>1.6122802759999999</v>
      </c>
      <c r="BB481" s="152">
        <v>455</v>
      </c>
      <c r="BC481" s="152">
        <v>90</v>
      </c>
      <c r="BD481" s="152">
        <v>5.6069998999999999</v>
      </c>
    </row>
    <row r="482" spans="1:56" x14ac:dyDescent="0.25">
      <c r="A482" s="152" t="s">
        <v>653</v>
      </c>
      <c r="B482" s="152">
        <v>43.666789000000001</v>
      </c>
      <c r="C482" s="152">
        <v>-97.131760999999997</v>
      </c>
      <c r="D482" s="152">
        <v>47</v>
      </c>
      <c r="E482" s="152" t="s">
        <v>697</v>
      </c>
      <c r="F482" s="152">
        <v>2017</v>
      </c>
      <c r="G482" s="340">
        <v>43022.765972222223</v>
      </c>
      <c r="H482" s="152" t="s">
        <v>637</v>
      </c>
      <c r="I482" s="152" t="s">
        <v>696</v>
      </c>
      <c r="J482" s="152" t="s">
        <v>697</v>
      </c>
      <c r="L482" s="152" t="s">
        <v>649</v>
      </c>
      <c r="M482" s="152" t="s">
        <v>693</v>
      </c>
      <c r="N482" s="152" t="s">
        <v>637</v>
      </c>
      <c r="O482" s="152" t="s">
        <v>647</v>
      </c>
      <c r="P482" s="152" t="s">
        <v>696</v>
      </c>
      <c r="Q482" s="152" t="s">
        <v>637</v>
      </c>
      <c r="R482" s="152" t="s">
        <v>701</v>
      </c>
      <c r="S482" s="152" t="s">
        <v>637</v>
      </c>
      <c r="T482" s="152" t="s">
        <v>701</v>
      </c>
      <c r="U482" s="152" t="s">
        <v>644</v>
      </c>
      <c r="V482" s="152" t="s">
        <v>199</v>
      </c>
      <c r="W482" s="152" t="s">
        <v>643</v>
      </c>
      <c r="Y482" s="152" t="s">
        <v>637</v>
      </c>
      <c r="Z482" s="152" t="s">
        <v>642</v>
      </c>
      <c r="AA482" s="152" t="s">
        <v>641</v>
      </c>
      <c r="AB482" s="152" t="s">
        <v>640</v>
      </c>
      <c r="AC482" s="152" t="s">
        <v>701</v>
      </c>
      <c r="AD482" s="152" t="s">
        <v>700</v>
      </c>
      <c r="AE482" s="152" t="s">
        <v>637</v>
      </c>
      <c r="AF482" s="152" t="s">
        <v>637</v>
      </c>
      <c r="AG482" s="152" t="s">
        <v>637</v>
      </c>
      <c r="AH482" s="152" t="s">
        <v>664</v>
      </c>
      <c r="AI482" s="152" t="s">
        <v>699</v>
      </c>
      <c r="AJ482" s="152" t="s">
        <v>696</v>
      </c>
      <c r="AL482" s="152" t="s">
        <v>637</v>
      </c>
      <c r="AM482" s="152" t="s">
        <v>698</v>
      </c>
      <c r="AO482" s="152" t="s">
        <v>631</v>
      </c>
      <c r="AP482" s="152" t="s">
        <v>697</v>
      </c>
      <c r="AQ482" s="152" t="s">
        <v>630</v>
      </c>
      <c r="AS482" s="152" t="s">
        <v>696</v>
      </c>
      <c r="AT482" s="152" t="s">
        <v>695</v>
      </c>
      <c r="AU482" s="152">
        <v>2017</v>
      </c>
      <c r="AV482" s="339">
        <v>5995</v>
      </c>
      <c r="AW482" s="339">
        <v>1713135</v>
      </c>
      <c r="AX482" s="152">
        <v>14</v>
      </c>
      <c r="AY482" s="152">
        <v>-1</v>
      </c>
      <c r="AZ482" s="152">
        <v>75</v>
      </c>
      <c r="BA482" s="152">
        <v>2.1975999650000002</v>
      </c>
      <c r="BB482" s="152">
        <v>288</v>
      </c>
      <c r="BC482" s="152">
        <v>90</v>
      </c>
      <c r="BD482" s="152">
        <v>5.6069998999999999</v>
      </c>
    </row>
    <row r="483" spans="1:56" x14ac:dyDescent="0.25">
      <c r="A483" s="152" t="s">
        <v>653</v>
      </c>
      <c r="B483" s="152">
        <v>43.666791000000003</v>
      </c>
      <c r="C483" s="152">
        <v>-97.132065999999995</v>
      </c>
      <c r="D483" s="152">
        <v>47</v>
      </c>
      <c r="E483" s="152" t="s">
        <v>652</v>
      </c>
      <c r="F483" s="152">
        <v>2019</v>
      </c>
      <c r="G483" s="340">
        <v>43533.364583333336</v>
      </c>
      <c r="H483" s="152" t="s">
        <v>637</v>
      </c>
      <c r="I483" s="152" t="s">
        <v>669</v>
      </c>
      <c r="J483" s="152" t="s">
        <v>694</v>
      </c>
      <c r="L483" s="152" t="s">
        <v>649</v>
      </c>
      <c r="M483" s="152" t="s">
        <v>693</v>
      </c>
      <c r="N483" s="152" t="s">
        <v>637</v>
      </c>
      <c r="O483" s="152" t="s">
        <v>647</v>
      </c>
      <c r="P483" s="152" t="s">
        <v>646</v>
      </c>
      <c r="Q483" s="152" t="s">
        <v>637</v>
      </c>
      <c r="R483" s="152" t="s">
        <v>692</v>
      </c>
      <c r="S483" s="152" t="s">
        <v>637</v>
      </c>
      <c r="T483" s="152" t="s">
        <v>687</v>
      </c>
      <c r="U483" s="152" t="s">
        <v>644</v>
      </c>
      <c r="V483" s="152" t="s">
        <v>199</v>
      </c>
      <c r="W483" s="152" t="s">
        <v>643</v>
      </c>
      <c r="Y483" s="152" t="s">
        <v>637</v>
      </c>
      <c r="Z483" s="152" t="s">
        <v>642</v>
      </c>
      <c r="AA483" s="152" t="s">
        <v>641</v>
      </c>
      <c r="AB483" s="152" t="s">
        <v>640</v>
      </c>
      <c r="AC483" s="152" t="s">
        <v>687</v>
      </c>
      <c r="AD483" s="152" t="s">
        <v>691</v>
      </c>
      <c r="AE483" s="152" t="s">
        <v>637</v>
      </c>
      <c r="AF483" s="152" t="s">
        <v>637</v>
      </c>
      <c r="AG483" s="152" t="s">
        <v>637</v>
      </c>
      <c r="AH483" s="152" t="s">
        <v>677</v>
      </c>
      <c r="AI483" s="152" t="s">
        <v>628</v>
      </c>
      <c r="AJ483" s="152" t="s">
        <v>635</v>
      </c>
      <c r="AK483" s="152" t="s">
        <v>634</v>
      </c>
      <c r="AL483" s="152" t="s">
        <v>633</v>
      </c>
      <c r="AM483" s="152" t="s">
        <v>690</v>
      </c>
      <c r="AO483" s="152" t="s">
        <v>631</v>
      </c>
      <c r="AP483" s="152" t="s">
        <v>628</v>
      </c>
      <c r="AQ483" s="152" t="s">
        <v>662</v>
      </c>
      <c r="AR483" s="152" t="s">
        <v>629</v>
      </c>
      <c r="AS483" s="152" t="s">
        <v>628</v>
      </c>
      <c r="AT483" s="152" t="s">
        <v>689</v>
      </c>
      <c r="AU483" s="152">
        <v>2019</v>
      </c>
      <c r="AV483" s="339">
        <v>5995</v>
      </c>
      <c r="AW483" s="339">
        <v>1902814</v>
      </c>
      <c r="AX483" s="152">
        <v>9</v>
      </c>
      <c r="AY483" s="152">
        <v>0</v>
      </c>
      <c r="AZ483" s="152">
        <v>75</v>
      </c>
      <c r="BA483" s="152">
        <v>0.95298614000000004</v>
      </c>
      <c r="BB483" s="152">
        <v>520</v>
      </c>
      <c r="BC483" s="152">
        <v>90</v>
      </c>
      <c r="BD483" s="152">
        <v>5.6069998999999999</v>
      </c>
    </row>
    <row r="484" spans="1:56" x14ac:dyDescent="0.25">
      <c r="A484" s="152" t="s">
        <v>653</v>
      </c>
      <c r="B484" s="152">
        <v>43.666791000000003</v>
      </c>
      <c r="C484" s="152">
        <v>-97.131729000000007</v>
      </c>
      <c r="D484" s="152">
        <v>47</v>
      </c>
      <c r="E484" s="152" t="s">
        <v>652</v>
      </c>
      <c r="F484" s="152">
        <v>2019</v>
      </c>
      <c r="G484" s="340">
        <v>43829.5625</v>
      </c>
      <c r="H484" s="152" t="s">
        <v>637</v>
      </c>
      <c r="I484" s="152" t="s">
        <v>669</v>
      </c>
      <c r="J484" s="152" t="s">
        <v>650</v>
      </c>
      <c r="L484" s="152" t="s">
        <v>649</v>
      </c>
      <c r="M484" s="152" t="s">
        <v>685</v>
      </c>
      <c r="N484" s="152" t="s">
        <v>637</v>
      </c>
      <c r="O484" s="152" t="s">
        <v>647</v>
      </c>
      <c r="P484" s="152" t="s">
        <v>646</v>
      </c>
      <c r="Q484" s="152" t="s">
        <v>637</v>
      </c>
      <c r="R484" s="152" t="s">
        <v>688</v>
      </c>
      <c r="S484" s="152" t="s">
        <v>637</v>
      </c>
      <c r="T484" s="152" t="s">
        <v>687</v>
      </c>
      <c r="U484" s="152" t="s">
        <v>644</v>
      </c>
      <c r="V484" s="152" t="s">
        <v>199</v>
      </c>
      <c r="W484" s="152" t="s">
        <v>643</v>
      </c>
      <c r="Y484" s="152" t="s">
        <v>637</v>
      </c>
      <c r="Z484" s="152" t="s">
        <v>642</v>
      </c>
      <c r="AA484" s="152" t="s">
        <v>641</v>
      </c>
      <c r="AB484" s="152" t="s">
        <v>640</v>
      </c>
      <c r="AC484" s="152" t="s">
        <v>687</v>
      </c>
      <c r="AD484" s="152" t="s">
        <v>681</v>
      </c>
      <c r="AE484" s="152" t="s">
        <v>637</v>
      </c>
      <c r="AF484" s="152" t="s">
        <v>637</v>
      </c>
      <c r="AG484" s="152" t="s">
        <v>637</v>
      </c>
      <c r="AH484" s="152" t="s">
        <v>636</v>
      </c>
      <c r="AI484" s="152" t="s">
        <v>655</v>
      </c>
      <c r="AJ484" s="152" t="s">
        <v>635</v>
      </c>
      <c r="AK484" s="152" t="s">
        <v>634</v>
      </c>
      <c r="AL484" s="152" t="s">
        <v>633</v>
      </c>
      <c r="AM484" s="152" t="s">
        <v>686</v>
      </c>
      <c r="AO484" s="152" t="s">
        <v>631</v>
      </c>
      <c r="AP484" s="152" t="s">
        <v>628</v>
      </c>
      <c r="AQ484" s="152" t="s">
        <v>671</v>
      </c>
      <c r="AR484" s="152" t="s">
        <v>629</v>
      </c>
      <c r="AS484" s="152" t="s">
        <v>628</v>
      </c>
      <c r="AT484" s="152" t="s">
        <v>627</v>
      </c>
      <c r="AU484" s="152">
        <v>2019</v>
      </c>
      <c r="AV484" s="339">
        <v>5995</v>
      </c>
      <c r="AW484" s="339">
        <v>1920294</v>
      </c>
      <c r="AX484" s="152">
        <v>30</v>
      </c>
      <c r="AY484" s="152">
        <v>0</v>
      </c>
      <c r="AZ484" s="152">
        <v>75</v>
      </c>
      <c r="BA484" s="152">
        <v>1.5226808460000001</v>
      </c>
      <c r="BB484" s="152">
        <v>635</v>
      </c>
      <c r="BC484" s="152">
        <v>90</v>
      </c>
      <c r="BD484" s="152">
        <v>5.6069998999999999</v>
      </c>
    </row>
    <row r="485" spans="1:56" x14ac:dyDescent="0.25">
      <c r="A485" s="152" t="s">
        <v>653</v>
      </c>
      <c r="B485" s="152">
        <v>43.666791000000003</v>
      </c>
      <c r="C485" s="152">
        <v>-97.130906999999993</v>
      </c>
      <c r="D485" s="152">
        <v>47</v>
      </c>
      <c r="E485" s="152" t="s">
        <v>652</v>
      </c>
      <c r="F485" s="152">
        <v>2017</v>
      </c>
      <c r="G485" s="340">
        <v>43073.708333333336</v>
      </c>
      <c r="H485" s="152" t="s">
        <v>637</v>
      </c>
      <c r="I485" s="152" t="s">
        <v>669</v>
      </c>
      <c r="J485" s="152" t="s">
        <v>650</v>
      </c>
      <c r="L485" s="152" t="s">
        <v>649</v>
      </c>
      <c r="M485" s="152" t="s">
        <v>685</v>
      </c>
      <c r="N485" s="152" t="s">
        <v>637</v>
      </c>
      <c r="O485" s="152" t="s">
        <v>647</v>
      </c>
      <c r="P485" s="152" t="s">
        <v>684</v>
      </c>
      <c r="Q485" s="152" t="s">
        <v>637</v>
      </c>
      <c r="R485" s="152" t="s">
        <v>683</v>
      </c>
      <c r="S485" s="152" t="s">
        <v>637</v>
      </c>
      <c r="T485" s="152" t="s">
        <v>682</v>
      </c>
      <c r="U485" s="152" t="s">
        <v>644</v>
      </c>
      <c r="V485" s="152" t="s">
        <v>199</v>
      </c>
      <c r="W485" s="152" t="s">
        <v>643</v>
      </c>
      <c r="Y485" s="152" t="s">
        <v>637</v>
      </c>
      <c r="Z485" s="152" t="s">
        <v>642</v>
      </c>
      <c r="AA485" s="152" t="s">
        <v>665</v>
      </c>
      <c r="AB485" s="152" t="s">
        <v>640</v>
      </c>
      <c r="AC485" s="152" t="s">
        <v>682</v>
      </c>
      <c r="AD485" s="152" t="s">
        <v>681</v>
      </c>
      <c r="AE485" s="152" t="s">
        <v>637</v>
      </c>
      <c r="AF485" s="152" t="s">
        <v>637</v>
      </c>
      <c r="AG485" s="152" t="s">
        <v>637</v>
      </c>
      <c r="AH485" s="152" t="s">
        <v>677</v>
      </c>
      <c r="AI485" s="152" t="s">
        <v>655</v>
      </c>
      <c r="AJ485" s="152" t="s">
        <v>680</v>
      </c>
      <c r="AK485" s="152" t="s">
        <v>634</v>
      </c>
      <c r="AL485" s="152" t="s">
        <v>637</v>
      </c>
      <c r="AM485" s="152" t="s">
        <v>679</v>
      </c>
      <c r="AO485" s="152" t="s">
        <v>631</v>
      </c>
      <c r="AP485" s="152" t="s">
        <v>628</v>
      </c>
      <c r="AQ485" s="152" t="s">
        <v>662</v>
      </c>
      <c r="AR485" s="152" t="s">
        <v>629</v>
      </c>
      <c r="AS485" s="152" t="s">
        <v>678</v>
      </c>
      <c r="AT485" s="152" t="s">
        <v>677</v>
      </c>
      <c r="AU485" s="152">
        <v>2017</v>
      </c>
      <c r="AV485" s="339">
        <v>5995</v>
      </c>
      <c r="AW485" s="339">
        <v>1717064</v>
      </c>
      <c r="AX485" s="152">
        <v>4</v>
      </c>
      <c r="AY485" s="152">
        <v>0</v>
      </c>
      <c r="AZ485" s="152">
        <v>75</v>
      </c>
      <c r="BA485" s="152">
        <v>2.9115486499999998</v>
      </c>
      <c r="BB485" s="152">
        <v>310</v>
      </c>
      <c r="BC485" s="152">
        <v>90</v>
      </c>
      <c r="BD485" s="152">
        <v>5.6069998999999999</v>
      </c>
    </row>
    <row r="486" spans="1:56" x14ac:dyDescent="0.25">
      <c r="A486" s="152" t="s">
        <v>653</v>
      </c>
      <c r="B486" s="152">
        <v>43.666795999999998</v>
      </c>
      <c r="C486" s="152">
        <v>-97.130201</v>
      </c>
      <c r="D486" s="152">
        <v>47</v>
      </c>
      <c r="E486" s="152" t="s">
        <v>652</v>
      </c>
      <c r="F486" s="152">
        <v>2019</v>
      </c>
      <c r="G486" s="340">
        <v>43775.003472222219</v>
      </c>
      <c r="H486" s="152" t="s">
        <v>637</v>
      </c>
      <c r="I486" s="152" t="s">
        <v>669</v>
      </c>
      <c r="J486" s="152" t="s">
        <v>650</v>
      </c>
      <c r="L486" s="152" t="s">
        <v>649</v>
      </c>
      <c r="M486" s="152" t="s">
        <v>676</v>
      </c>
      <c r="N486" s="152" t="s">
        <v>637</v>
      </c>
      <c r="O486" s="152" t="s">
        <v>647</v>
      </c>
      <c r="P486" s="152" t="s">
        <v>628</v>
      </c>
      <c r="Q486" s="152" t="s">
        <v>637</v>
      </c>
      <c r="R486" s="152" t="s">
        <v>675</v>
      </c>
      <c r="S486" s="152" t="s">
        <v>637</v>
      </c>
      <c r="T486" s="152" t="s">
        <v>674</v>
      </c>
      <c r="U486" s="152" t="s">
        <v>644</v>
      </c>
      <c r="V486" s="152" t="s">
        <v>199</v>
      </c>
      <c r="W486" s="152" t="s">
        <v>643</v>
      </c>
      <c r="Y486" s="152" t="s">
        <v>637</v>
      </c>
      <c r="Z486" s="152" t="s">
        <v>642</v>
      </c>
      <c r="AA486" s="152" t="s">
        <v>665</v>
      </c>
      <c r="AB486" s="152" t="s">
        <v>640</v>
      </c>
      <c r="AC486" s="152" t="s">
        <v>674</v>
      </c>
      <c r="AD486" s="152" t="s">
        <v>673</v>
      </c>
      <c r="AE486" s="152" t="s">
        <v>637</v>
      </c>
      <c r="AF486" s="152" t="s">
        <v>637</v>
      </c>
      <c r="AG486" s="152" t="s">
        <v>637</v>
      </c>
      <c r="AH486" s="152" t="s">
        <v>636</v>
      </c>
      <c r="AI486" s="152" t="s">
        <v>655</v>
      </c>
      <c r="AJ486" s="152" t="s">
        <v>635</v>
      </c>
      <c r="AK486" s="152" t="s">
        <v>634</v>
      </c>
      <c r="AL486" s="152" t="s">
        <v>637</v>
      </c>
      <c r="AM486" s="152" t="s">
        <v>672</v>
      </c>
      <c r="AO486" s="152" t="s">
        <v>631</v>
      </c>
      <c r="AP486" s="152" t="s">
        <v>628</v>
      </c>
      <c r="AQ486" s="152" t="s">
        <v>671</v>
      </c>
      <c r="AR486" s="152" t="s">
        <v>629</v>
      </c>
      <c r="AS486" s="152" t="s">
        <v>628</v>
      </c>
      <c r="AT486" s="152" t="s">
        <v>670</v>
      </c>
      <c r="AU486" s="152">
        <v>2019</v>
      </c>
      <c r="AV486" s="339">
        <v>5995</v>
      </c>
      <c r="AW486" s="339">
        <v>1916455</v>
      </c>
      <c r="AX486" s="152">
        <v>6</v>
      </c>
      <c r="AY486" s="152">
        <v>0</v>
      </c>
      <c r="AZ486" s="152">
        <v>75</v>
      </c>
      <c r="BA486" s="152">
        <v>1.8741334599999999</v>
      </c>
      <c r="BB486" s="152">
        <v>614</v>
      </c>
      <c r="BC486" s="152">
        <v>90</v>
      </c>
      <c r="BD486" s="152">
        <v>5.6069998999999999</v>
      </c>
    </row>
    <row r="487" spans="1:56" x14ac:dyDescent="0.25">
      <c r="A487" s="152" t="s">
        <v>653</v>
      </c>
      <c r="B487" s="152">
        <v>43.666798</v>
      </c>
      <c r="C487" s="152">
        <v>-97.130110000000002</v>
      </c>
      <c r="D487" s="152">
        <v>47</v>
      </c>
      <c r="E487" s="152" t="s">
        <v>652</v>
      </c>
      <c r="F487" s="152">
        <v>2020</v>
      </c>
      <c r="G487" s="340">
        <v>43860.999305555553</v>
      </c>
      <c r="H487" s="152" t="s">
        <v>637</v>
      </c>
      <c r="I487" s="152" t="s">
        <v>669</v>
      </c>
      <c r="J487" s="152" t="s">
        <v>650</v>
      </c>
      <c r="L487" s="152" t="s">
        <v>649</v>
      </c>
      <c r="M487" s="152" t="s">
        <v>668</v>
      </c>
      <c r="N487" s="152" t="s">
        <v>637</v>
      </c>
      <c r="O487" s="152" t="s">
        <v>647</v>
      </c>
      <c r="P487" s="152" t="s">
        <v>667</v>
      </c>
      <c r="Q487" s="152" t="s">
        <v>633</v>
      </c>
      <c r="R487" s="152" t="s">
        <v>666</v>
      </c>
      <c r="S487" s="152" t="s">
        <v>637</v>
      </c>
      <c r="T487" s="152" t="s">
        <v>639</v>
      </c>
      <c r="U487" s="152" t="s">
        <v>644</v>
      </c>
      <c r="V487" s="152" t="s">
        <v>199</v>
      </c>
      <c r="W487" s="152" t="s">
        <v>643</v>
      </c>
      <c r="Y487" s="152" t="s">
        <v>633</v>
      </c>
      <c r="Z487" s="152" t="s">
        <v>642</v>
      </c>
      <c r="AA487" s="152" t="s">
        <v>665</v>
      </c>
      <c r="AB487" s="152" t="s">
        <v>640</v>
      </c>
      <c r="AC487" s="152" t="s">
        <v>639</v>
      </c>
      <c r="AD487" s="152" t="s">
        <v>638</v>
      </c>
      <c r="AE487" s="152" t="s">
        <v>637</v>
      </c>
      <c r="AF487" s="152" t="s">
        <v>637</v>
      </c>
      <c r="AG487" s="152" t="s">
        <v>637</v>
      </c>
      <c r="AH487" s="152" t="s">
        <v>664</v>
      </c>
      <c r="AI487" s="152" t="s">
        <v>628</v>
      </c>
      <c r="AJ487" s="152" t="s">
        <v>635</v>
      </c>
      <c r="AK487" s="152" t="s">
        <v>634</v>
      </c>
      <c r="AL487" s="152" t="s">
        <v>637</v>
      </c>
      <c r="AM487" s="152" t="s">
        <v>663</v>
      </c>
      <c r="AO487" s="152" t="s">
        <v>631</v>
      </c>
      <c r="AP487" s="152" t="s">
        <v>628</v>
      </c>
      <c r="AQ487" s="152" t="s">
        <v>662</v>
      </c>
      <c r="AR487" s="152" t="s">
        <v>629</v>
      </c>
      <c r="AS487" s="152" t="s">
        <v>628</v>
      </c>
      <c r="AT487" s="152" t="s">
        <v>661</v>
      </c>
      <c r="AU487" s="152">
        <v>2020</v>
      </c>
      <c r="AV487" s="339">
        <v>5995</v>
      </c>
      <c r="AW487" s="339">
        <v>2001967</v>
      </c>
      <c r="AX487" s="152">
        <v>30</v>
      </c>
      <c r="AY487" s="152">
        <v>0</v>
      </c>
      <c r="AZ487" s="152">
        <v>75</v>
      </c>
      <c r="BA487" s="152">
        <v>1.195407184</v>
      </c>
      <c r="BB487" s="152">
        <v>658</v>
      </c>
      <c r="BC487" s="152">
        <v>90</v>
      </c>
      <c r="BD487" s="152">
        <v>5.6069998999999999</v>
      </c>
    </row>
    <row r="488" spans="1:56" x14ac:dyDescent="0.25">
      <c r="A488" s="152" t="s">
        <v>653</v>
      </c>
      <c r="B488" s="152">
        <v>43.666798</v>
      </c>
      <c r="C488" s="152">
        <v>-97.130027999999996</v>
      </c>
      <c r="D488" s="152">
        <v>47</v>
      </c>
      <c r="E488" s="152" t="s">
        <v>652</v>
      </c>
      <c r="F488" s="152">
        <v>2020</v>
      </c>
      <c r="G488" s="340">
        <v>43833.538194444445</v>
      </c>
      <c r="H488" s="152" t="s">
        <v>637</v>
      </c>
      <c r="I488" s="152" t="s">
        <v>651</v>
      </c>
      <c r="J488" s="152" t="s">
        <v>660</v>
      </c>
      <c r="K488" s="152" t="s">
        <v>659</v>
      </c>
      <c r="L488" s="152" t="s">
        <v>649</v>
      </c>
      <c r="M488" s="152" t="s">
        <v>648</v>
      </c>
      <c r="N488" s="152" t="s">
        <v>637</v>
      </c>
      <c r="O488" s="152" t="s">
        <v>647</v>
      </c>
      <c r="P488" s="152" t="s">
        <v>646</v>
      </c>
      <c r="Q488" s="152" t="s">
        <v>637</v>
      </c>
      <c r="R488" s="152" t="s">
        <v>658</v>
      </c>
      <c r="S488" s="152" t="s">
        <v>637</v>
      </c>
      <c r="T488" s="152" t="s">
        <v>656</v>
      </c>
      <c r="U488" s="152" t="s">
        <v>644</v>
      </c>
      <c r="V488" s="152" t="s">
        <v>199</v>
      </c>
      <c r="W488" s="152" t="s">
        <v>643</v>
      </c>
      <c r="Y488" s="152" t="s">
        <v>637</v>
      </c>
      <c r="Z488" s="152" t="s">
        <v>642</v>
      </c>
      <c r="AA488" s="152" t="s">
        <v>641</v>
      </c>
      <c r="AB488" s="152" t="s">
        <v>657</v>
      </c>
      <c r="AC488" s="152" t="s">
        <v>656</v>
      </c>
      <c r="AD488" s="152" t="s">
        <v>638</v>
      </c>
      <c r="AE488" s="152" t="s">
        <v>637</v>
      </c>
      <c r="AF488" s="152" t="s">
        <v>637</v>
      </c>
      <c r="AG488" s="152" t="s">
        <v>637</v>
      </c>
      <c r="AH488" s="152" t="s">
        <v>636</v>
      </c>
      <c r="AI488" s="152" t="s">
        <v>655</v>
      </c>
      <c r="AJ488" s="152" t="s">
        <v>635</v>
      </c>
      <c r="AK488" s="152" t="s">
        <v>634</v>
      </c>
      <c r="AL488" s="152" t="s">
        <v>633</v>
      </c>
      <c r="AM488" s="152" t="s">
        <v>654</v>
      </c>
      <c r="AO488" s="152" t="s">
        <v>631</v>
      </c>
      <c r="AP488" s="152" t="s">
        <v>628</v>
      </c>
      <c r="AQ488" s="152" t="s">
        <v>630</v>
      </c>
      <c r="AR488" s="152" t="s">
        <v>629</v>
      </c>
      <c r="AS488" s="152" t="s">
        <v>628</v>
      </c>
      <c r="AT488" s="152" t="s">
        <v>627</v>
      </c>
      <c r="AU488" s="152">
        <v>2020</v>
      </c>
      <c r="AV488" s="339">
        <v>5995</v>
      </c>
      <c r="AW488" s="339">
        <v>2010188</v>
      </c>
      <c r="AX488" s="152">
        <v>3</v>
      </c>
      <c r="AY488" s="152">
        <v>0</v>
      </c>
      <c r="AZ488" s="152">
        <v>75</v>
      </c>
      <c r="BA488" s="152">
        <v>1.2406431309999999</v>
      </c>
      <c r="BB488" s="152">
        <v>710</v>
      </c>
      <c r="BC488" s="152">
        <v>90</v>
      </c>
      <c r="BD488" s="152">
        <v>5.6069998999999999</v>
      </c>
    </row>
    <row r="489" spans="1:56" x14ac:dyDescent="0.25">
      <c r="A489" s="152" t="s">
        <v>653</v>
      </c>
      <c r="B489" s="152">
        <v>43.666803000000002</v>
      </c>
      <c r="C489" s="152">
        <v>-97.129761999999999</v>
      </c>
      <c r="D489" s="152">
        <v>47</v>
      </c>
      <c r="E489" s="152" t="s">
        <v>652</v>
      </c>
      <c r="F489" s="152">
        <v>2020</v>
      </c>
      <c r="G489" s="340">
        <v>43833.55972222222</v>
      </c>
      <c r="H489" s="152" t="s">
        <v>637</v>
      </c>
      <c r="I489" s="152" t="s">
        <v>651</v>
      </c>
      <c r="J489" s="152" t="s">
        <v>650</v>
      </c>
      <c r="L489" s="152" t="s">
        <v>649</v>
      </c>
      <c r="M489" s="152" t="s">
        <v>648</v>
      </c>
      <c r="N489" s="152" t="s">
        <v>637</v>
      </c>
      <c r="O489" s="152" t="s">
        <v>647</v>
      </c>
      <c r="P489" s="152" t="s">
        <v>646</v>
      </c>
      <c r="Q489" s="152" t="s">
        <v>637</v>
      </c>
      <c r="R489" s="152" t="s">
        <v>645</v>
      </c>
      <c r="S489" s="152" t="s">
        <v>637</v>
      </c>
      <c r="T489" s="152" t="s">
        <v>639</v>
      </c>
      <c r="U489" s="152" t="s">
        <v>644</v>
      </c>
      <c r="V489" s="152" t="s">
        <v>199</v>
      </c>
      <c r="W489" s="152" t="s">
        <v>643</v>
      </c>
      <c r="Y489" s="152" t="s">
        <v>637</v>
      </c>
      <c r="Z489" s="152" t="s">
        <v>642</v>
      </c>
      <c r="AA489" s="152" t="s">
        <v>641</v>
      </c>
      <c r="AB489" s="152" t="s">
        <v>640</v>
      </c>
      <c r="AC489" s="152" t="s">
        <v>639</v>
      </c>
      <c r="AD489" s="152" t="s">
        <v>638</v>
      </c>
      <c r="AE489" s="152" t="s">
        <v>637</v>
      </c>
      <c r="AF489" s="152" t="s">
        <v>637</v>
      </c>
      <c r="AG489" s="152" t="s">
        <v>637</v>
      </c>
      <c r="AH489" s="152" t="s">
        <v>636</v>
      </c>
      <c r="AI489" s="152" t="s">
        <v>628</v>
      </c>
      <c r="AJ489" s="152" t="s">
        <v>635</v>
      </c>
      <c r="AK489" s="152" t="s">
        <v>634</v>
      </c>
      <c r="AL489" s="152" t="s">
        <v>633</v>
      </c>
      <c r="AM489" s="152" t="s">
        <v>632</v>
      </c>
      <c r="AO489" s="152" t="s">
        <v>631</v>
      </c>
      <c r="AP489" s="152" t="s">
        <v>628</v>
      </c>
      <c r="AQ489" s="152" t="s">
        <v>630</v>
      </c>
      <c r="AR489" s="152" t="s">
        <v>629</v>
      </c>
      <c r="AS489" s="152" t="s">
        <v>628</v>
      </c>
      <c r="AT489" s="152" t="s">
        <v>627</v>
      </c>
      <c r="AU489" s="152">
        <v>2020</v>
      </c>
      <c r="AV489" s="339">
        <v>5995</v>
      </c>
      <c r="AW489" s="339">
        <v>2000163</v>
      </c>
      <c r="AX489" s="152">
        <v>3</v>
      </c>
      <c r="AY489" s="152">
        <v>0</v>
      </c>
      <c r="AZ489" s="152">
        <v>75</v>
      </c>
      <c r="BA489" s="152">
        <v>0.34190972400000003</v>
      </c>
      <c r="BB489" s="152">
        <v>639</v>
      </c>
      <c r="BC489" s="152">
        <v>90</v>
      </c>
      <c r="BD489" s="152">
        <v>5.6069998999999999</v>
      </c>
    </row>
  </sheetData>
  <autoFilter ref="A1:A490" xr:uid="{88B6B41B-020C-4ED6-B4AE-2A6AECA2C2B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A61"/>
  <sheetViews>
    <sheetView view="pageBreakPreview" zoomScale="85" zoomScaleNormal="85" zoomScaleSheetLayoutView="85" workbookViewId="0">
      <selection activeCell="H40" sqref="H40"/>
    </sheetView>
  </sheetViews>
  <sheetFormatPr defaultRowHeight="15" x14ac:dyDescent="0.25"/>
  <cols>
    <col min="1" max="1" width="3.5703125" style="19" customWidth="1"/>
    <col min="2" max="6" width="20.7109375" style="19" customWidth="1"/>
    <col min="7" max="7" width="10.7109375" style="19" customWidth="1"/>
    <col min="8" max="8" width="36.42578125" style="19" customWidth="1"/>
    <col min="9" max="9" width="14.42578125" style="19" bestFit="1" customWidth="1"/>
    <col min="10" max="10" width="30.5703125" style="19" bestFit="1" customWidth="1"/>
    <col min="11" max="11" width="31" style="19" bestFit="1" customWidth="1"/>
    <col min="12" max="12" width="30.5703125" style="19" bestFit="1" customWidth="1"/>
    <col min="13" max="14" width="31" style="19" customWidth="1"/>
    <col min="15" max="15" width="9.140625" style="19"/>
    <col min="16" max="16" width="13.140625" style="19" bestFit="1" customWidth="1"/>
    <col min="17" max="16384" width="9.140625" style="19"/>
  </cols>
  <sheetData>
    <row r="1" spans="2:14" x14ac:dyDescent="0.25">
      <c r="B1" s="164">
        <v>1</v>
      </c>
      <c r="C1" s="163">
        <v>2</v>
      </c>
      <c r="D1" s="164">
        <v>3</v>
      </c>
      <c r="E1" s="163">
        <v>4</v>
      </c>
      <c r="F1" s="164">
        <v>5</v>
      </c>
    </row>
    <row r="2" spans="2:14" x14ac:dyDescent="0.25">
      <c r="B2" s="20" t="s">
        <v>26</v>
      </c>
      <c r="C2" s="20"/>
      <c r="D2" s="20"/>
      <c r="E2" s="20"/>
      <c r="F2" s="20"/>
      <c r="G2" s="20"/>
      <c r="H2" s="20"/>
      <c r="I2" s="20"/>
      <c r="J2" s="20"/>
      <c r="K2" s="20"/>
      <c r="L2" s="20"/>
      <c r="M2" s="20"/>
    </row>
    <row r="3" spans="2:14" ht="15.75" thickBot="1" x14ac:dyDescent="0.3">
      <c r="N3" s="136"/>
    </row>
    <row r="4" spans="2:14" ht="35.1" customHeight="1" x14ac:dyDescent="0.25">
      <c r="B4" s="701" t="s">
        <v>0</v>
      </c>
      <c r="C4" s="701" t="s">
        <v>85</v>
      </c>
      <c r="D4" s="701" t="s">
        <v>86</v>
      </c>
      <c r="E4" s="701" t="s">
        <v>87</v>
      </c>
      <c r="F4" s="703" t="s">
        <v>1</v>
      </c>
      <c r="G4" s="700"/>
      <c r="H4" s="28"/>
      <c r="I4" s="63"/>
      <c r="J4" s="63"/>
      <c r="K4" s="63"/>
      <c r="L4" s="63"/>
      <c r="M4" s="63"/>
      <c r="N4" s="63"/>
    </row>
    <row r="5" spans="2:14" ht="35.1" customHeight="1" thickBot="1" x14ac:dyDescent="0.3">
      <c r="B5" s="702"/>
      <c r="C5" s="702"/>
      <c r="D5" s="702"/>
      <c r="E5" s="702"/>
      <c r="F5" s="704"/>
      <c r="G5" s="700"/>
      <c r="H5" s="27" t="s">
        <v>1577</v>
      </c>
      <c r="I5" s="139"/>
      <c r="J5" s="28"/>
      <c r="K5" s="28"/>
      <c r="L5" s="28"/>
      <c r="M5" s="28"/>
      <c r="N5" s="63"/>
    </row>
    <row r="6" spans="2:14" x14ac:dyDescent="0.25">
      <c r="B6" s="79">
        <v>2022</v>
      </c>
      <c r="C6" s="97">
        <f>TREND($J$21:$K$21,$J$10:$K$10,B6)</f>
        <v>4473077.9200764596</v>
      </c>
      <c r="D6" s="140">
        <f>TREND($J$21:$K$21,$J$10:$K$10,B6)*$I$17</f>
        <v>4249424.0240726369</v>
      </c>
      <c r="E6" s="97">
        <f>C6-D6</f>
        <v>223653.8960038228</v>
      </c>
      <c r="F6" s="98">
        <f>E6*(1+0.07)^-(B6-Assumptions!$D$4)</f>
        <v>182568.20046628793</v>
      </c>
      <c r="G6" s="65"/>
      <c r="H6" s="154" t="s">
        <v>76</v>
      </c>
      <c r="I6" s="155" t="s">
        <v>21</v>
      </c>
      <c r="J6" s="155" t="s">
        <v>22</v>
      </c>
      <c r="K6" s="155" t="s">
        <v>23</v>
      </c>
      <c r="L6" s="107" t="s">
        <v>24</v>
      </c>
      <c r="M6" s="107" t="s">
        <v>48</v>
      </c>
      <c r="N6" s="63"/>
    </row>
    <row r="7" spans="2:14" x14ac:dyDescent="0.25">
      <c r="B7" s="80">
        <f>B6+1</f>
        <v>2023</v>
      </c>
      <c r="C7" s="99">
        <f>TREND($J$21:$K$21,$J$10:$K$10,B7)+TREND($J$32:$K$32,$J$10:$K$10,B7)</f>
        <v>19761801.116211534</v>
      </c>
      <c r="D7" s="141">
        <f>TREND($J$21:$K$21,$J$10:$K$10,B7)*$I$17+TREND($J$32:$K$32,$J$10:$K$10,B7)*$I$17</f>
        <v>18773711.060400955</v>
      </c>
      <c r="E7" s="99">
        <f t="shared" ref="E7:E25" si="0">C7-D7</f>
        <v>988090.05581057817</v>
      </c>
      <c r="F7" s="100">
        <f>E7*(1+0.07)^-(B7-Assumptions!$D$4)</f>
        <v>753809.17264966201</v>
      </c>
      <c r="G7" s="65"/>
      <c r="H7" s="173" t="s">
        <v>20</v>
      </c>
      <c r="I7" s="71">
        <v>10900000</v>
      </c>
      <c r="J7" s="71">
        <v>521300</v>
      </c>
      <c r="K7" s="71">
        <v>142000</v>
      </c>
      <c r="L7" s="71">
        <v>72500</v>
      </c>
      <c r="M7" s="71">
        <v>4500</v>
      </c>
      <c r="N7" s="63"/>
    </row>
    <row r="8" spans="2:14" x14ac:dyDescent="0.25">
      <c r="B8" s="80">
        <f t="shared" ref="B8:B25" si="1">B7+1</f>
        <v>2024</v>
      </c>
      <c r="C8" s="99">
        <f>TREND($J$21:$K$21,$J$10:$K$10,B8)+TREND($J$32:$K$32,$J$10:$K$10,B8)+TREND($J$26:$K$26,$J$10:$K$10,B8)</f>
        <v>37552407.180214673</v>
      </c>
      <c r="D8" s="141">
        <f>TREND($J$21:$K$21,$J$10:$K$10,B8)*$I$17+TREND($J$32:$K$32,$J$10:$K$10,B8)*$I$17+TREND($J$26:$K$26,$J$10:$K$10,B8)*$I$17</f>
        <v>35674786.82120394</v>
      </c>
      <c r="E8" s="99">
        <f t="shared" si="0"/>
        <v>1877620.3590107337</v>
      </c>
      <c r="F8" s="100">
        <f>E8*(1+0.07)^-(B8-Assumptions!$D$4)</f>
        <v>1338717.3662918168</v>
      </c>
      <c r="G8" s="65"/>
      <c r="H8" s="64"/>
      <c r="I8" s="139"/>
      <c r="J8" s="28"/>
      <c r="K8" s="28"/>
      <c r="L8" s="28"/>
      <c r="M8" s="28"/>
      <c r="N8" s="63"/>
    </row>
    <row r="9" spans="2:14" x14ac:dyDescent="0.25">
      <c r="B9" s="80">
        <f t="shared" si="1"/>
        <v>2025</v>
      </c>
      <c r="C9" s="99">
        <f>TREND($J$41:$K$41,$M$10:$N$10,B9)+TREND($J$46:$K$46,$M$10:$N$10,B9)+TREND($J$52:$K$52,$M$10:$N$10)</f>
        <v>22415330.352937475</v>
      </c>
      <c r="D9" s="141">
        <f>TREND($J$41:$K$41,$M$10:$N$10,B9)*$I$17+TREND($J$46:$K$46,$M$10:$N$10,B9)*$I$17+TREND($J$52:$K$52,$M$10:$N$10)*$I$17</f>
        <v>21294563.8352906</v>
      </c>
      <c r="E9" s="99">
        <f t="shared" si="0"/>
        <v>1120766.5176468752</v>
      </c>
      <c r="F9" s="100">
        <f>E9*(1+0.07)^-(B9-Assumptions!$D$4)</f>
        <v>746814.05374790751</v>
      </c>
      <c r="G9" s="65"/>
      <c r="H9" s="20" t="s">
        <v>1589</v>
      </c>
      <c r="I9" s="63"/>
      <c r="J9" s="63"/>
      <c r="K9" s="28"/>
      <c r="L9" s="28"/>
      <c r="M9" s="28"/>
      <c r="N9" s="28"/>
    </row>
    <row r="10" spans="2:14" ht="15" customHeight="1" x14ac:dyDescent="0.25">
      <c r="B10" s="80">
        <f t="shared" si="1"/>
        <v>2026</v>
      </c>
      <c r="C10" s="99">
        <f t="shared" ref="C10:C13" si="2">TREND($J$41:$K$41,$M$10:$N$10,B10)+TREND($J$46:$K$46,$M$10:$N$10,B10)+TREND($J$52:$K$52,$M$10:$N$10)</f>
        <v>22734534.147054687</v>
      </c>
      <c r="D10" s="141">
        <f t="shared" ref="D10:D13" si="3">TREND($J$41:$K$41,$M$10:$N$10,B10)*$I$17+TREND($J$46:$K$46,$M$10:$N$10,B10)*$I$17+TREND($J$52:$K$52,$M$10:$N$10)*$I$17</f>
        <v>21597807.439701952</v>
      </c>
      <c r="E10" s="99">
        <f t="shared" si="0"/>
        <v>1136726.7073527351</v>
      </c>
      <c r="F10" s="100">
        <f>E10*(1+0.07)^-(B10-Assumptions!$D$4)</f>
        <v>707896.26359723695</v>
      </c>
      <c r="G10" s="65"/>
      <c r="H10" s="107" t="s">
        <v>1563</v>
      </c>
      <c r="I10" s="107" t="s">
        <v>1571</v>
      </c>
      <c r="J10" s="107">
        <v>2017</v>
      </c>
      <c r="K10" s="107">
        <v>2040</v>
      </c>
      <c r="L10" s="534" t="s">
        <v>1571</v>
      </c>
      <c r="M10" s="534">
        <v>2017</v>
      </c>
      <c r="N10" s="534">
        <v>2040</v>
      </c>
    </row>
    <row r="11" spans="2:14" ht="14.25" customHeight="1" x14ac:dyDescent="0.25">
      <c r="B11" s="80">
        <f t="shared" si="1"/>
        <v>2027</v>
      </c>
      <c r="C11" s="99">
        <f t="shared" si="2"/>
        <v>23053737.941171929</v>
      </c>
      <c r="D11" s="141">
        <f t="shared" si="3"/>
        <v>21901051.044113331</v>
      </c>
      <c r="E11" s="99">
        <f t="shared" si="0"/>
        <v>1152686.8970585987</v>
      </c>
      <c r="F11" s="100">
        <f>E11*(1+0.07)^-(B11-Assumptions!$D$4)</f>
        <v>670874.26880092768</v>
      </c>
      <c r="G11" s="65"/>
      <c r="H11" s="30" t="s">
        <v>653</v>
      </c>
      <c r="I11" s="467">
        <f>'05HQ - Associated Crash Data'!D63</f>
        <v>15.002651515151516</v>
      </c>
      <c r="J11" s="458">
        <f>'05HQ - Associated Crash Data'!B66</f>
        <v>5375.9653003598341</v>
      </c>
      <c r="K11" s="458">
        <f>'05HQ - Associated Crash Data'!B64</f>
        <v>8338.78020648249</v>
      </c>
      <c r="L11" s="624">
        <f>'05HQ - Associated Crash Data'!C73</f>
        <v>11.695075757575758</v>
      </c>
      <c r="M11" s="458">
        <f>'05HQ - Associated Crash Data'!C69</f>
        <v>5324.1998267644367</v>
      </c>
      <c r="N11" s="458">
        <f>'05HQ - Associated Crash Data'!C72</f>
        <v>8301.9517291709144</v>
      </c>
    </row>
    <row r="12" spans="2:14" ht="14.25" customHeight="1" x14ac:dyDescent="0.25">
      <c r="B12" s="80">
        <f t="shared" si="1"/>
        <v>2028</v>
      </c>
      <c r="C12" s="99">
        <f t="shared" si="2"/>
        <v>23372941.735289082</v>
      </c>
      <c r="D12" s="141">
        <f t="shared" si="3"/>
        <v>22204294.648524627</v>
      </c>
      <c r="E12" s="99">
        <f t="shared" si="0"/>
        <v>1168647.0867644548</v>
      </c>
      <c r="F12" s="100">
        <f>E12*(1+0.07)^-(B12-Assumptions!$D$4)</f>
        <v>635666.58366385149</v>
      </c>
      <c r="G12" s="65"/>
      <c r="H12" s="30" t="s">
        <v>1056</v>
      </c>
      <c r="I12" s="467">
        <f>'05T2 - Associated Crash Data'!D64</f>
        <v>13.228984548484849</v>
      </c>
      <c r="J12" s="458">
        <f>'05T2 - Associated Crash Data'!B66</f>
        <v>6395.3837686292591</v>
      </c>
      <c r="K12" s="458">
        <f>'05T3 - Associated Crash Data'!B64</f>
        <v>9087.130398354484</v>
      </c>
      <c r="L12" s="624">
        <f>'05T2 - Associated Crash Data'!C74</f>
        <v>10.6099999</v>
      </c>
      <c r="M12" s="458">
        <f>'05T2 - Associated Crash Data'!C70</f>
        <v>6601.8377055686879</v>
      </c>
      <c r="N12" s="458">
        <f>'05T2 - Associated Crash Data'!C73</f>
        <v>9241.0904984174413</v>
      </c>
    </row>
    <row r="13" spans="2:14" s="136" customFormat="1" x14ac:dyDescent="0.25">
      <c r="B13" s="80">
        <f t="shared" si="1"/>
        <v>2029</v>
      </c>
      <c r="C13" s="99">
        <f t="shared" si="2"/>
        <v>23692145.529406294</v>
      </c>
      <c r="D13" s="141">
        <f t="shared" si="3"/>
        <v>22507538.252935976</v>
      </c>
      <c r="E13" s="99">
        <f t="shared" si="0"/>
        <v>1184607.2764703184</v>
      </c>
      <c r="F13" s="100">
        <f>E13*(1+0.07)^-(B13-Assumptions!$D$4)</f>
        <v>602194.27045132231</v>
      </c>
      <c r="G13" s="65"/>
      <c r="H13" s="30" t="s">
        <v>1207</v>
      </c>
      <c r="I13" s="467">
        <f>I12</f>
        <v>13.228984548484849</v>
      </c>
      <c r="J13" s="458">
        <f>'05T3 - Associated Crash Data'!B66</f>
        <v>6394.9693373528689</v>
      </c>
      <c r="K13" s="458">
        <f>'05T3 - Associated Crash Data'!B64</f>
        <v>9087.130398354484</v>
      </c>
      <c r="L13" s="624">
        <f>L12</f>
        <v>10.6099999</v>
      </c>
      <c r="M13" s="458">
        <f>M12</f>
        <v>6601.8377055686879</v>
      </c>
      <c r="N13" s="458">
        <f>N12</f>
        <v>9241.0904984174413</v>
      </c>
    </row>
    <row r="14" spans="2:14" ht="15" customHeight="1" x14ac:dyDescent="0.25">
      <c r="B14" s="80">
        <f t="shared" si="1"/>
        <v>2030</v>
      </c>
      <c r="C14" s="99">
        <v>0</v>
      </c>
      <c r="D14" s="141">
        <v>0</v>
      </c>
      <c r="E14" s="99">
        <f t="shared" si="0"/>
        <v>0</v>
      </c>
      <c r="F14" s="100">
        <f>E14*(1+0.07)^-(B14-Assumptions!$D$4)</f>
        <v>0</v>
      </c>
      <c r="G14" s="65"/>
    </row>
    <row r="15" spans="2:14" x14ac:dyDescent="0.25">
      <c r="B15" s="80">
        <f t="shared" si="1"/>
        <v>2031</v>
      </c>
      <c r="C15" s="99">
        <v>0</v>
      </c>
      <c r="D15" s="141">
        <v>0</v>
      </c>
      <c r="E15" s="99">
        <f t="shared" si="0"/>
        <v>0</v>
      </c>
      <c r="F15" s="100">
        <f>E15*(1+0.07)^-(B15-Assumptions!$D$4)</f>
        <v>0</v>
      </c>
      <c r="G15" s="65"/>
      <c r="H15" s="20" t="s">
        <v>1570</v>
      </c>
    </row>
    <row r="16" spans="2:14" x14ac:dyDescent="0.25">
      <c r="B16" s="80">
        <f t="shared" si="1"/>
        <v>2032</v>
      </c>
      <c r="C16" s="99">
        <v>0</v>
      </c>
      <c r="D16" s="141">
        <v>0</v>
      </c>
      <c r="E16" s="99">
        <f t="shared" si="0"/>
        <v>0</v>
      </c>
      <c r="F16" s="100">
        <f>E16*(1+0.07)^-(B16-Assumptions!$D$4)</f>
        <v>0</v>
      </c>
      <c r="G16" s="65"/>
      <c r="H16" s="30" t="s">
        <v>1567</v>
      </c>
      <c r="I16" s="30" t="s">
        <v>1568</v>
      </c>
      <c r="N16" s="63"/>
    </row>
    <row r="17" spans="1:21" x14ac:dyDescent="0.25">
      <c r="B17" s="80">
        <f t="shared" si="1"/>
        <v>2033</v>
      </c>
      <c r="C17" s="99">
        <v>0</v>
      </c>
      <c r="D17" s="141">
        <v>0</v>
      </c>
      <c r="E17" s="99">
        <f t="shared" si="0"/>
        <v>0</v>
      </c>
      <c r="F17" s="100">
        <f>E17*(1+0.07)^-(B17-Assumptions!$D$4)</f>
        <v>0</v>
      </c>
      <c r="G17" s="65"/>
      <c r="H17" s="30" t="s">
        <v>1569</v>
      </c>
      <c r="I17" s="50">
        <v>0.95</v>
      </c>
      <c r="N17" s="63"/>
    </row>
    <row r="18" spans="1:21" x14ac:dyDescent="0.25">
      <c r="B18" s="80">
        <f t="shared" si="1"/>
        <v>2034</v>
      </c>
      <c r="C18" s="99">
        <v>0</v>
      </c>
      <c r="D18" s="141">
        <v>0</v>
      </c>
      <c r="E18" s="99">
        <f t="shared" si="0"/>
        <v>0</v>
      </c>
      <c r="F18" s="100">
        <f>E18*(1+0.07)^-(B18-Assumptions!$D$4)</f>
        <v>0</v>
      </c>
      <c r="G18" s="65"/>
      <c r="N18" s="63"/>
    </row>
    <row r="19" spans="1:21" x14ac:dyDescent="0.25">
      <c r="B19" s="80">
        <f t="shared" si="1"/>
        <v>2035</v>
      </c>
      <c r="C19" s="99">
        <v>0</v>
      </c>
      <c r="D19" s="141">
        <v>0</v>
      </c>
      <c r="E19" s="99">
        <f t="shared" si="0"/>
        <v>0</v>
      </c>
      <c r="F19" s="100">
        <f>E19*(1+0.07)^-(B19-Assumptions!$D$4)</f>
        <v>0</v>
      </c>
      <c r="G19" s="65"/>
      <c r="H19" s="20" t="s">
        <v>1674</v>
      </c>
      <c r="N19" s="28"/>
      <c r="Q19" s="428"/>
      <c r="R19" s="428"/>
      <c r="S19" s="428"/>
      <c r="T19" s="428"/>
      <c r="U19" s="428"/>
    </row>
    <row r="20" spans="1:21" x14ac:dyDescent="0.25">
      <c r="B20" s="80">
        <f t="shared" si="1"/>
        <v>2036</v>
      </c>
      <c r="C20" s="99">
        <v>0</v>
      </c>
      <c r="D20" s="141">
        <v>0</v>
      </c>
      <c r="E20" s="99">
        <f t="shared" si="0"/>
        <v>0</v>
      </c>
      <c r="F20" s="100">
        <f>E20*(1+0.07)^-(B20-Assumptions!$D$4)</f>
        <v>0</v>
      </c>
      <c r="G20" s="65"/>
      <c r="H20" s="460" t="s">
        <v>1560</v>
      </c>
      <c r="I20" s="460" t="s">
        <v>1561</v>
      </c>
      <c r="J20" s="460" t="s">
        <v>1578</v>
      </c>
      <c r="K20" s="460" t="s">
        <v>1579</v>
      </c>
      <c r="N20" s="28"/>
      <c r="P20" s="428"/>
      <c r="Q20" s="428"/>
      <c r="R20" s="428"/>
      <c r="S20" s="428"/>
      <c r="T20" s="428"/>
      <c r="U20" s="428"/>
    </row>
    <row r="21" spans="1:21" x14ac:dyDescent="0.25">
      <c r="B21" s="80">
        <f t="shared" si="1"/>
        <v>2037</v>
      </c>
      <c r="C21" s="99">
        <v>0</v>
      </c>
      <c r="D21" s="141">
        <v>0</v>
      </c>
      <c r="E21" s="99">
        <f t="shared" si="0"/>
        <v>0</v>
      </c>
      <c r="F21" s="100">
        <f>E21*(1+0.07)^-(B21-Assumptions!$D$4)</f>
        <v>0</v>
      </c>
      <c r="G21" s="65"/>
      <c r="H21" s="457" t="s">
        <v>653</v>
      </c>
      <c r="I21" s="457">
        <v>116</v>
      </c>
      <c r="J21" s="466">
        <f>SUM(J22:J25)</f>
        <v>3994500</v>
      </c>
      <c r="K21" s="466">
        <f>SUM(K22:K25)</f>
        <v>6195958.4323516358</v>
      </c>
      <c r="N21" s="28"/>
      <c r="P21" s="428"/>
      <c r="Q21" s="428"/>
      <c r="R21" s="428"/>
      <c r="S21" s="428"/>
      <c r="T21" s="428"/>
      <c r="U21" s="428"/>
    </row>
    <row r="22" spans="1:21" x14ac:dyDescent="0.25">
      <c r="B22" s="80">
        <f t="shared" si="1"/>
        <v>2038</v>
      </c>
      <c r="C22" s="99">
        <v>0</v>
      </c>
      <c r="D22" s="141">
        <v>0</v>
      </c>
      <c r="E22" s="99">
        <f t="shared" si="0"/>
        <v>0</v>
      </c>
      <c r="F22" s="100">
        <f>E22*(1+0.07)^-(B22-Assumptions!$D$4)</f>
        <v>0</v>
      </c>
      <c r="G22" s="65"/>
      <c r="H22" s="435" t="s">
        <v>22</v>
      </c>
      <c r="I22" s="435">
        <v>5</v>
      </c>
      <c r="J22" s="464">
        <f>I22*J7</f>
        <v>2606500</v>
      </c>
      <c r="K22" s="464">
        <f>$K$11/$J$11*J22</f>
        <v>4043000.5392225655</v>
      </c>
      <c r="N22" s="28"/>
      <c r="P22" s="428"/>
      <c r="Q22" s="428"/>
      <c r="R22" s="428"/>
      <c r="S22" s="428"/>
      <c r="T22" s="428"/>
      <c r="U22" s="428"/>
    </row>
    <row r="23" spans="1:21" ht="14.25" customHeight="1" x14ac:dyDescent="0.25">
      <c r="B23" s="80">
        <f t="shared" si="1"/>
        <v>2039</v>
      </c>
      <c r="C23" s="99">
        <v>0</v>
      </c>
      <c r="D23" s="141">
        <v>0</v>
      </c>
      <c r="E23" s="99">
        <f t="shared" si="0"/>
        <v>0</v>
      </c>
      <c r="F23" s="100">
        <f>E23*(1+0.07)^-(B23-Assumptions!$D$4)</f>
        <v>0</v>
      </c>
      <c r="G23" s="65"/>
      <c r="H23" s="435" t="s">
        <v>23</v>
      </c>
      <c r="I23" s="435">
        <v>3</v>
      </c>
      <c r="J23" s="464">
        <f>I23*K7</f>
        <v>426000</v>
      </c>
      <c r="K23" s="464">
        <f>$K$11/$J$11*J23</f>
        <v>660778.14299206331</v>
      </c>
      <c r="N23" s="28"/>
      <c r="P23" s="428"/>
      <c r="Q23" s="428"/>
      <c r="R23" s="428"/>
      <c r="S23" s="428"/>
      <c r="T23" s="428"/>
      <c r="U23" s="428"/>
    </row>
    <row r="24" spans="1:21" x14ac:dyDescent="0.25">
      <c r="B24" s="80">
        <f t="shared" si="1"/>
        <v>2040</v>
      </c>
      <c r="C24" s="99">
        <v>0</v>
      </c>
      <c r="D24" s="141">
        <v>0</v>
      </c>
      <c r="E24" s="99">
        <f t="shared" si="0"/>
        <v>0</v>
      </c>
      <c r="F24" s="100">
        <f>E24*(1+0.07)^-(B24-Assumptions!$D$4)</f>
        <v>0</v>
      </c>
      <c r="G24" s="65"/>
      <c r="H24" s="435" t="s">
        <v>24</v>
      </c>
      <c r="I24" s="435">
        <v>7</v>
      </c>
      <c r="J24" s="464">
        <f>I24*L7</f>
        <v>507500</v>
      </c>
      <c r="K24" s="464">
        <f>$K$11/$J$11*J24</f>
        <v>787194.61870533368</v>
      </c>
      <c r="N24" s="28"/>
      <c r="P24" s="428"/>
      <c r="Q24" s="428"/>
      <c r="R24" s="428"/>
      <c r="S24" s="428"/>
      <c r="T24" s="428"/>
      <c r="U24" s="428"/>
    </row>
    <row r="25" spans="1:21" ht="15" customHeight="1" thickBot="1" x14ac:dyDescent="0.3">
      <c r="B25" s="81">
        <f t="shared" si="1"/>
        <v>2041</v>
      </c>
      <c r="C25" s="101">
        <v>0</v>
      </c>
      <c r="D25" s="142">
        <v>0</v>
      </c>
      <c r="E25" s="101">
        <f t="shared" si="0"/>
        <v>0</v>
      </c>
      <c r="F25" s="102">
        <f>E25*(1+0.07)^-(B25-Assumptions!$D$4)</f>
        <v>0</v>
      </c>
      <c r="G25" s="65"/>
      <c r="H25" s="435" t="s">
        <v>1562</v>
      </c>
      <c r="I25" s="435">
        <v>101</v>
      </c>
      <c r="J25" s="464">
        <f>I25*M7</f>
        <v>454500</v>
      </c>
      <c r="K25" s="464">
        <f>$K$11/$J$11*J25</f>
        <v>704985.13143167319</v>
      </c>
      <c r="P25" s="428"/>
      <c r="Q25" s="428"/>
      <c r="R25" s="428"/>
      <c r="S25" s="428"/>
      <c r="T25" s="428"/>
      <c r="U25" s="428"/>
    </row>
    <row r="26" spans="1:21" ht="15.75" thickBot="1" x14ac:dyDescent="0.3">
      <c r="B26" s="21"/>
      <c r="C26" s="21"/>
      <c r="D26" s="21"/>
      <c r="E26" s="95" t="s">
        <v>2</v>
      </c>
      <c r="F26" s="570">
        <f>SUM(F6:F25)</f>
        <v>5638540.1796690114</v>
      </c>
      <c r="G26" s="65"/>
      <c r="H26" s="457" t="s">
        <v>1056</v>
      </c>
      <c r="I26" s="457">
        <v>137</v>
      </c>
      <c r="J26" s="466">
        <f>SUM(J27:J31)</f>
        <v>15463500</v>
      </c>
      <c r="K26" s="466">
        <f>SUM(K27:K31)</f>
        <v>21971916.932370793</v>
      </c>
      <c r="P26" s="428"/>
      <c r="Q26" s="428"/>
      <c r="R26" s="428"/>
      <c r="S26" s="428"/>
      <c r="T26" s="428"/>
      <c r="U26" s="428"/>
    </row>
    <row r="27" spans="1:21" x14ac:dyDescent="0.25">
      <c r="B27" s="20" t="s">
        <v>3</v>
      </c>
      <c r="C27" s="21"/>
      <c r="D27" s="21"/>
      <c r="E27" s="95"/>
      <c r="F27" s="137"/>
      <c r="G27" s="65"/>
      <c r="H27" s="435" t="s">
        <v>21</v>
      </c>
      <c r="I27" s="435">
        <v>1</v>
      </c>
      <c r="J27" s="464">
        <f>I27*I7</f>
        <v>10900000</v>
      </c>
      <c r="K27" s="464">
        <f>$K$12/$J$12*J27</f>
        <v>15487690.016027527</v>
      </c>
      <c r="P27" s="428"/>
      <c r="Q27" s="428"/>
      <c r="R27" s="428"/>
      <c r="S27" s="428"/>
      <c r="T27" s="428"/>
      <c r="U27" s="428"/>
    </row>
    <row r="28" spans="1:21" x14ac:dyDescent="0.25">
      <c r="A28" s="88" t="s">
        <v>13</v>
      </c>
      <c r="B28" s="699" t="s">
        <v>1679</v>
      </c>
      <c r="C28" s="699"/>
      <c r="D28" s="699"/>
      <c r="E28" s="699"/>
      <c r="F28" s="699"/>
      <c r="H28" s="435" t="s">
        <v>22</v>
      </c>
      <c r="I28" s="435">
        <v>5</v>
      </c>
      <c r="J28" s="464">
        <f>I28*J7</f>
        <v>2606500</v>
      </c>
      <c r="K28" s="464">
        <f>$K$12/$J$12*J28</f>
        <v>3703547.1584197935</v>
      </c>
      <c r="P28" s="428"/>
      <c r="Q28" s="428"/>
      <c r="R28" s="428"/>
      <c r="S28" s="428"/>
      <c r="T28" s="428"/>
      <c r="U28" s="428"/>
    </row>
    <row r="29" spans="1:21" ht="15" customHeight="1" x14ac:dyDescent="0.25">
      <c r="B29" s="699"/>
      <c r="C29" s="699"/>
      <c r="D29" s="699"/>
      <c r="E29" s="699"/>
      <c r="F29" s="699"/>
      <c r="H29" s="435" t="s">
        <v>23</v>
      </c>
      <c r="I29" s="435">
        <v>5</v>
      </c>
      <c r="J29" s="464">
        <f>I29*K7</f>
        <v>710000</v>
      </c>
      <c r="K29" s="464">
        <f>$K$12/$J$12*J29</f>
        <v>1008831.1845302334</v>
      </c>
      <c r="P29" s="428"/>
      <c r="Q29" s="428"/>
      <c r="R29" s="428"/>
      <c r="S29" s="428"/>
      <c r="T29" s="428"/>
      <c r="U29" s="428"/>
    </row>
    <row r="30" spans="1:21" x14ac:dyDescent="0.25">
      <c r="B30" s="699"/>
      <c r="C30" s="699"/>
      <c r="D30" s="699"/>
      <c r="E30" s="699"/>
      <c r="F30" s="699"/>
      <c r="H30" s="435" t="s">
        <v>24</v>
      </c>
      <c r="I30" s="435">
        <v>10</v>
      </c>
      <c r="J30" s="464">
        <f>I30*L7</f>
        <v>725000</v>
      </c>
      <c r="K30" s="464">
        <f>$K$12/$J$12*J30</f>
        <v>1030144.519414675</v>
      </c>
      <c r="P30" s="428"/>
      <c r="Q30" s="428"/>
      <c r="R30" s="428"/>
      <c r="S30" s="428"/>
      <c r="T30" s="428"/>
      <c r="U30" s="428"/>
    </row>
    <row r="31" spans="1:21" ht="15" customHeight="1" x14ac:dyDescent="0.25">
      <c r="B31" s="699"/>
      <c r="C31" s="699"/>
      <c r="D31" s="699"/>
      <c r="E31" s="699"/>
      <c r="F31" s="699"/>
      <c r="H31" s="435" t="s">
        <v>1562</v>
      </c>
      <c r="I31" s="435">
        <v>116</v>
      </c>
      <c r="J31" s="464">
        <f>I31*M7</f>
        <v>522000</v>
      </c>
      <c r="K31" s="464">
        <f>$K$12/$J$12*J31</f>
        <v>741704.05397856596</v>
      </c>
      <c r="Q31" s="428"/>
      <c r="R31" s="428"/>
      <c r="S31" s="428"/>
      <c r="T31" s="428"/>
      <c r="U31" s="428"/>
    </row>
    <row r="32" spans="1:21" ht="15" customHeight="1" x14ac:dyDescent="0.25">
      <c r="B32" s="699"/>
      <c r="C32" s="699"/>
      <c r="D32" s="699"/>
      <c r="E32" s="699"/>
      <c r="F32" s="699"/>
      <c r="G32" s="20"/>
      <c r="H32" s="457" t="s">
        <v>1207</v>
      </c>
      <c r="I32" s="457">
        <v>133</v>
      </c>
      <c r="J32" s="466">
        <f>SUM(J33:J37)</f>
        <v>13689600</v>
      </c>
      <c r="K32" s="466">
        <f>SUM(K33:K37)</f>
        <v>19452662.51312587</v>
      </c>
    </row>
    <row r="33" spans="1:27" ht="15" customHeight="1" x14ac:dyDescent="0.25">
      <c r="B33" s="20"/>
      <c r="C33" s="20"/>
      <c r="D33" s="20"/>
      <c r="E33" s="20"/>
      <c r="F33" s="20"/>
      <c r="G33" s="110"/>
      <c r="H33" s="435" t="s">
        <v>21</v>
      </c>
      <c r="I33" s="435">
        <v>1</v>
      </c>
      <c r="J33" s="464">
        <f>I33*I7</f>
        <v>10900000</v>
      </c>
      <c r="K33" s="464">
        <f>$K$13/$J$13*J33</f>
        <v>15488693.708586955</v>
      </c>
    </row>
    <row r="34" spans="1:27" ht="15" customHeight="1" x14ac:dyDescent="0.25">
      <c r="A34" s="88" t="s">
        <v>12</v>
      </c>
      <c r="B34" s="671" t="s">
        <v>1591</v>
      </c>
      <c r="C34" s="671"/>
      <c r="D34" s="671"/>
      <c r="E34" s="671"/>
      <c r="F34" s="671"/>
      <c r="G34" s="110"/>
      <c r="H34" s="435" t="s">
        <v>22</v>
      </c>
      <c r="I34" s="435">
        <v>2</v>
      </c>
      <c r="J34" s="464">
        <f>I34*J7</f>
        <v>1042600</v>
      </c>
      <c r="K34" s="464">
        <f>$K$13/$J$13*J34</f>
        <v>1481514.867942455</v>
      </c>
    </row>
    <row r="35" spans="1:27" x14ac:dyDescent="0.25">
      <c r="B35" s="671"/>
      <c r="C35" s="671"/>
      <c r="D35" s="671"/>
      <c r="E35" s="671"/>
      <c r="F35" s="671"/>
      <c r="G35" s="110"/>
      <c r="H35" s="435" t="s">
        <v>23</v>
      </c>
      <c r="I35" s="435">
        <v>4</v>
      </c>
      <c r="J35" s="464">
        <f>I35*K7</f>
        <v>568000</v>
      </c>
      <c r="K35" s="464">
        <f>$K$13/$J$13*J35</f>
        <v>807117.25013554038</v>
      </c>
    </row>
    <row r="36" spans="1:27" ht="17.25" customHeight="1" x14ac:dyDescent="0.25">
      <c r="B36" s="671"/>
      <c r="C36" s="671"/>
      <c r="D36" s="671"/>
      <c r="E36" s="671"/>
      <c r="F36" s="671"/>
      <c r="G36" s="110"/>
      <c r="H36" s="435" t="s">
        <v>24</v>
      </c>
      <c r="I36" s="435">
        <v>9</v>
      </c>
      <c r="J36" s="464">
        <f>I36*L7</f>
        <v>652500</v>
      </c>
      <c r="K36" s="464">
        <f>$K$13/$J$13*J36</f>
        <v>927190.15090394393</v>
      </c>
    </row>
    <row r="37" spans="1:27" ht="14.25" customHeight="1" x14ac:dyDescent="0.25">
      <c r="A37" s="88"/>
      <c r="B37" s="671"/>
      <c r="C37" s="671"/>
      <c r="D37" s="671"/>
      <c r="E37" s="671"/>
      <c r="F37" s="671"/>
      <c r="G37" s="110"/>
      <c r="H37" s="435" t="s">
        <v>1562</v>
      </c>
      <c r="I37" s="435">
        <v>117</v>
      </c>
      <c r="J37" s="464">
        <f>I37*M7</f>
        <v>526500</v>
      </c>
      <c r="K37" s="464">
        <f>$K$13/$J$13*J37</f>
        <v>748146.5355569754</v>
      </c>
    </row>
    <row r="38" spans="1:27" ht="15" customHeight="1" x14ac:dyDescent="0.25">
      <c r="B38" s="671"/>
      <c r="C38" s="671"/>
      <c r="D38" s="671"/>
      <c r="E38" s="671"/>
      <c r="F38" s="671"/>
      <c r="G38" s="110"/>
    </row>
    <row r="39" spans="1:27" ht="15" customHeight="1" x14ac:dyDescent="0.25">
      <c r="B39" s="110"/>
      <c r="C39" s="110"/>
      <c r="D39" s="110"/>
      <c r="E39" s="110"/>
      <c r="F39" s="110"/>
      <c r="H39" s="20" t="s">
        <v>1680</v>
      </c>
      <c r="R39" s="428"/>
      <c r="S39" s="428"/>
      <c r="T39" s="428"/>
      <c r="U39" s="428"/>
      <c r="V39" s="428"/>
      <c r="W39" s="428"/>
      <c r="X39" s="428"/>
      <c r="Y39" s="428"/>
      <c r="Z39" s="428"/>
      <c r="AA39" s="428"/>
    </row>
    <row r="40" spans="1:27" x14ac:dyDescent="0.25">
      <c r="A40" s="88" t="s">
        <v>14</v>
      </c>
      <c r="B40" s="699" t="s">
        <v>1677</v>
      </c>
      <c r="C40" s="699"/>
      <c r="D40" s="699"/>
      <c r="E40" s="699"/>
      <c r="F40" s="699"/>
      <c r="G40" s="110"/>
      <c r="H40" s="460" t="s">
        <v>1560</v>
      </c>
      <c r="I40" s="460" t="s">
        <v>1561</v>
      </c>
      <c r="J40" s="460" t="s">
        <v>1578</v>
      </c>
      <c r="K40" s="460" t="s">
        <v>1579</v>
      </c>
      <c r="R40" s="428"/>
      <c r="S40" s="428"/>
      <c r="T40" s="428"/>
      <c r="U40" s="428"/>
      <c r="V40" s="428"/>
      <c r="W40" s="428"/>
      <c r="X40" s="428"/>
      <c r="Y40" s="428"/>
      <c r="Z40" s="428"/>
      <c r="AA40" s="428"/>
    </row>
    <row r="41" spans="1:27" x14ac:dyDescent="0.25">
      <c r="B41" s="699"/>
      <c r="C41" s="699"/>
      <c r="D41" s="699"/>
      <c r="E41" s="699"/>
      <c r="F41" s="699"/>
      <c r="G41" s="110"/>
      <c r="H41" s="457" t="s">
        <v>653</v>
      </c>
      <c r="I41" s="457">
        <f>SUM(I42:I45)</f>
        <v>82</v>
      </c>
      <c r="J41" s="466">
        <f>SUM(J42:J45)</f>
        <v>3256700</v>
      </c>
      <c r="K41" s="466">
        <f>SUM(K42:K45)</f>
        <v>5078127.6203191495</v>
      </c>
      <c r="R41" s="428"/>
      <c r="S41" s="428"/>
      <c r="T41" s="428"/>
      <c r="U41" s="428"/>
      <c r="V41" s="428"/>
      <c r="W41" s="428"/>
      <c r="X41" s="428"/>
      <c r="Y41" s="428"/>
      <c r="Z41" s="428"/>
      <c r="AA41" s="428"/>
    </row>
    <row r="42" spans="1:27" ht="15" customHeight="1" x14ac:dyDescent="0.25">
      <c r="B42" s="699"/>
      <c r="C42" s="699"/>
      <c r="D42" s="699"/>
      <c r="E42" s="699"/>
      <c r="F42" s="699"/>
      <c r="G42" s="110"/>
      <c r="H42" s="535" t="s">
        <v>22</v>
      </c>
      <c r="I42" s="535">
        <v>4</v>
      </c>
      <c r="J42" s="464">
        <f>I42*$J$7</f>
        <v>2085200</v>
      </c>
      <c r="K42" s="464">
        <f>$N$11/$M$11*J42</f>
        <v>3251423.7460894436</v>
      </c>
      <c r="N42" s="136"/>
      <c r="R42" s="428"/>
      <c r="S42" s="428"/>
      <c r="T42" s="428"/>
      <c r="U42" s="428"/>
      <c r="V42" s="428"/>
      <c r="W42" s="428"/>
      <c r="X42" s="428"/>
      <c r="Y42" s="428"/>
      <c r="Z42" s="428"/>
      <c r="AA42" s="428"/>
    </row>
    <row r="43" spans="1:27" ht="15" customHeight="1" x14ac:dyDescent="0.25">
      <c r="A43" s="88"/>
      <c r="B43" s="699"/>
      <c r="C43" s="699"/>
      <c r="D43" s="699"/>
      <c r="E43" s="699"/>
      <c r="F43" s="699"/>
      <c r="G43" s="110"/>
      <c r="H43" s="535" t="s">
        <v>23</v>
      </c>
      <c r="I43" s="535">
        <v>3</v>
      </c>
      <c r="J43" s="464">
        <f>I43*$K$7</f>
        <v>426000</v>
      </c>
      <c r="K43" s="464">
        <f t="shared" ref="K43:K45" si="4">$N$11/$M$11*J43</f>
        <v>664255.95426534768</v>
      </c>
      <c r="N43" s="136"/>
      <c r="R43" s="428"/>
      <c r="S43" s="428"/>
      <c r="T43" s="428"/>
      <c r="U43" s="428"/>
      <c r="V43" s="428"/>
      <c r="W43" s="428"/>
      <c r="X43" s="428"/>
      <c r="Y43" s="428"/>
      <c r="Z43" s="428"/>
      <c r="AA43" s="428"/>
    </row>
    <row r="44" spans="1:27" ht="15" customHeight="1" x14ac:dyDescent="0.25">
      <c r="B44" s="699"/>
      <c r="C44" s="699"/>
      <c r="D44" s="699"/>
      <c r="E44" s="699"/>
      <c r="F44" s="699"/>
      <c r="H44" s="535" t="s">
        <v>24</v>
      </c>
      <c r="I44" s="535">
        <v>6</v>
      </c>
      <c r="J44" s="464">
        <f>I44*$L$7</f>
        <v>435000</v>
      </c>
      <c r="K44" s="464">
        <f t="shared" si="4"/>
        <v>678289.53076391132</v>
      </c>
      <c r="N44" s="136"/>
      <c r="R44" s="428"/>
      <c r="S44" s="428"/>
      <c r="T44" s="428"/>
      <c r="U44" s="428"/>
      <c r="V44" s="428"/>
      <c r="W44" s="428"/>
      <c r="X44" s="428"/>
      <c r="Y44" s="428"/>
      <c r="Z44" s="428"/>
      <c r="AA44" s="428"/>
    </row>
    <row r="45" spans="1:27" x14ac:dyDescent="0.25">
      <c r="B45" s="110"/>
      <c r="C45" s="110"/>
      <c r="D45" s="110"/>
      <c r="E45" s="110"/>
      <c r="F45" s="110"/>
      <c r="G45" s="110"/>
      <c r="H45" s="535" t="s">
        <v>1562</v>
      </c>
      <c r="I45" s="535">
        <v>69</v>
      </c>
      <c r="J45" s="464">
        <f>I45*$M$7</f>
        <v>310500</v>
      </c>
      <c r="K45" s="464">
        <f t="shared" si="4"/>
        <v>484158.38920044707</v>
      </c>
      <c r="R45" s="428"/>
      <c r="S45" s="428"/>
      <c r="T45" s="428"/>
      <c r="U45" s="428"/>
      <c r="V45" s="428"/>
      <c r="W45" s="428"/>
      <c r="X45" s="428"/>
      <c r="Y45" s="428"/>
      <c r="Z45" s="428"/>
      <c r="AA45" s="428"/>
    </row>
    <row r="46" spans="1:27" ht="15" customHeight="1" x14ac:dyDescent="0.25">
      <c r="A46" s="88" t="s">
        <v>15</v>
      </c>
      <c r="B46" s="698" t="s">
        <v>1681</v>
      </c>
      <c r="C46" s="698"/>
      <c r="D46" s="698"/>
      <c r="E46" s="698"/>
      <c r="F46" s="698"/>
      <c r="G46" s="20"/>
      <c r="H46" s="457" t="s">
        <v>1056</v>
      </c>
      <c r="I46" s="457">
        <f>SUM(I47:I51)</f>
        <v>105</v>
      </c>
      <c r="J46" s="466">
        <f>SUM(J47:J51)</f>
        <v>13808400</v>
      </c>
      <c r="K46" s="466">
        <f>SUM(K47:K51)</f>
        <v>19328659.644376311</v>
      </c>
      <c r="R46" s="428"/>
      <c r="S46" s="428"/>
      <c r="T46" s="428"/>
      <c r="U46" s="428"/>
      <c r="V46" s="428"/>
      <c r="W46" s="428"/>
      <c r="X46" s="428"/>
      <c r="Y46" s="428"/>
      <c r="Z46" s="428"/>
      <c r="AA46" s="428"/>
    </row>
    <row r="47" spans="1:27" x14ac:dyDescent="0.25">
      <c r="A47" s="88"/>
      <c r="B47" s="698"/>
      <c r="C47" s="698"/>
      <c r="D47" s="698"/>
      <c r="E47" s="698"/>
      <c r="F47" s="698"/>
      <c r="H47" s="535" t="s">
        <v>21</v>
      </c>
      <c r="I47" s="535">
        <v>1</v>
      </c>
      <c r="J47" s="464">
        <f>I47*I7</f>
        <v>10900000</v>
      </c>
      <c r="K47" s="464">
        <f>$N$12/$M$12*J47</f>
        <v>15257552.658070579</v>
      </c>
      <c r="R47" s="428"/>
      <c r="S47" s="428"/>
      <c r="T47" s="428"/>
      <c r="U47" s="428"/>
      <c r="V47" s="428"/>
      <c r="W47" s="428"/>
      <c r="X47" s="428"/>
      <c r="Y47" s="428"/>
      <c r="Z47" s="428"/>
      <c r="AA47" s="428"/>
    </row>
    <row r="48" spans="1:27" x14ac:dyDescent="0.25">
      <c r="B48" s="698"/>
      <c r="C48" s="698"/>
      <c r="D48" s="698"/>
      <c r="E48" s="698"/>
      <c r="F48" s="698"/>
      <c r="H48" s="535" t="s">
        <v>22</v>
      </c>
      <c r="I48" s="535">
        <v>3</v>
      </c>
      <c r="J48" s="464">
        <f>I48*$J$7</f>
        <v>1563900</v>
      </c>
      <c r="K48" s="464">
        <f t="shared" ref="K48:K51" si="5">$N$12/$M$12*J48</f>
        <v>2189108.8625648236</v>
      </c>
      <c r="R48" s="428"/>
      <c r="S48" s="428"/>
      <c r="T48" s="428"/>
      <c r="U48" s="428"/>
      <c r="V48" s="428"/>
      <c r="W48" s="428"/>
      <c r="X48" s="428"/>
      <c r="Y48" s="428"/>
      <c r="Z48" s="428"/>
      <c r="AA48" s="428"/>
    </row>
    <row r="49" spans="1:27" x14ac:dyDescent="0.25">
      <c r="B49" s="698"/>
      <c r="C49" s="698"/>
      <c r="D49" s="698"/>
      <c r="E49" s="698"/>
      <c r="F49" s="698"/>
      <c r="H49" s="535" t="s">
        <v>23</v>
      </c>
      <c r="I49" s="535">
        <v>4</v>
      </c>
      <c r="J49" s="464">
        <f>I49*$K$7</f>
        <v>568000</v>
      </c>
      <c r="K49" s="464">
        <f t="shared" si="5"/>
        <v>795072.46878753114</v>
      </c>
      <c r="R49" s="428"/>
      <c r="S49" s="428"/>
      <c r="T49" s="428"/>
      <c r="U49" s="428"/>
      <c r="V49" s="428"/>
      <c r="W49" s="428"/>
      <c r="X49" s="428"/>
      <c r="Y49" s="428"/>
      <c r="Z49" s="428"/>
      <c r="AA49" s="428"/>
    </row>
    <row r="50" spans="1:27" x14ac:dyDescent="0.25">
      <c r="A50" s="88"/>
      <c r="B50" s="698"/>
      <c r="C50" s="698"/>
      <c r="D50" s="698"/>
      <c r="E50" s="698"/>
      <c r="F50" s="698"/>
      <c r="H50" s="535" t="s">
        <v>24</v>
      </c>
      <c r="I50" s="535">
        <v>5</v>
      </c>
      <c r="J50" s="464">
        <f>I50*$L$7</f>
        <v>362500</v>
      </c>
      <c r="K50" s="464">
        <f t="shared" si="5"/>
        <v>507418.60904133809</v>
      </c>
      <c r="R50" s="428"/>
      <c r="S50" s="428"/>
      <c r="T50" s="428"/>
      <c r="U50" s="428"/>
      <c r="V50" s="428"/>
      <c r="W50" s="428"/>
      <c r="X50" s="428"/>
      <c r="Y50" s="428"/>
      <c r="Z50" s="428"/>
      <c r="AA50" s="428"/>
    </row>
    <row r="51" spans="1:27" x14ac:dyDescent="0.25">
      <c r="B51" s="20"/>
      <c r="C51" s="20"/>
      <c r="D51" s="20"/>
      <c r="E51" s="20"/>
      <c r="F51" s="20"/>
      <c r="H51" s="535" t="s">
        <v>1562</v>
      </c>
      <c r="I51" s="535">
        <v>92</v>
      </c>
      <c r="J51" s="464">
        <f>I51*$M$7</f>
        <v>414000</v>
      </c>
      <c r="K51" s="464">
        <f t="shared" si="5"/>
        <v>579507.04591203853</v>
      </c>
      <c r="R51" s="428"/>
      <c r="S51" s="428"/>
      <c r="T51" s="428"/>
      <c r="U51" s="428"/>
      <c r="V51" s="428"/>
      <c r="W51" s="428"/>
      <c r="X51" s="428"/>
      <c r="Y51" s="428"/>
      <c r="Z51" s="428"/>
      <c r="AA51" s="428"/>
    </row>
    <row r="52" spans="1:27" x14ac:dyDescent="0.25">
      <c r="B52" s="109"/>
      <c r="C52" s="135"/>
      <c r="D52" s="135"/>
      <c r="E52" s="135"/>
      <c r="F52" s="135"/>
      <c r="H52" s="457" t="s">
        <v>1207</v>
      </c>
      <c r="I52" s="457">
        <f>SUM(I53:I56)</f>
        <v>102</v>
      </c>
      <c r="J52" s="466">
        <f>SUM(J53:J56)</f>
        <v>2796600</v>
      </c>
      <c r="K52" s="466">
        <f>SUM(K53:K56)</f>
        <v>3914612.0884000165</v>
      </c>
      <c r="R52" s="428"/>
      <c r="S52" s="428"/>
      <c r="T52" s="428"/>
      <c r="U52" s="428"/>
      <c r="V52" s="428"/>
      <c r="W52" s="428"/>
      <c r="X52" s="428"/>
      <c r="Y52" s="428"/>
      <c r="Z52" s="428"/>
      <c r="AA52" s="428"/>
    </row>
    <row r="53" spans="1:27" x14ac:dyDescent="0.25">
      <c r="A53" s="88"/>
      <c r="B53" s="135"/>
      <c r="C53" s="135"/>
      <c r="D53" s="135"/>
      <c r="E53" s="135"/>
      <c r="F53" s="135"/>
      <c r="H53" s="535" t="s">
        <v>22</v>
      </c>
      <c r="I53" s="535">
        <v>2</v>
      </c>
      <c r="J53" s="464">
        <f>I53*$J$7</f>
        <v>1042600</v>
      </c>
      <c r="K53" s="464">
        <f t="shared" ref="K53:K56" si="6">$N$13/$M$13*J53</f>
        <v>1459405.9083765491</v>
      </c>
      <c r="R53" s="428"/>
      <c r="S53" s="428"/>
      <c r="T53" s="428"/>
      <c r="U53" s="428"/>
      <c r="V53" s="428"/>
      <c r="W53" s="428"/>
      <c r="X53" s="428"/>
      <c r="Y53" s="428"/>
      <c r="Z53" s="428"/>
      <c r="AA53" s="428"/>
    </row>
    <row r="54" spans="1:27" x14ac:dyDescent="0.25">
      <c r="B54" s="70"/>
      <c r="C54" s="70"/>
      <c r="D54" s="70"/>
      <c r="E54" s="70"/>
      <c r="F54" s="70"/>
      <c r="H54" s="535" t="s">
        <v>23</v>
      </c>
      <c r="I54" s="535">
        <v>8</v>
      </c>
      <c r="J54" s="464">
        <f>I54*$K$7</f>
        <v>1136000</v>
      </c>
      <c r="K54" s="464">
        <f t="shared" si="6"/>
        <v>1590144.9375750623</v>
      </c>
      <c r="R54" s="428"/>
      <c r="S54" s="428"/>
      <c r="T54" s="428"/>
      <c r="U54" s="428"/>
      <c r="V54" s="428"/>
      <c r="W54" s="428"/>
      <c r="X54" s="428"/>
      <c r="Y54" s="428"/>
      <c r="Z54" s="428"/>
      <c r="AA54" s="428"/>
    </row>
    <row r="55" spans="1:27" x14ac:dyDescent="0.25">
      <c r="B55" s="135"/>
      <c r="C55" s="135"/>
      <c r="D55" s="135"/>
      <c r="E55" s="135"/>
      <c r="F55" s="135"/>
      <c r="H55" s="535" t="s">
        <v>24</v>
      </c>
      <c r="I55" s="535">
        <v>3</v>
      </c>
      <c r="J55" s="464">
        <f>I55*$L$7</f>
        <v>217500</v>
      </c>
      <c r="K55" s="464">
        <f t="shared" si="6"/>
        <v>304451.16542480286</v>
      </c>
      <c r="R55" s="428"/>
      <c r="S55" s="428"/>
      <c r="T55" s="428"/>
      <c r="U55" s="428"/>
      <c r="V55" s="428"/>
      <c r="W55" s="428"/>
      <c r="X55" s="428"/>
      <c r="Y55" s="428"/>
      <c r="Z55" s="428"/>
      <c r="AA55" s="428"/>
    </row>
    <row r="56" spans="1:27" x14ac:dyDescent="0.25">
      <c r="B56" s="135"/>
      <c r="C56" s="135"/>
      <c r="D56" s="135"/>
      <c r="E56" s="135"/>
      <c r="F56" s="135"/>
      <c r="H56" s="535" t="s">
        <v>1562</v>
      </c>
      <c r="I56" s="535">
        <v>89</v>
      </c>
      <c r="J56" s="464">
        <f>I56*$M$7</f>
        <v>400500</v>
      </c>
      <c r="K56" s="464">
        <f t="shared" si="6"/>
        <v>560610.07702360244</v>
      </c>
      <c r="R56" s="428"/>
      <c r="S56" s="428"/>
      <c r="T56" s="428"/>
      <c r="U56" s="428"/>
      <c r="V56" s="428"/>
      <c r="W56" s="428"/>
      <c r="X56" s="428"/>
      <c r="Y56" s="428"/>
      <c r="Z56" s="428"/>
      <c r="AA56" s="428"/>
    </row>
    <row r="57" spans="1:27" x14ac:dyDescent="0.25">
      <c r="B57" s="70"/>
      <c r="C57" s="70"/>
      <c r="D57" s="70"/>
      <c r="E57" s="70"/>
      <c r="F57" s="70"/>
    </row>
    <row r="58" spans="1:27" x14ac:dyDescent="0.25">
      <c r="B58" s="108"/>
      <c r="C58" s="108"/>
      <c r="D58" s="108"/>
      <c r="E58" s="108"/>
      <c r="F58" s="108"/>
    </row>
    <row r="59" spans="1:27" x14ac:dyDescent="0.25">
      <c r="B59" s="108"/>
      <c r="C59" s="108"/>
      <c r="D59" s="108"/>
      <c r="E59" s="108"/>
      <c r="F59" s="108"/>
    </row>
    <row r="60" spans="1:27" x14ac:dyDescent="0.25">
      <c r="B60" s="108"/>
      <c r="C60" s="108"/>
      <c r="D60" s="108"/>
      <c r="E60" s="108"/>
      <c r="F60" s="108"/>
    </row>
    <row r="61" spans="1:27" x14ac:dyDescent="0.25">
      <c r="B61" s="110"/>
      <c r="C61" s="110"/>
      <c r="D61" s="110"/>
      <c r="E61" s="110"/>
      <c r="F61" s="110"/>
    </row>
  </sheetData>
  <mergeCells count="10">
    <mergeCell ref="B46:F50"/>
    <mergeCell ref="B40:F44"/>
    <mergeCell ref="B28:F32"/>
    <mergeCell ref="B34:F38"/>
    <mergeCell ref="G4:G5"/>
    <mergeCell ref="B4:B5"/>
    <mergeCell ref="C4:C5"/>
    <mergeCell ref="D4:D5"/>
    <mergeCell ref="E4:E5"/>
    <mergeCell ref="F4:F5"/>
  </mergeCells>
  <pageMargins left="0.25" right="0.25" top="0.75" bottom="0.75" header="0.3" footer="0.3"/>
  <pageSetup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8BDB-A021-468A-A0C4-C7A89EEC4652}">
  <sheetPr>
    <tabColor rgb="FF00B050"/>
    <pageSetUpPr fitToPage="1"/>
  </sheetPr>
  <dimension ref="A1:AA75"/>
  <sheetViews>
    <sheetView view="pageBreakPreview" zoomScale="85" zoomScaleNormal="85" zoomScaleSheetLayoutView="85" workbookViewId="0">
      <selection activeCell="H36" sqref="H36:H37"/>
    </sheetView>
  </sheetViews>
  <sheetFormatPr defaultRowHeight="15" x14ac:dyDescent="0.25"/>
  <cols>
    <col min="1" max="1" width="3.5703125" style="19" customWidth="1"/>
    <col min="2" max="6" width="20.7109375" style="19" customWidth="1"/>
    <col min="7" max="7" width="10.7109375" style="19" customWidth="1"/>
    <col min="8" max="8" width="49" style="19" customWidth="1"/>
    <col min="9" max="9" width="33.7109375" style="19" bestFit="1" customWidth="1"/>
    <col min="10" max="11" width="34.7109375" style="19" bestFit="1" customWidth="1"/>
    <col min="12" max="13" width="30.28515625" style="19" bestFit="1" customWidth="1"/>
    <col min="14" max="14" width="19.85546875" style="19" customWidth="1"/>
    <col min="15" max="17" width="2.28515625" style="19" customWidth="1"/>
    <col min="18" max="16384" width="9.140625" style="19"/>
  </cols>
  <sheetData>
    <row r="1" spans="2:14" x14ac:dyDescent="0.25">
      <c r="B1" s="164">
        <v>1</v>
      </c>
      <c r="C1" s="436">
        <v>2</v>
      </c>
      <c r="D1" s="164">
        <v>3</v>
      </c>
      <c r="E1" s="436">
        <v>4</v>
      </c>
      <c r="F1" s="164">
        <v>5</v>
      </c>
    </row>
    <row r="2" spans="2:14" x14ac:dyDescent="0.25">
      <c r="B2" s="20" t="s">
        <v>26</v>
      </c>
      <c r="C2" s="20"/>
      <c r="D2" s="20"/>
      <c r="E2" s="20"/>
      <c r="F2" s="20"/>
      <c r="G2" s="20"/>
      <c r="H2" s="20"/>
      <c r="I2" s="20"/>
      <c r="J2" s="20"/>
      <c r="K2" s="20"/>
      <c r="L2" s="20"/>
      <c r="M2" s="20"/>
    </row>
    <row r="3" spans="2:14" ht="15.75" thickBot="1" x14ac:dyDescent="0.3">
      <c r="N3" s="164"/>
    </row>
    <row r="4" spans="2:14" ht="35.1" customHeight="1" x14ac:dyDescent="0.25">
      <c r="B4" s="701" t="s">
        <v>0</v>
      </c>
      <c r="C4" s="701" t="s">
        <v>85</v>
      </c>
      <c r="D4" s="701" t="s">
        <v>86</v>
      </c>
      <c r="E4" s="701" t="s">
        <v>87</v>
      </c>
      <c r="F4" s="703" t="s">
        <v>1</v>
      </c>
      <c r="G4" s="700"/>
      <c r="H4" s="28"/>
      <c r="I4" s="63"/>
      <c r="J4" s="63"/>
      <c r="K4" s="63"/>
      <c r="L4" s="63"/>
      <c r="M4" s="63"/>
      <c r="N4" s="63"/>
    </row>
    <row r="5" spans="2:14" ht="35.1" customHeight="1" thickBot="1" x14ac:dyDescent="0.3">
      <c r="B5" s="702"/>
      <c r="C5" s="702"/>
      <c r="D5" s="702"/>
      <c r="E5" s="702"/>
      <c r="F5" s="704"/>
      <c r="G5" s="700"/>
      <c r="H5" s="429" t="s">
        <v>1577</v>
      </c>
      <c r="I5" s="139"/>
      <c r="J5" s="28"/>
      <c r="K5" s="28"/>
      <c r="L5" s="28"/>
      <c r="M5" s="28"/>
      <c r="N5" s="63"/>
    </row>
    <row r="6" spans="2:14" x14ac:dyDescent="0.25">
      <c r="B6" s="79">
        <v>2022</v>
      </c>
      <c r="C6" s="97">
        <f>TREND($I$46:$J$46,$I$10:$J$10,B6)</f>
        <v>9984.9011549937422</v>
      </c>
      <c r="D6" s="97">
        <f>TREND($K$46:$L$46,$I$10:$J$10,B6)</f>
        <v>8203.7945295512909</v>
      </c>
      <c r="E6" s="97">
        <f>C6-D6</f>
        <v>1781.1066254424513</v>
      </c>
      <c r="F6" s="98">
        <f>E6*(1+0.07)^-(B6-Assumptions!$D$4)</f>
        <v>1453.9135568649028</v>
      </c>
      <c r="G6" s="65"/>
      <c r="H6" s="154" t="s">
        <v>76</v>
      </c>
      <c r="I6" s="155" t="s">
        <v>21</v>
      </c>
      <c r="J6" s="155" t="s">
        <v>22</v>
      </c>
      <c r="K6" s="155" t="s">
        <v>23</v>
      </c>
      <c r="L6" s="107" t="s">
        <v>24</v>
      </c>
      <c r="M6" s="107" t="s">
        <v>48</v>
      </c>
      <c r="N6" s="63"/>
    </row>
    <row r="7" spans="2:14" x14ac:dyDescent="0.25">
      <c r="B7" s="80">
        <f>B6+1</f>
        <v>2023</v>
      </c>
      <c r="C7" s="99">
        <f>TREND($I$46:$J$46,$I$10:$J$10,B7)+TREND($I$47:$J$47,$I$10:$J$10,B7)</f>
        <v>868061.95416355436</v>
      </c>
      <c r="D7" s="99">
        <f>TREND($K$46:$L$46,$I$10:$J$10,B7)+TREND($K$47:$L$47,$I$10:$J$10,B7)</f>
        <v>701967.61468313634</v>
      </c>
      <c r="E7" s="99">
        <f t="shared" ref="E7:E25" si="0">C7-D7</f>
        <v>166094.33948041801</v>
      </c>
      <c r="F7" s="100">
        <f>E7*(1+0.07)^-(B7-Assumptions!$D$4)</f>
        <v>126712.57633780714</v>
      </c>
      <c r="G7" s="65"/>
      <c r="H7" s="173" t="s">
        <v>20</v>
      </c>
      <c r="I7" s="71">
        <v>10900000</v>
      </c>
      <c r="J7" s="71">
        <v>521300</v>
      </c>
      <c r="K7" s="71">
        <v>142000</v>
      </c>
      <c r="L7" s="71">
        <v>72500</v>
      </c>
      <c r="M7" s="71">
        <v>4500</v>
      </c>
      <c r="N7" s="63"/>
    </row>
    <row r="8" spans="2:14" x14ac:dyDescent="0.25">
      <c r="B8" s="80">
        <f t="shared" ref="B8:B25" si="1">B7+1</f>
        <v>2024</v>
      </c>
      <c r="C8" s="99">
        <f>TREND($I$46:$J$46,$I$10:$J$10,B8)+TREND($I$47:$J$47,$I$10:$J$10,B8)+TREND($I$45:$J$45,$I$10:$J$10,B8)</f>
        <v>895234.47480780585</v>
      </c>
      <c r="D8" s="99">
        <f>TREND($K$46:$L$46,$I$10:$J$10,B8)+TREND($K$47:$L$47,$I$10:$J$10,B8)+TREND($K$45:$L$45,$I$10:$J$10,B8)</f>
        <v>724576.00355649623</v>
      </c>
      <c r="E8" s="99">
        <f t="shared" si="0"/>
        <v>170658.47125130962</v>
      </c>
      <c r="F8" s="100">
        <f>E8*(1+0.07)^-(B8-Assumptions!$D$4)</f>
        <v>121677.13141399469</v>
      </c>
      <c r="G8" s="65"/>
      <c r="H8" s="64"/>
      <c r="I8" s="139"/>
      <c r="J8" s="28"/>
      <c r="K8" s="28"/>
      <c r="L8" s="28"/>
      <c r="M8" s="28"/>
      <c r="N8" s="63"/>
    </row>
    <row r="9" spans="2:14" x14ac:dyDescent="0.25">
      <c r="B9" s="80">
        <f t="shared" si="1"/>
        <v>2025</v>
      </c>
      <c r="C9" s="627">
        <f>TREND($I$46:$J$46,$I$10:$J$10,B9)+TREND($I$51:$J$51,$I$10:$J$10,B9)+TREND($I$52:$J$52,$I$10:$J$10,B9)</f>
        <v>649591.70817431109</v>
      </c>
      <c r="D9" s="141">
        <f>TREND($K$46:$L$46,$I$10:$J$10,B9)+TREND($K$51:$L$51,$I$10:$J$10,B9)+TREND($K$52:$L$52,$I$10:$J$10,B9)</f>
        <v>521050.1113493361</v>
      </c>
      <c r="E9" s="99">
        <f t="shared" si="0"/>
        <v>128541.59682497499</v>
      </c>
      <c r="F9" s="100">
        <f>E9*(1+0.07)^-(B9-Assumptions!$D$4)</f>
        <v>85652.693481279406</v>
      </c>
      <c r="G9" s="65"/>
      <c r="H9" s="20" t="s">
        <v>1593</v>
      </c>
      <c r="I9" s="63"/>
      <c r="J9" s="63"/>
      <c r="K9" s="28"/>
      <c r="L9" s="28"/>
      <c r="M9" s="28"/>
      <c r="N9" s="28"/>
    </row>
    <row r="10" spans="2:14" ht="15" customHeight="1" x14ac:dyDescent="0.25">
      <c r="B10" s="80">
        <f t="shared" si="1"/>
        <v>2026</v>
      </c>
      <c r="C10" s="627">
        <f t="shared" ref="C10:C13" si="2">TREND($I$46:$J$46,$I$10:$J$10,B10)+TREND($I$51:$J$51,$I$10:$J$10,B10)+TREND($I$52:$J$52,$I$10:$J$10,B10)</f>
        <v>661690.67169610178</v>
      </c>
      <c r="D10" s="141">
        <f t="shared" ref="D10:D13" si="3">TREND($K$46:$L$46,$I$10:$J$10,B10)+TREND($K$51:$L$51,$I$10:$J$10,B10)+TREND($K$52:$L$52,$I$10:$J$10,B10)</f>
        <v>530754.92471272836</v>
      </c>
      <c r="E10" s="99">
        <f t="shared" si="0"/>
        <v>130935.74698337342</v>
      </c>
      <c r="F10" s="100">
        <f>E10*(1+0.07)^-(B10-Assumptions!$D$4)</f>
        <v>81540.20263736193</v>
      </c>
      <c r="G10" s="65"/>
      <c r="H10" s="162" t="s">
        <v>488</v>
      </c>
      <c r="I10" s="50">
        <v>2017</v>
      </c>
      <c r="J10" s="50">
        <v>2040</v>
      </c>
      <c r="K10" s="428"/>
      <c r="L10" s="28"/>
      <c r="M10" s="63"/>
      <c r="N10" s="28"/>
    </row>
    <row r="11" spans="2:14" ht="14.25" customHeight="1" x14ac:dyDescent="0.25">
      <c r="B11" s="80">
        <f t="shared" si="1"/>
        <v>2027</v>
      </c>
      <c r="C11" s="627">
        <f t="shared" si="2"/>
        <v>673789.63521788886</v>
      </c>
      <c r="D11" s="141">
        <f t="shared" si="3"/>
        <v>540459.73807612446</v>
      </c>
      <c r="E11" s="99">
        <f t="shared" si="0"/>
        <v>133329.89714176441</v>
      </c>
      <c r="F11" s="100">
        <f>E11*(1+0.07)^-(B11-Assumptions!$D$4)</f>
        <v>77599.214047226982</v>
      </c>
      <c r="G11" s="65"/>
      <c r="H11" s="162" t="s">
        <v>1597</v>
      </c>
      <c r="I11" s="467">
        <f>'05T3 - Associated Crash Data'!C78</f>
        <v>11559.549782656546</v>
      </c>
      <c r="J11" s="467">
        <f>'05T3 - Associated Crash Data'!C80</f>
        <v>17378.556903530865</v>
      </c>
      <c r="K11" s="428"/>
      <c r="L11" s="28"/>
      <c r="M11" s="63"/>
      <c r="N11" s="28"/>
    </row>
    <row r="12" spans="2:14" ht="14.25" customHeight="1" x14ac:dyDescent="0.25">
      <c r="B12" s="80">
        <f t="shared" si="1"/>
        <v>2028</v>
      </c>
      <c r="C12" s="627">
        <f t="shared" si="2"/>
        <v>685888.59873967955</v>
      </c>
      <c r="D12" s="141">
        <f t="shared" si="3"/>
        <v>550164.55143951671</v>
      </c>
      <c r="E12" s="99">
        <f t="shared" si="0"/>
        <v>135724.04730016284</v>
      </c>
      <c r="F12" s="100">
        <f>E12*(1+0.07)^-(B12-Assumptions!$D$4)</f>
        <v>73824.889006645506</v>
      </c>
      <c r="G12" s="65"/>
      <c r="H12" s="710" t="s">
        <v>1490</v>
      </c>
      <c r="I12" s="710"/>
      <c r="J12" s="468">
        <f>(J11-I11)/(I11*23)</f>
        <v>2.1886692333192952E-2</v>
      </c>
      <c r="K12" s="428"/>
      <c r="L12" s="28"/>
      <c r="M12" s="28"/>
      <c r="N12" s="63"/>
    </row>
    <row r="13" spans="2:14" s="164" customFormat="1" x14ac:dyDescent="0.25">
      <c r="B13" s="80">
        <f t="shared" si="1"/>
        <v>2029</v>
      </c>
      <c r="C13" s="627">
        <f t="shared" si="2"/>
        <v>697987.56226147024</v>
      </c>
      <c r="D13" s="141">
        <f t="shared" si="3"/>
        <v>559869.36480291281</v>
      </c>
      <c r="E13" s="99">
        <f t="shared" si="0"/>
        <v>138118.19745855744</v>
      </c>
      <c r="F13" s="100">
        <f>E13*(1+0.07)^-(B13-Assumptions!$D$4)</f>
        <v>70212.287908980856</v>
      </c>
      <c r="G13" s="65"/>
      <c r="K13" s="428"/>
      <c r="N13" s="19"/>
    </row>
    <row r="14" spans="2:14" ht="15" customHeight="1" x14ac:dyDescent="0.25">
      <c r="B14" s="80">
        <f t="shared" si="1"/>
        <v>2030</v>
      </c>
      <c r="C14" s="99">
        <v>0</v>
      </c>
      <c r="D14" s="141">
        <v>0</v>
      </c>
      <c r="E14" s="99">
        <f t="shared" si="0"/>
        <v>0</v>
      </c>
      <c r="F14" s="100">
        <f>E14*(1+0.07)^-(B14-Assumptions!$D$4)</f>
        <v>0</v>
      </c>
      <c r="G14" s="65"/>
    </row>
    <row r="15" spans="2:14" x14ac:dyDescent="0.25">
      <c r="B15" s="80">
        <f t="shared" si="1"/>
        <v>2031</v>
      </c>
      <c r="C15" s="99">
        <v>0</v>
      </c>
      <c r="D15" s="141">
        <v>0</v>
      </c>
      <c r="E15" s="99">
        <f t="shared" si="0"/>
        <v>0</v>
      </c>
      <c r="F15" s="100">
        <f>E15*(1+0.07)^-(B15-Assumptions!$D$4)</f>
        <v>0</v>
      </c>
      <c r="G15" s="65"/>
      <c r="H15" s="476" t="s">
        <v>1595</v>
      </c>
    </row>
    <row r="16" spans="2:14" x14ac:dyDescent="0.25">
      <c r="B16" s="80">
        <f t="shared" si="1"/>
        <v>2032</v>
      </c>
      <c r="C16" s="99">
        <v>0</v>
      </c>
      <c r="D16" s="141">
        <v>0</v>
      </c>
      <c r="E16" s="99">
        <f t="shared" si="0"/>
        <v>0</v>
      </c>
      <c r="F16" s="100">
        <f>E16*(1+0.07)^-(B16-Assumptions!$D$4)</f>
        <v>0</v>
      </c>
      <c r="G16" s="65"/>
      <c r="H16" s="92" t="s">
        <v>1563</v>
      </c>
      <c r="I16" s="625" t="s">
        <v>1588</v>
      </c>
      <c r="J16" s="625" t="s">
        <v>1581</v>
      </c>
      <c r="N16" s="63"/>
    </row>
    <row r="17" spans="1:21" x14ac:dyDescent="0.25">
      <c r="B17" s="80">
        <f t="shared" si="1"/>
        <v>2033</v>
      </c>
      <c r="C17" s="99">
        <v>0</v>
      </c>
      <c r="D17" s="141">
        <v>0</v>
      </c>
      <c r="E17" s="99">
        <f t="shared" si="0"/>
        <v>0</v>
      </c>
      <c r="F17" s="100">
        <f>E17*(1+0.07)^-(B17-Assumptions!$D$4)</f>
        <v>0</v>
      </c>
      <c r="G17" s="65"/>
      <c r="H17" s="173" t="s">
        <v>1582</v>
      </c>
      <c r="I17" s="30">
        <v>141</v>
      </c>
      <c r="J17" s="475">
        <f>EXP(-4.55*I17/5280)</f>
        <v>0.88558602159581357</v>
      </c>
      <c r="N17" s="63"/>
    </row>
    <row r="18" spans="1:21" x14ac:dyDescent="0.25">
      <c r="B18" s="80">
        <f t="shared" si="1"/>
        <v>2034</v>
      </c>
      <c r="C18" s="99">
        <v>0</v>
      </c>
      <c r="D18" s="141">
        <v>0</v>
      </c>
      <c r="E18" s="99">
        <f t="shared" si="0"/>
        <v>0</v>
      </c>
      <c r="F18" s="100">
        <f>E18*(1+0.07)^-(B18-Assumptions!$D$4)</f>
        <v>0</v>
      </c>
      <c r="G18" s="65"/>
      <c r="H18" s="173" t="s">
        <v>1583</v>
      </c>
      <c r="I18" s="30">
        <v>183</v>
      </c>
      <c r="J18" s="475">
        <f t="shared" ref="J18:J22" si="4">EXP(-4.55*I18/5280)</f>
        <v>0.85410694590567848</v>
      </c>
      <c r="N18" s="63"/>
    </row>
    <row r="19" spans="1:21" x14ac:dyDescent="0.25">
      <c r="B19" s="80">
        <f t="shared" si="1"/>
        <v>2035</v>
      </c>
      <c r="C19" s="99">
        <v>0</v>
      </c>
      <c r="D19" s="141">
        <v>0</v>
      </c>
      <c r="E19" s="99">
        <f t="shared" si="0"/>
        <v>0</v>
      </c>
      <c r="F19" s="100">
        <f>E19*(1+0.07)^-(B19-Assumptions!$D$4)</f>
        <v>0</v>
      </c>
      <c r="G19" s="65"/>
      <c r="H19" s="173" t="s">
        <v>1585</v>
      </c>
      <c r="I19" s="30">
        <v>228</v>
      </c>
      <c r="J19" s="475">
        <f t="shared" si="4"/>
        <v>0.82162000426497517</v>
      </c>
      <c r="Q19" s="428"/>
      <c r="R19" s="428"/>
      <c r="S19" s="428"/>
      <c r="T19" s="428"/>
      <c r="U19" s="428"/>
    </row>
    <row r="20" spans="1:21" x14ac:dyDescent="0.25">
      <c r="B20" s="80">
        <f t="shared" si="1"/>
        <v>2036</v>
      </c>
      <c r="C20" s="99">
        <v>0</v>
      </c>
      <c r="D20" s="141">
        <v>0</v>
      </c>
      <c r="E20" s="99">
        <f t="shared" si="0"/>
        <v>0</v>
      </c>
      <c r="F20" s="100">
        <f>E20*(1+0.07)^-(B20-Assumptions!$D$4)</f>
        <v>0</v>
      </c>
      <c r="G20" s="65"/>
      <c r="H20" s="173" t="s">
        <v>1586</v>
      </c>
      <c r="I20" s="30">
        <v>206</v>
      </c>
      <c r="J20" s="475">
        <f t="shared" si="4"/>
        <v>0.83734514037609797</v>
      </c>
      <c r="Q20" s="428"/>
      <c r="R20" s="428"/>
      <c r="S20" s="428"/>
      <c r="T20" s="428"/>
      <c r="U20" s="428"/>
    </row>
    <row r="21" spans="1:21" x14ac:dyDescent="0.25">
      <c r="B21" s="80">
        <f t="shared" si="1"/>
        <v>2037</v>
      </c>
      <c r="C21" s="99">
        <v>0</v>
      </c>
      <c r="D21" s="141">
        <v>0</v>
      </c>
      <c r="E21" s="99">
        <f t="shared" si="0"/>
        <v>0</v>
      </c>
      <c r="F21" s="100">
        <f>E21*(1+0.07)^-(B21-Assumptions!$D$4)</f>
        <v>0</v>
      </c>
      <c r="G21" s="65"/>
      <c r="H21" s="173" t="s">
        <v>1584</v>
      </c>
      <c r="I21" s="30">
        <v>258</v>
      </c>
      <c r="J21" s="475">
        <f t="shared" si="4"/>
        <v>0.80065146980187729</v>
      </c>
      <c r="K21" s="7"/>
      <c r="L21" s="623"/>
      <c r="M21" s="623"/>
      <c r="N21" s="623"/>
      <c r="O21" s="623"/>
      <c r="P21" s="623"/>
      <c r="Q21" s="428"/>
      <c r="R21" s="428"/>
      <c r="S21" s="428"/>
      <c r="T21" s="428"/>
      <c r="U21" s="428"/>
    </row>
    <row r="22" spans="1:21" x14ac:dyDescent="0.25">
      <c r="B22" s="80">
        <f t="shared" si="1"/>
        <v>2038</v>
      </c>
      <c r="C22" s="99">
        <v>0</v>
      </c>
      <c r="D22" s="141">
        <v>0</v>
      </c>
      <c r="E22" s="99">
        <f t="shared" si="0"/>
        <v>0</v>
      </c>
      <c r="F22" s="100">
        <f>E22*(1+0.07)^-(B22-Assumptions!$D$4)</f>
        <v>0</v>
      </c>
      <c r="G22" s="65"/>
      <c r="H22" s="173" t="s">
        <v>1587</v>
      </c>
      <c r="I22" s="30">
        <v>220</v>
      </c>
      <c r="J22" s="475">
        <f t="shared" si="4"/>
        <v>0.82730377204379024</v>
      </c>
      <c r="K22" s="7"/>
      <c r="L22" s="623"/>
      <c r="M22" s="623"/>
      <c r="N22" s="623"/>
      <c r="O22" s="623"/>
      <c r="P22" s="623"/>
      <c r="Q22" s="428"/>
      <c r="R22" s="428"/>
      <c r="S22" s="428"/>
      <c r="T22" s="428"/>
      <c r="U22" s="428"/>
    </row>
    <row r="23" spans="1:21" ht="14.25" customHeight="1" x14ac:dyDescent="0.25">
      <c r="B23" s="80">
        <f t="shared" si="1"/>
        <v>2039</v>
      </c>
      <c r="C23" s="99">
        <v>0</v>
      </c>
      <c r="D23" s="141">
        <v>0</v>
      </c>
      <c r="E23" s="99">
        <f t="shared" si="0"/>
        <v>0</v>
      </c>
      <c r="F23" s="100">
        <f>E23*(1+0.07)^-(B23-Assumptions!$D$4)</f>
        <v>0</v>
      </c>
      <c r="G23" s="65"/>
      <c r="H23" s="28"/>
      <c r="Q23" s="428"/>
      <c r="R23" s="428"/>
      <c r="S23" s="428"/>
      <c r="T23" s="428"/>
      <c r="U23" s="428"/>
    </row>
    <row r="24" spans="1:21" x14ac:dyDescent="0.25">
      <c r="B24" s="80">
        <f t="shared" si="1"/>
        <v>2040</v>
      </c>
      <c r="C24" s="99">
        <v>0</v>
      </c>
      <c r="D24" s="141">
        <v>0</v>
      </c>
      <c r="E24" s="99">
        <f t="shared" si="0"/>
        <v>0</v>
      </c>
      <c r="F24" s="100">
        <f>E24*(1+0.07)^-(B24-Assumptions!$D$4)</f>
        <v>0</v>
      </c>
      <c r="G24" s="65"/>
      <c r="H24" s="28"/>
      <c r="Q24" s="428"/>
      <c r="R24" s="428"/>
      <c r="S24" s="428"/>
      <c r="T24" s="428"/>
      <c r="U24" s="428"/>
    </row>
    <row r="25" spans="1:21" ht="15" customHeight="1" thickBot="1" x14ac:dyDescent="0.3">
      <c r="B25" s="81">
        <f t="shared" si="1"/>
        <v>2041</v>
      </c>
      <c r="C25" s="101">
        <v>0</v>
      </c>
      <c r="D25" s="142">
        <v>0</v>
      </c>
      <c r="E25" s="101">
        <f t="shared" si="0"/>
        <v>0</v>
      </c>
      <c r="F25" s="102">
        <f>E25*(1+0.07)^-(B25-Assumptions!$D$4)</f>
        <v>0</v>
      </c>
      <c r="G25" s="65"/>
      <c r="H25" s="20" t="s">
        <v>1675</v>
      </c>
      <c r="N25" s="28"/>
      <c r="Q25" s="428"/>
      <c r="R25" s="428"/>
      <c r="S25" s="428"/>
      <c r="T25" s="428"/>
      <c r="U25" s="428"/>
    </row>
    <row r="26" spans="1:21" ht="15.75" thickBot="1" x14ac:dyDescent="0.3">
      <c r="B26" s="21"/>
      <c r="C26" s="21"/>
      <c r="D26" s="21"/>
      <c r="E26" s="95" t="s">
        <v>2</v>
      </c>
      <c r="F26" s="570">
        <f>SUM(F6:F25)</f>
        <v>638672.90839016146</v>
      </c>
      <c r="G26" s="65"/>
      <c r="H26" s="92" t="s">
        <v>485</v>
      </c>
      <c r="I26" s="92" t="s">
        <v>1563</v>
      </c>
      <c r="J26" s="107" t="s">
        <v>21</v>
      </c>
      <c r="K26" s="107" t="s">
        <v>22</v>
      </c>
      <c r="L26" s="107" t="s">
        <v>23</v>
      </c>
      <c r="M26" s="107" t="s">
        <v>24</v>
      </c>
      <c r="N26" s="107" t="s">
        <v>1562</v>
      </c>
      <c r="Q26" s="428"/>
      <c r="R26" s="428"/>
      <c r="S26" s="428"/>
      <c r="T26" s="428"/>
      <c r="U26" s="428"/>
    </row>
    <row r="27" spans="1:21" x14ac:dyDescent="0.25">
      <c r="B27" s="20" t="s">
        <v>3</v>
      </c>
      <c r="C27" s="21"/>
      <c r="D27" s="21"/>
      <c r="E27" s="95"/>
      <c r="F27" s="137"/>
      <c r="G27" s="65"/>
      <c r="H27" s="29" t="s">
        <v>204</v>
      </c>
      <c r="I27" s="173" t="s">
        <v>1582</v>
      </c>
      <c r="J27" s="30">
        <v>0</v>
      </c>
      <c r="K27" s="30">
        <v>0</v>
      </c>
      <c r="L27" s="30">
        <v>0</v>
      </c>
      <c r="M27" s="30">
        <v>0</v>
      </c>
      <c r="N27" s="30">
        <v>1</v>
      </c>
      <c r="Q27" s="428"/>
      <c r="R27" s="428"/>
      <c r="S27" s="428"/>
      <c r="T27" s="428"/>
      <c r="U27" s="428"/>
    </row>
    <row r="28" spans="1:21" ht="15" customHeight="1" x14ac:dyDescent="0.25">
      <c r="A28" s="88" t="s">
        <v>13</v>
      </c>
      <c r="B28" s="699" t="s">
        <v>1679</v>
      </c>
      <c r="C28" s="699"/>
      <c r="D28" s="699"/>
      <c r="E28" s="699"/>
      <c r="F28" s="699"/>
      <c r="H28" s="29" t="s">
        <v>204</v>
      </c>
      <c r="I28" s="173" t="s">
        <v>1583</v>
      </c>
      <c r="J28" s="30">
        <v>0</v>
      </c>
      <c r="K28" s="30">
        <v>0</v>
      </c>
      <c r="L28" s="30">
        <v>0</v>
      </c>
      <c r="M28" s="30">
        <v>0</v>
      </c>
      <c r="N28" s="30">
        <v>1</v>
      </c>
      <c r="Q28" s="428"/>
      <c r="R28" s="428"/>
      <c r="S28" s="428"/>
      <c r="T28" s="428"/>
      <c r="U28" s="428"/>
    </row>
    <row r="29" spans="1:21" ht="15" customHeight="1" x14ac:dyDescent="0.25">
      <c r="B29" s="699"/>
      <c r="C29" s="699"/>
      <c r="D29" s="699"/>
      <c r="E29" s="699"/>
      <c r="F29" s="699"/>
      <c r="H29" s="29" t="s">
        <v>205</v>
      </c>
      <c r="I29" s="173" t="s">
        <v>1585</v>
      </c>
      <c r="J29" s="30">
        <v>0</v>
      </c>
      <c r="K29" s="30">
        <v>0</v>
      </c>
      <c r="L29" s="30">
        <v>0</v>
      </c>
      <c r="M29" s="30">
        <v>0</v>
      </c>
      <c r="N29" s="30">
        <v>2</v>
      </c>
      <c r="Q29" s="428"/>
      <c r="R29" s="428"/>
      <c r="S29" s="428"/>
      <c r="T29" s="428"/>
      <c r="U29" s="428"/>
    </row>
    <row r="30" spans="1:21" x14ac:dyDescent="0.25">
      <c r="B30" s="699"/>
      <c r="C30" s="699"/>
      <c r="D30" s="699"/>
      <c r="E30" s="699"/>
      <c r="F30" s="699"/>
      <c r="H30" s="29" t="s">
        <v>205</v>
      </c>
      <c r="I30" s="173" t="s">
        <v>1586</v>
      </c>
      <c r="J30" s="30">
        <v>0</v>
      </c>
      <c r="K30" s="30">
        <v>0</v>
      </c>
      <c r="L30" s="30">
        <v>0</v>
      </c>
      <c r="M30" s="30">
        <v>0</v>
      </c>
      <c r="N30" s="30">
        <v>0</v>
      </c>
      <c r="Q30" s="428"/>
      <c r="R30" s="428"/>
      <c r="S30" s="428"/>
      <c r="T30" s="428"/>
      <c r="U30" s="428"/>
    </row>
    <row r="31" spans="1:21" ht="15" customHeight="1" x14ac:dyDescent="0.25">
      <c r="B31" s="699"/>
      <c r="C31" s="699"/>
      <c r="D31" s="699"/>
      <c r="E31" s="699"/>
      <c r="F31" s="699"/>
      <c r="H31" s="29" t="s">
        <v>203</v>
      </c>
      <c r="I31" s="173" t="s">
        <v>1584</v>
      </c>
      <c r="J31" s="30">
        <v>0</v>
      </c>
      <c r="K31" s="30">
        <v>1</v>
      </c>
      <c r="L31" s="30">
        <v>0</v>
      </c>
      <c r="M31" s="30">
        <v>0</v>
      </c>
      <c r="N31" s="30">
        <v>3</v>
      </c>
      <c r="Q31" s="428"/>
      <c r="R31" s="428"/>
      <c r="S31" s="428"/>
      <c r="T31" s="428"/>
      <c r="U31" s="428"/>
    </row>
    <row r="32" spans="1:21" ht="15" customHeight="1" x14ac:dyDescent="0.25">
      <c r="B32" s="699"/>
      <c r="C32" s="699"/>
      <c r="D32" s="699"/>
      <c r="E32" s="699"/>
      <c r="F32" s="699"/>
      <c r="G32" s="20"/>
      <c r="H32" s="29" t="s">
        <v>203</v>
      </c>
      <c r="I32" s="173" t="s">
        <v>1587</v>
      </c>
      <c r="J32" s="30">
        <v>0</v>
      </c>
      <c r="K32" s="30">
        <v>0</v>
      </c>
      <c r="L32" s="30">
        <v>1</v>
      </c>
      <c r="M32" s="30">
        <v>1</v>
      </c>
      <c r="N32" s="30">
        <v>2</v>
      </c>
    </row>
    <row r="33" spans="1:27" ht="15" customHeight="1" x14ac:dyDescent="0.25">
      <c r="B33" s="20"/>
      <c r="C33" s="20"/>
      <c r="D33" s="20"/>
      <c r="E33" s="20"/>
      <c r="F33" s="20"/>
      <c r="G33" s="110"/>
      <c r="P33" s="428"/>
    </row>
    <row r="34" spans="1:27" ht="15" customHeight="1" x14ac:dyDescent="0.25">
      <c r="A34" s="88" t="s">
        <v>12</v>
      </c>
      <c r="B34" s="671" t="s">
        <v>1580</v>
      </c>
      <c r="C34" s="671"/>
      <c r="D34" s="671"/>
      <c r="E34" s="671"/>
      <c r="F34" s="671"/>
      <c r="G34" s="110"/>
      <c r="H34" s="20" t="s">
        <v>1676</v>
      </c>
      <c r="P34" s="428"/>
    </row>
    <row r="35" spans="1:27" x14ac:dyDescent="0.25">
      <c r="B35" s="671"/>
      <c r="C35" s="671"/>
      <c r="D35" s="671"/>
      <c r="E35" s="671"/>
      <c r="F35" s="671"/>
      <c r="G35" s="110"/>
      <c r="H35" s="92" t="s">
        <v>485</v>
      </c>
      <c r="I35" s="92" t="s">
        <v>1563</v>
      </c>
      <c r="J35" s="625" t="s">
        <v>1578</v>
      </c>
      <c r="K35" s="625" t="s">
        <v>1579</v>
      </c>
      <c r="L35" s="625" t="s">
        <v>1594</v>
      </c>
      <c r="M35" s="625" t="s">
        <v>1596</v>
      </c>
      <c r="P35" s="428"/>
    </row>
    <row r="36" spans="1:27" ht="17.25" customHeight="1" x14ac:dyDescent="0.25">
      <c r="B36" s="671"/>
      <c r="C36" s="671"/>
      <c r="D36" s="671"/>
      <c r="E36" s="671"/>
      <c r="F36" s="671"/>
      <c r="G36" s="110"/>
      <c r="H36" s="708" t="s">
        <v>204</v>
      </c>
      <c r="I36" s="173" t="s">
        <v>1582</v>
      </c>
      <c r="J36" s="705">
        <f>SUMPRODUCT($I$7:$M$7,$J$27:$N$27)+SUMPRODUCT($I$7:$M$7,$J$28:$N$28)</f>
        <v>9000</v>
      </c>
      <c r="K36" s="707">
        <f>J36*$J$11/$I$11</f>
        <v>13530.545312970942</v>
      </c>
      <c r="L36" s="709">
        <f>SUMPRODUCT($I$7:$M$7,$J$27:$N$27)*J17+SUMPRODUCT($I$7:$M$7,$J$28:$N$28)*J18</f>
        <v>7828.618353756714</v>
      </c>
      <c r="M36" s="707">
        <f>L36*$J$11/$I$11</f>
        <v>11769.497263717911</v>
      </c>
      <c r="P36" s="428"/>
    </row>
    <row r="37" spans="1:27" ht="14.25" customHeight="1" x14ac:dyDescent="0.25">
      <c r="A37" s="88"/>
      <c r="B37" s="671"/>
      <c r="C37" s="671"/>
      <c r="D37" s="671"/>
      <c r="E37" s="671"/>
      <c r="F37" s="671"/>
      <c r="G37" s="110"/>
      <c r="H37" s="708"/>
      <c r="I37" s="173" t="s">
        <v>1583</v>
      </c>
      <c r="J37" s="706">
        <f>SUMPRODUCT($I$7:$M$7,J28:N28)</f>
        <v>4500</v>
      </c>
      <c r="K37" s="708"/>
      <c r="L37" s="709"/>
      <c r="M37" s="708"/>
    </row>
    <row r="38" spans="1:27" ht="15" customHeight="1" x14ac:dyDescent="0.25">
      <c r="B38" s="671"/>
      <c r="C38" s="671"/>
      <c r="D38" s="671"/>
      <c r="E38" s="671"/>
      <c r="F38" s="671"/>
      <c r="G38" s="110"/>
      <c r="H38" s="708" t="s">
        <v>205</v>
      </c>
      <c r="I38" s="173" t="s">
        <v>1585</v>
      </c>
      <c r="J38" s="707">
        <f>SUMPRODUCT($I$7:$M$7,$J$29:$N$29)+SUMPRODUCT($I$7:$M$7,$J$30:$N$30)</f>
        <v>9000</v>
      </c>
      <c r="K38" s="707">
        <f>J38*$J$11/$I$11</f>
        <v>13530.545312970942</v>
      </c>
      <c r="L38" s="709">
        <f>SUMPRODUCT($I$7:$M$7,$J$29:$N$29)*J19+SUMPRODUCT($I$7:$M$7,$J$30:$N$30)*J20</f>
        <v>7394.5800383847763</v>
      </c>
      <c r="M38" s="707">
        <f>L38*$J$11/$I$11</f>
        <v>11116.966697750624</v>
      </c>
    </row>
    <row r="39" spans="1:27" ht="15" customHeight="1" x14ac:dyDescent="0.25">
      <c r="B39" s="110"/>
      <c r="C39" s="110"/>
      <c r="D39" s="110"/>
      <c r="E39" s="110"/>
      <c r="F39" s="110"/>
      <c r="H39" s="708"/>
      <c r="I39" s="173" t="s">
        <v>1586</v>
      </c>
      <c r="J39" s="708">
        <f>SUMPRODUCT($I$7:$M$7,J30:N30)</f>
        <v>0</v>
      </c>
      <c r="K39" s="708"/>
      <c r="L39" s="709"/>
      <c r="M39" s="708"/>
      <c r="R39" s="428"/>
      <c r="S39" s="428"/>
      <c r="T39" s="428"/>
      <c r="U39" s="428"/>
      <c r="V39" s="428"/>
      <c r="W39" s="428"/>
      <c r="X39" s="428"/>
      <c r="Y39" s="428"/>
      <c r="Z39" s="428"/>
      <c r="AA39" s="428"/>
    </row>
    <row r="40" spans="1:27" x14ac:dyDescent="0.25">
      <c r="A40" s="88" t="s">
        <v>14</v>
      </c>
      <c r="B40" s="699" t="s">
        <v>1667</v>
      </c>
      <c r="C40" s="699"/>
      <c r="D40" s="699"/>
      <c r="E40" s="699"/>
      <c r="F40" s="699"/>
      <c r="G40" s="110"/>
      <c r="H40" s="708" t="s">
        <v>203</v>
      </c>
      <c r="I40" s="173" t="s">
        <v>1584</v>
      </c>
      <c r="J40" s="707">
        <f>SUMPRODUCT($I$7:$M$7,$J$31:$N$31)+SUMPRODUCT($I$7:$M$7,$J$32:$N$32)</f>
        <v>758300</v>
      </c>
      <c r="K40" s="707">
        <f>J40*$J$11/$I$11</f>
        <v>1140023.6123139849</v>
      </c>
      <c r="L40" s="709">
        <f>SUMPRODUCT($I$7:$M$7,$J$31:$N$31)*J21+SUMPRODUCT($I$7:$M$7,$J$32:$N$32)*J22</f>
        <v>613090.79910183116</v>
      </c>
      <c r="M40" s="707">
        <f>L40*$J$11/$I$11</f>
        <v>921716.98202365451</v>
      </c>
      <c r="R40" s="428"/>
      <c r="S40" s="428"/>
      <c r="T40" s="428"/>
      <c r="U40" s="428"/>
      <c r="V40" s="428"/>
      <c r="W40" s="428"/>
      <c r="X40" s="428"/>
      <c r="Y40" s="428"/>
      <c r="Z40" s="428"/>
      <c r="AA40" s="428"/>
    </row>
    <row r="41" spans="1:27" x14ac:dyDescent="0.25">
      <c r="B41" s="699"/>
      <c r="C41" s="699"/>
      <c r="D41" s="699"/>
      <c r="E41" s="699"/>
      <c r="F41" s="699"/>
      <c r="G41" s="110"/>
      <c r="H41" s="708"/>
      <c r="I41" s="173" t="s">
        <v>1587</v>
      </c>
      <c r="J41" s="708">
        <f>SUMPRODUCT($I$7:$M$7,J32:N32)</f>
        <v>223500</v>
      </c>
      <c r="K41" s="708"/>
      <c r="L41" s="709"/>
      <c r="M41" s="708"/>
      <c r="R41" s="428"/>
      <c r="S41" s="428"/>
      <c r="T41" s="428"/>
      <c r="U41" s="428"/>
      <c r="V41" s="428"/>
      <c r="W41" s="428"/>
      <c r="X41" s="428"/>
      <c r="Y41" s="428"/>
      <c r="Z41" s="428"/>
      <c r="AA41" s="428"/>
    </row>
    <row r="42" spans="1:27" ht="15" customHeight="1" x14ac:dyDescent="0.25">
      <c r="B42" s="699"/>
      <c r="C42" s="699"/>
      <c r="D42" s="699"/>
      <c r="E42" s="699"/>
      <c r="F42" s="699"/>
      <c r="G42" s="110"/>
      <c r="H42" s="28"/>
      <c r="N42" s="164"/>
      <c r="R42" s="428"/>
      <c r="S42" s="428"/>
      <c r="T42" s="428"/>
      <c r="U42" s="428"/>
      <c r="V42" s="428"/>
      <c r="W42" s="428"/>
      <c r="X42" s="428"/>
      <c r="Y42" s="428"/>
      <c r="Z42" s="428"/>
      <c r="AA42" s="428"/>
    </row>
    <row r="43" spans="1:27" ht="15" customHeight="1" x14ac:dyDescent="0.25">
      <c r="A43" s="88"/>
      <c r="B43" s="699"/>
      <c r="C43" s="699"/>
      <c r="D43" s="699"/>
      <c r="E43" s="699"/>
      <c r="F43" s="699"/>
      <c r="H43" s="20" t="s">
        <v>1682</v>
      </c>
      <c r="R43" s="428"/>
      <c r="S43" s="428"/>
      <c r="T43" s="428"/>
      <c r="U43" s="428"/>
      <c r="V43" s="428"/>
      <c r="W43" s="428"/>
      <c r="X43" s="428"/>
      <c r="Y43" s="428"/>
      <c r="Z43" s="428"/>
      <c r="AA43" s="428"/>
    </row>
    <row r="44" spans="1:27" ht="15" customHeight="1" x14ac:dyDescent="0.25">
      <c r="B44" s="699"/>
      <c r="C44" s="699"/>
      <c r="D44" s="699"/>
      <c r="E44" s="699"/>
      <c r="F44" s="699"/>
      <c r="H44" s="92" t="s">
        <v>485</v>
      </c>
      <c r="I44" s="107" t="s">
        <v>1578</v>
      </c>
      <c r="J44" s="107" t="s">
        <v>1579</v>
      </c>
      <c r="K44" s="107" t="s">
        <v>1594</v>
      </c>
      <c r="L44" s="107" t="s">
        <v>1596</v>
      </c>
      <c r="R44" s="428"/>
      <c r="S44" s="428"/>
      <c r="T44" s="428"/>
      <c r="U44" s="428"/>
      <c r="V44" s="428"/>
      <c r="W44" s="428"/>
      <c r="X44" s="428"/>
      <c r="Y44" s="428"/>
      <c r="Z44" s="428"/>
      <c r="AA44" s="428"/>
    </row>
    <row r="45" spans="1:27" x14ac:dyDescent="0.25">
      <c r="B45" s="110"/>
      <c r="C45" s="110"/>
      <c r="D45" s="110"/>
      <c r="E45" s="110"/>
      <c r="F45" s="110"/>
      <c r="H45" s="162" t="str">
        <f>H36</f>
        <v xml:space="preserve">PCN 05T2 (I-90 EB) </v>
      </c>
      <c r="I45" s="480">
        <f>J36</f>
        <v>9000</v>
      </c>
      <c r="J45" s="480">
        <f>K36</f>
        <v>13530.545312970942</v>
      </c>
      <c r="K45" s="440">
        <f>L36</f>
        <v>7828.618353756714</v>
      </c>
      <c r="L45" s="480">
        <f>M36</f>
        <v>11769.497263717911</v>
      </c>
      <c r="R45" s="428"/>
      <c r="S45" s="428"/>
      <c r="T45" s="428"/>
      <c r="U45" s="428"/>
      <c r="V45" s="428"/>
      <c r="W45" s="428"/>
      <c r="X45" s="428"/>
      <c r="Y45" s="428"/>
      <c r="Z45" s="428"/>
      <c r="AA45" s="428"/>
    </row>
    <row r="46" spans="1:27" ht="15" customHeight="1" x14ac:dyDescent="0.25">
      <c r="A46" s="88" t="s">
        <v>15</v>
      </c>
      <c r="B46" s="698" t="s">
        <v>1681</v>
      </c>
      <c r="C46" s="698"/>
      <c r="D46" s="698"/>
      <c r="E46" s="698"/>
      <c r="F46" s="698"/>
      <c r="H46" s="162" t="str">
        <f>H38</f>
        <v xml:space="preserve">PCN 05HQ (I-90 WB) </v>
      </c>
      <c r="I46" s="480">
        <f>J38</f>
        <v>9000</v>
      </c>
      <c r="J46" s="480">
        <f>K38</f>
        <v>13530.545312970942</v>
      </c>
      <c r="K46" s="440">
        <f>L38</f>
        <v>7394.5800383847763</v>
      </c>
      <c r="L46" s="480">
        <f>M38</f>
        <v>11116.966697750624</v>
      </c>
      <c r="R46" s="428"/>
      <c r="S46" s="428"/>
      <c r="T46" s="428"/>
      <c r="U46" s="428"/>
      <c r="V46" s="428"/>
      <c r="W46" s="428"/>
      <c r="X46" s="428"/>
      <c r="Y46" s="428"/>
      <c r="Z46" s="428"/>
      <c r="AA46" s="428"/>
    </row>
    <row r="47" spans="1:27" x14ac:dyDescent="0.25">
      <c r="A47" s="88"/>
      <c r="B47" s="698"/>
      <c r="C47" s="698"/>
      <c r="D47" s="698"/>
      <c r="E47" s="698"/>
      <c r="F47" s="698"/>
      <c r="H47" s="162" t="str">
        <f>H40</f>
        <v xml:space="preserve">PCN 05T3 (I-90 WB) </v>
      </c>
      <c r="I47" s="480">
        <f>J40</f>
        <v>758300</v>
      </c>
      <c r="J47" s="480">
        <f>K40</f>
        <v>1140023.6123139849</v>
      </c>
      <c r="K47" s="440">
        <f>L40</f>
        <v>613090.79910183116</v>
      </c>
      <c r="L47" s="480">
        <f>M40</f>
        <v>921716.98202365451</v>
      </c>
      <c r="R47" s="428"/>
      <c r="S47" s="428"/>
      <c r="T47" s="428"/>
      <c r="U47" s="428"/>
      <c r="V47" s="428"/>
      <c r="W47" s="428"/>
      <c r="X47" s="428"/>
      <c r="Y47" s="428"/>
      <c r="Z47" s="428"/>
      <c r="AA47" s="428"/>
    </row>
    <row r="48" spans="1:27" x14ac:dyDescent="0.25">
      <c r="B48" s="698"/>
      <c r="C48" s="698"/>
      <c r="D48" s="698"/>
      <c r="E48" s="698"/>
      <c r="F48" s="698"/>
      <c r="R48" s="428"/>
      <c r="S48" s="428"/>
      <c r="T48" s="428"/>
      <c r="U48" s="428"/>
      <c r="V48" s="428"/>
      <c r="W48" s="428"/>
      <c r="X48" s="428"/>
      <c r="Y48" s="428"/>
      <c r="Z48" s="428"/>
      <c r="AA48" s="428"/>
    </row>
    <row r="49" spans="1:27" x14ac:dyDescent="0.25">
      <c r="B49" s="698"/>
      <c r="C49" s="698"/>
      <c r="D49" s="698"/>
      <c r="E49" s="698"/>
      <c r="F49" s="698"/>
      <c r="H49" s="20" t="s">
        <v>1683</v>
      </c>
      <c r="I49" s="22"/>
      <c r="J49" s="22"/>
      <c r="K49" s="22"/>
      <c r="L49" s="22"/>
      <c r="R49" s="428"/>
      <c r="S49" s="428"/>
      <c r="T49" s="428"/>
      <c r="U49" s="428"/>
      <c r="V49" s="428"/>
      <c r="W49" s="428"/>
      <c r="X49" s="428"/>
      <c r="Y49" s="428"/>
      <c r="Z49" s="428"/>
      <c r="AA49" s="428"/>
    </row>
    <row r="50" spans="1:27" x14ac:dyDescent="0.25">
      <c r="A50" s="88"/>
      <c r="B50" s="698"/>
      <c r="C50" s="698"/>
      <c r="D50" s="698"/>
      <c r="E50" s="698"/>
      <c r="F50" s="698"/>
      <c r="H50" s="92" t="s">
        <v>485</v>
      </c>
      <c r="I50" s="534" t="s">
        <v>1578</v>
      </c>
      <c r="J50" s="534" t="s">
        <v>1579</v>
      </c>
      <c r="K50" s="534" t="s">
        <v>1594</v>
      </c>
      <c r="L50" s="534" t="s">
        <v>1596</v>
      </c>
      <c r="R50" s="428"/>
      <c r="S50" s="428"/>
      <c r="T50" s="428"/>
      <c r="U50" s="428"/>
      <c r="V50" s="428"/>
      <c r="W50" s="428"/>
      <c r="X50" s="428"/>
      <c r="Y50" s="428"/>
      <c r="Z50" s="428"/>
      <c r="AA50" s="428"/>
    </row>
    <row r="51" spans="1:27" x14ac:dyDescent="0.25">
      <c r="B51" s="20"/>
      <c r="C51" s="20"/>
      <c r="D51" s="20"/>
      <c r="E51" s="20"/>
      <c r="F51" s="20"/>
      <c r="H51" s="162" t="s">
        <v>204</v>
      </c>
      <c r="I51" s="480">
        <f>SUMPRODUCT($I$7:$M$7,$J$28:$N$28)+SUMPRODUCT($I$7:$M$7,$J$27:$N$27)</f>
        <v>9000</v>
      </c>
      <c r="J51" s="480">
        <f>I51*$J$11/$I$11</f>
        <v>13530.545312970942</v>
      </c>
      <c r="K51" s="440">
        <f>SUMPRODUCT($I$7:$M$7,$J$28:$N$28)*J17+SUMPRODUCT($I$7:$M$7,$J$27:$N$27)*J18</f>
        <v>7828.618353756714</v>
      </c>
      <c r="L51" s="480">
        <f>K51*$J$11/$I$11</f>
        <v>11769.497263717911</v>
      </c>
      <c r="R51" s="428"/>
      <c r="S51" s="428"/>
      <c r="T51" s="428"/>
      <c r="U51" s="428"/>
      <c r="V51" s="428"/>
      <c r="W51" s="428"/>
      <c r="X51" s="428"/>
      <c r="Y51" s="428"/>
      <c r="Z51" s="428"/>
      <c r="AA51" s="428"/>
    </row>
    <row r="52" spans="1:27" x14ac:dyDescent="0.25">
      <c r="B52" s="109"/>
      <c r="C52" s="426"/>
      <c r="D52" s="426"/>
      <c r="E52" s="426"/>
      <c r="F52" s="426"/>
      <c r="G52" s="428"/>
      <c r="H52" s="146" t="s">
        <v>1665</v>
      </c>
      <c r="I52" s="480">
        <f>SUMPRODUCT($I$7:$M$7,$J$31:$N$31)</f>
        <v>534800</v>
      </c>
      <c r="J52" s="480">
        <f>I52*$J$11/$I$11</f>
        <v>804015.07037520653</v>
      </c>
      <c r="K52" s="440">
        <f>SUMPRODUCT($I$7:$M$7,$J$31:$N$31)*J21</f>
        <v>428188.406050044</v>
      </c>
      <c r="L52" s="480">
        <f>K52*$J$11/$I$11</f>
        <v>643735.84783876897</v>
      </c>
      <c r="M52" s="428"/>
      <c r="N52" s="428"/>
      <c r="O52" s="428"/>
      <c r="P52" s="428"/>
      <c r="Q52" s="428"/>
      <c r="R52" s="428"/>
      <c r="S52" s="428"/>
      <c r="T52" s="428"/>
      <c r="U52" s="428"/>
      <c r="V52" s="428"/>
      <c r="W52" s="428"/>
      <c r="X52" s="428"/>
      <c r="Y52" s="428"/>
      <c r="Z52" s="428"/>
      <c r="AA52" s="428"/>
    </row>
    <row r="53" spans="1:27" x14ac:dyDescent="0.25">
      <c r="A53" s="88"/>
      <c r="B53" s="426"/>
      <c r="C53" s="426"/>
      <c r="D53" s="426"/>
      <c r="E53" s="426"/>
      <c r="F53" s="426"/>
      <c r="G53" s="428"/>
      <c r="H53" s="22" t="s">
        <v>1666</v>
      </c>
      <c r="M53" s="428"/>
      <c r="N53" s="428"/>
      <c r="O53" s="428"/>
      <c r="P53" s="428"/>
      <c r="Q53" s="428"/>
      <c r="R53" s="428"/>
      <c r="S53" s="428"/>
      <c r="T53" s="428"/>
      <c r="U53" s="428"/>
      <c r="V53" s="428"/>
      <c r="W53" s="428"/>
      <c r="X53" s="428"/>
      <c r="Y53" s="428"/>
      <c r="Z53" s="428"/>
      <c r="AA53" s="428"/>
    </row>
    <row r="54" spans="1:27" x14ac:dyDescent="0.25">
      <c r="B54" s="70"/>
      <c r="C54" s="70"/>
      <c r="D54" s="70"/>
      <c r="E54" s="70"/>
      <c r="F54" s="70"/>
      <c r="G54" s="428"/>
      <c r="H54" s="428"/>
      <c r="I54" s="428"/>
      <c r="M54" s="428"/>
      <c r="N54" s="428"/>
      <c r="O54" s="428"/>
      <c r="P54" s="428"/>
      <c r="Q54" s="428"/>
      <c r="R54" s="428"/>
      <c r="S54" s="428"/>
      <c r="T54" s="428"/>
      <c r="U54" s="428"/>
      <c r="V54" s="428"/>
      <c r="W54" s="428"/>
      <c r="X54" s="428"/>
      <c r="Y54" s="428"/>
      <c r="Z54" s="428"/>
      <c r="AA54" s="428"/>
    </row>
    <row r="55" spans="1:27" x14ac:dyDescent="0.25">
      <c r="B55" s="426"/>
      <c r="C55" s="426"/>
      <c r="D55" s="426"/>
      <c r="E55" s="426"/>
      <c r="F55" s="426"/>
      <c r="G55" s="428"/>
      <c r="H55" s="428"/>
      <c r="I55" s="428"/>
      <c r="J55" s="428"/>
      <c r="K55" s="428"/>
      <c r="L55" s="428"/>
      <c r="M55" s="428"/>
      <c r="N55" s="428"/>
      <c r="O55" s="428"/>
      <c r="P55" s="428"/>
      <c r="Q55" s="428"/>
      <c r="R55" s="428"/>
      <c r="S55" s="428"/>
      <c r="T55" s="428"/>
      <c r="U55" s="428"/>
      <c r="V55" s="428"/>
      <c r="W55" s="428"/>
      <c r="X55" s="428"/>
      <c r="Y55" s="428"/>
      <c r="Z55" s="428"/>
      <c r="AA55" s="428"/>
    </row>
    <row r="56" spans="1:27" x14ac:dyDescent="0.25">
      <c r="B56" s="426"/>
      <c r="C56" s="426"/>
      <c r="D56" s="426"/>
      <c r="E56" s="426"/>
      <c r="F56" s="426"/>
      <c r="G56" s="428"/>
      <c r="H56" s="428"/>
      <c r="I56" s="428"/>
      <c r="J56" s="428"/>
      <c r="K56" s="428"/>
      <c r="L56" s="428"/>
      <c r="M56" s="428"/>
      <c r="N56" s="428"/>
      <c r="O56" s="428"/>
      <c r="P56" s="428"/>
      <c r="Q56" s="428"/>
      <c r="R56" s="428"/>
      <c r="S56" s="428"/>
      <c r="T56" s="428"/>
      <c r="U56" s="428"/>
      <c r="V56" s="428"/>
      <c r="W56" s="428"/>
      <c r="X56" s="428"/>
      <c r="Y56" s="428"/>
      <c r="Z56" s="428"/>
      <c r="AA56" s="428"/>
    </row>
    <row r="57" spans="1:27" x14ac:dyDescent="0.25">
      <c r="B57" s="70"/>
      <c r="C57" s="70"/>
      <c r="D57" s="70"/>
      <c r="E57" s="70"/>
      <c r="F57" s="70"/>
      <c r="G57" s="428"/>
      <c r="H57" s="428"/>
      <c r="I57" s="428"/>
      <c r="J57" s="428"/>
      <c r="K57" s="428"/>
      <c r="L57" s="428"/>
      <c r="M57" s="428"/>
      <c r="N57" s="428"/>
      <c r="O57" s="428"/>
      <c r="P57" s="428"/>
      <c r="Q57" s="428"/>
    </row>
    <row r="58" spans="1:27" x14ac:dyDescent="0.25">
      <c r="B58" s="427"/>
      <c r="C58" s="427"/>
      <c r="D58" s="427"/>
      <c r="E58" s="427"/>
      <c r="F58" s="427"/>
      <c r="G58" s="428"/>
      <c r="H58" s="428"/>
      <c r="I58" s="428"/>
      <c r="J58" s="428"/>
      <c r="K58" s="428"/>
      <c r="L58" s="428"/>
      <c r="M58" s="428"/>
      <c r="N58" s="428"/>
      <c r="O58" s="428"/>
      <c r="P58" s="428"/>
      <c r="Q58" s="428"/>
    </row>
    <row r="59" spans="1:27" x14ac:dyDescent="0.25">
      <c r="B59" s="427"/>
      <c r="C59" s="427"/>
      <c r="D59" s="427"/>
      <c r="E59" s="427"/>
      <c r="F59" s="427"/>
      <c r="G59" s="428"/>
      <c r="H59" s="428"/>
      <c r="I59" s="428"/>
      <c r="J59" s="428"/>
      <c r="K59" s="428"/>
      <c r="L59" s="428"/>
      <c r="M59" s="428"/>
      <c r="N59" s="428"/>
      <c r="O59" s="428"/>
      <c r="P59" s="428"/>
      <c r="Q59" s="428"/>
    </row>
    <row r="60" spans="1:27" x14ac:dyDescent="0.25">
      <c r="B60" s="427"/>
      <c r="C60" s="427"/>
      <c r="D60" s="427"/>
      <c r="E60" s="427"/>
      <c r="F60" s="427"/>
      <c r="G60" s="428"/>
      <c r="H60" s="428"/>
      <c r="I60" s="428"/>
      <c r="J60" s="428"/>
      <c r="K60" s="428"/>
      <c r="L60" s="428"/>
      <c r="M60" s="428"/>
      <c r="N60" s="428"/>
      <c r="O60" s="428"/>
      <c r="P60" s="428"/>
      <c r="Q60" s="428"/>
    </row>
    <row r="61" spans="1:27" x14ac:dyDescent="0.25">
      <c r="B61" s="110"/>
      <c r="C61" s="110"/>
      <c r="D61" s="110"/>
      <c r="E61" s="110"/>
      <c r="F61" s="110"/>
      <c r="G61" s="428"/>
      <c r="H61" s="428"/>
      <c r="I61" s="428"/>
      <c r="J61" s="428"/>
      <c r="K61" s="428"/>
      <c r="L61" s="428"/>
      <c r="M61" s="428"/>
      <c r="N61" s="428"/>
      <c r="O61" s="428"/>
      <c r="P61" s="428"/>
      <c r="Q61" s="428"/>
    </row>
    <row r="62" spans="1:27" x14ac:dyDescent="0.25">
      <c r="G62" s="428"/>
      <c r="H62" s="428"/>
      <c r="I62" s="428"/>
      <c r="J62" s="428"/>
      <c r="K62" s="428"/>
      <c r="L62" s="428"/>
      <c r="M62" s="428"/>
      <c r="N62" s="428"/>
      <c r="O62" s="428"/>
      <c r="P62" s="428"/>
      <c r="Q62" s="428"/>
    </row>
    <row r="63" spans="1:27" x14ac:dyDescent="0.25">
      <c r="G63" s="428"/>
      <c r="H63" s="428"/>
      <c r="I63" s="428"/>
      <c r="J63" s="428"/>
      <c r="K63" s="428"/>
      <c r="L63" s="428"/>
      <c r="M63" s="428"/>
      <c r="N63" s="428"/>
      <c r="O63" s="428"/>
      <c r="P63" s="428"/>
      <c r="Q63" s="428"/>
    </row>
    <row r="64" spans="1:27" x14ac:dyDescent="0.25">
      <c r="G64" s="428"/>
      <c r="H64" s="428"/>
      <c r="I64" s="428"/>
      <c r="J64" s="428"/>
      <c r="K64" s="428"/>
      <c r="L64" s="428"/>
      <c r="M64" s="428"/>
      <c r="N64" s="428"/>
      <c r="O64" s="428"/>
      <c r="P64" s="428"/>
      <c r="Q64" s="428"/>
    </row>
    <row r="65" spans="7:17" x14ac:dyDescent="0.25">
      <c r="G65" s="428"/>
      <c r="H65" s="428"/>
      <c r="I65" s="428"/>
      <c r="J65" s="428"/>
      <c r="K65" s="428"/>
      <c r="L65" s="428"/>
      <c r="M65" s="428"/>
      <c r="N65" s="428"/>
      <c r="O65" s="428"/>
      <c r="P65" s="428"/>
      <c r="Q65" s="428"/>
    </row>
    <row r="66" spans="7:17" x14ac:dyDescent="0.25">
      <c r="G66" s="428"/>
      <c r="H66" s="428"/>
      <c r="I66" s="428"/>
      <c r="J66" s="428"/>
      <c r="K66" s="428"/>
      <c r="L66" s="428"/>
      <c r="M66" s="428"/>
      <c r="N66" s="428"/>
      <c r="O66" s="428"/>
      <c r="P66" s="428"/>
      <c r="Q66" s="428"/>
    </row>
    <row r="67" spans="7:17" x14ac:dyDescent="0.25">
      <c r="G67" s="428"/>
      <c r="H67" s="428"/>
      <c r="I67" s="428"/>
      <c r="J67" s="428"/>
      <c r="K67" s="428"/>
      <c r="L67" s="428"/>
      <c r="M67" s="428"/>
      <c r="N67" s="428"/>
      <c r="O67" s="428"/>
      <c r="P67" s="428"/>
      <c r="Q67" s="428"/>
    </row>
    <row r="68" spans="7:17" x14ac:dyDescent="0.25">
      <c r="G68" s="428"/>
      <c r="H68" s="428"/>
      <c r="I68" s="428"/>
      <c r="J68" s="428"/>
      <c r="K68" s="428"/>
      <c r="L68" s="428"/>
      <c r="M68" s="428"/>
      <c r="N68" s="428"/>
      <c r="O68" s="428"/>
      <c r="P68" s="428"/>
      <c r="Q68" s="428"/>
    </row>
    <row r="69" spans="7:17" x14ac:dyDescent="0.25">
      <c r="G69" s="428"/>
      <c r="H69" s="428"/>
      <c r="I69" s="428"/>
      <c r="J69" s="428"/>
      <c r="K69" s="428"/>
      <c r="L69" s="428"/>
      <c r="M69" s="428"/>
      <c r="N69" s="428"/>
      <c r="O69" s="428"/>
      <c r="P69" s="428"/>
      <c r="Q69" s="428"/>
    </row>
    <row r="70" spans="7:17" x14ac:dyDescent="0.25">
      <c r="G70" s="428"/>
      <c r="H70" s="428"/>
      <c r="I70" s="428"/>
      <c r="J70" s="428"/>
      <c r="K70" s="428"/>
      <c r="L70" s="428"/>
      <c r="M70" s="428"/>
      <c r="N70" s="428"/>
      <c r="O70" s="428"/>
      <c r="P70" s="428"/>
      <c r="Q70" s="428"/>
    </row>
    <row r="71" spans="7:17" x14ac:dyDescent="0.25">
      <c r="G71" s="428"/>
      <c r="H71" s="428"/>
      <c r="I71" s="428"/>
      <c r="J71" s="428"/>
      <c r="K71" s="428"/>
      <c r="L71" s="428"/>
      <c r="M71" s="428"/>
      <c r="N71" s="428"/>
      <c r="O71" s="428"/>
      <c r="P71" s="428"/>
      <c r="Q71" s="428"/>
    </row>
    <row r="72" spans="7:17" x14ac:dyDescent="0.25">
      <c r="G72" s="428"/>
      <c r="H72" s="428"/>
      <c r="I72" s="428"/>
      <c r="J72" s="428"/>
      <c r="K72" s="428"/>
      <c r="L72" s="428"/>
      <c r="M72" s="428"/>
      <c r="N72" s="428"/>
      <c r="O72" s="428"/>
      <c r="P72" s="428"/>
      <c r="Q72" s="428"/>
    </row>
    <row r="73" spans="7:17" x14ac:dyDescent="0.25">
      <c r="G73" s="428"/>
      <c r="H73" s="428"/>
      <c r="I73" s="428"/>
      <c r="J73" s="428"/>
      <c r="K73" s="428"/>
      <c r="L73" s="428"/>
      <c r="M73" s="428"/>
      <c r="N73" s="428"/>
      <c r="O73" s="428"/>
      <c r="P73" s="428"/>
      <c r="Q73" s="428"/>
    </row>
    <row r="74" spans="7:17" x14ac:dyDescent="0.25">
      <c r="G74" s="428"/>
      <c r="H74" s="428"/>
      <c r="I74" s="428"/>
      <c r="J74" s="428"/>
      <c r="K74" s="428"/>
      <c r="L74" s="428"/>
      <c r="M74" s="428"/>
      <c r="N74" s="428"/>
      <c r="O74" s="428"/>
      <c r="P74" s="428"/>
      <c r="Q74" s="428"/>
    </row>
    <row r="75" spans="7:17" x14ac:dyDescent="0.25">
      <c r="G75" s="428"/>
      <c r="H75" s="428"/>
      <c r="I75" s="428"/>
      <c r="J75" s="428"/>
      <c r="K75" s="428"/>
      <c r="L75" s="428"/>
      <c r="M75" s="428"/>
      <c r="N75" s="428"/>
      <c r="O75" s="428"/>
      <c r="P75" s="428"/>
      <c r="Q75" s="428"/>
    </row>
  </sheetData>
  <mergeCells count="26">
    <mergeCell ref="G4:G5"/>
    <mergeCell ref="H12:I12"/>
    <mergeCell ref="H36:H37"/>
    <mergeCell ref="H38:H39"/>
    <mergeCell ref="B40:F44"/>
    <mergeCell ref="B4:B5"/>
    <mergeCell ref="C4:C5"/>
    <mergeCell ref="D4:D5"/>
    <mergeCell ref="E4:E5"/>
    <mergeCell ref="F4:F5"/>
    <mergeCell ref="B28:F32"/>
    <mergeCell ref="B34:F38"/>
    <mergeCell ref="J36:J37"/>
    <mergeCell ref="J38:J39"/>
    <mergeCell ref="J40:J41"/>
    <mergeCell ref="B46:F50"/>
    <mergeCell ref="M36:M37"/>
    <mergeCell ref="M38:M39"/>
    <mergeCell ref="M40:M41"/>
    <mergeCell ref="H40:H41"/>
    <mergeCell ref="K36:K37"/>
    <mergeCell ref="L36:L37"/>
    <mergeCell ref="L38:L39"/>
    <mergeCell ref="L40:L41"/>
    <mergeCell ref="K38:K39"/>
    <mergeCell ref="K40:K41"/>
  </mergeCells>
  <pageMargins left="0.25" right="0.25" top="0.75" bottom="0.75" header="0.3" footer="0.3"/>
  <pageSetup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49826-1E30-4120-81B4-A53082CDB784}">
  <sheetPr>
    <tabColor rgb="FF00B050"/>
    <pageSetUpPr fitToPage="1"/>
  </sheetPr>
  <dimension ref="A1:X54"/>
  <sheetViews>
    <sheetView view="pageBreakPreview" zoomScale="70" zoomScaleNormal="70" zoomScaleSheetLayoutView="70" workbookViewId="0">
      <selection activeCell="K43" sqref="K43"/>
    </sheetView>
  </sheetViews>
  <sheetFormatPr defaultRowHeight="15" x14ac:dyDescent="0.25"/>
  <cols>
    <col min="1" max="1" width="3.7109375" style="379" customWidth="1"/>
    <col min="2" max="8" width="20.7109375" style="379" customWidth="1"/>
    <col min="9" max="10" width="5.7109375" style="379" customWidth="1"/>
    <col min="11" max="11" width="35.42578125" style="379" customWidth="1"/>
    <col min="12" max="12" width="31.7109375" style="379" bestFit="1" customWidth="1"/>
    <col min="13" max="13" width="31.7109375" style="25" customWidth="1"/>
    <col min="14" max="14" width="25" style="379" customWidth="1"/>
    <col min="15" max="15" width="12.85546875" style="379" customWidth="1"/>
    <col min="16" max="16" width="16.7109375" style="379" bestFit="1" customWidth="1"/>
    <col min="17" max="17" width="29.28515625" style="379" bestFit="1" customWidth="1"/>
    <col min="18" max="18" width="34.140625" style="379" bestFit="1" customWidth="1"/>
    <col min="19" max="19" width="29.28515625" style="379" customWidth="1"/>
    <col min="20" max="20" width="29" style="379" customWidth="1"/>
    <col min="21" max="22" width="37" style="379" bestFit="1" customWidth="1"/>
    <col min="23" max="23" width="36.28515625" style="379" bestFit="1" customWidth="1"/>
    <col min="24" max="24" width="24.85546875" style="379" bestFit="1" customWidth="1"/>
    <col min="25" max="25" width="10.42578125" style="379" bestFit="1" customWidth="1"/>
    <col min="26" max="16384" width="9.140625" style="379"/>
  </cols>
  <sheetData>
    <row r="1" spans="1:24" x14ac:dyDescent="0.25">
      <c r="A1" s="19"/>
      <c r="B1" s="380">
        <v>1</v>
      </c>
      <c r="C1" s="380">
        <v>2</v>
      </c>
      <c r="D1" s="380">
        <v>3</v>
      </c>
      <c r="E1" s="380">
        <v>4</v>
      </c>
      <c r="F1" s="380">
        <v>5</v>
      </c>
      <c r="G1" s="380">
        <v>6</v>
      </c>
      <c r="H1" s="380">
        <v>7</v>
      </c>
      <c r="K1" s="19"/>
      <c r="L1" s="19"/>
      <c r="M1" s="22"/>
    </row>
    <row r="2" spans="1:24" x14ac:dyDescent="0.25">
      <c r="B2" s="6" t="s">
        <v>1532</v>
      </c>
      <c r="K2" s="19"/>
      <c r="L2" s="19"/>
      <c r="M2" s="22"/>
    </row>
    <row r="3" spans="1:24" ht="15.75" thickBot="1" x14ac:dyDescent="0.3">
      <c r="K3" s="90"/>
      <c r="L3" s="19"/>
      <c r="M3" s="22"/>
    </row>
    <row r="4" spans="1:24" ht="35.1" customHeight="1" x14ac:dyDescent="0.25">
      <c r="B4" s="715" t="s">
        <v>0</v>
      </c>
      <c r="C4" s="715" t="s">
        <v>91</v>
      </c>
      <c r="D4" s="718" t="s">
        <v>92</v>
      </c>
      <c r="E4" s="715" t="s">
        <v>36</v>
      </c>
      <c r="F4" s="715" t="s">
        <v>37</v>
      </c>
      <c r="G4" s="713" t="s">
        <v>43</v>
      </c>
      <c r="H4" s="721" t="s">
        <v>1</v>
      </c>
      <c r="K4" s="90"/>
      <c r="L4" s="19"/>
      <c r="M4" s="22"/>
      <c r="N4" s="25"/>
    </row>
    <row r="5" spans="1:24" ht="43.5" customHeight="1" thickBot="1" x14ac:dyDescent="0.3">
      <c r="B5" s="716"/>
      <c r="C5" s="717"/>
      <c r="D5" s="719"/>
      <c r="E5" s="716"/>
      <c r="F5" s="716"/>
      <c r="G5" s="714"/>
      <c r="H5" s="722"/>
      <c r="K5" s="712" t="s">
        <v>1574</v>
      </c>
      <c r="L5" s="712"/>
      <c r="M5" s="27"/>
      <c r="N5" s="37"/>
      <c r="P5" s="11"/>
      <c r="Q5" s="11"/>
      <c r="R5" s="11"/>
      <c r="S5" s="11"/>
      <c r="T5" s="11"/>
    </row>
    <row r="6" spans="1:24" x14ac:dyDescent="0.25">
      <c r="B6" s="399">
        <v>2022</v>
      </c>
      <c r="C6" s="407">
        <f>TREND(P22:P23,N22:N23,B6)</f>
        <v>37203.508298189379</v>
      </c>
      <c r="D6" s="408">
        <f>TREND(O22:O23,N22:N23,B6)</f>
        <v>45788.933290079469</v>
      </c>
      <c r="E6" s="411">
        <f t="shared" ref="E6:E25" si="0">C6*$L$18</f>
        <v>1118785.4566497977</v>
      </c>
      <c r="F6" s="411">
        <f t="shared" ref="F6:F25" si="1">D6*$L$18</f>
        <v>1376966.715876681</v>
      </c>
      <c r="G6" s="412">
        <f>(E6-F6)</f>
        <v>-258181.2592268833</v>
      </c>
      <c r="H6" s="411">
        <f>G6*(1+0.07)^-(B6-Assumptions!$D$4)</f>
        <v>-210752.81375991149</v>
      </c>
      <c r="I6" s="19"/>
      <c r="K6" s="94" t="s">
        <v>88</v>
      </c>
      <c r="L6" s="381">
        <f>Assumptions!D21</f>
        <v>17.899999999999999</v>
      </c>
      <c r="M6" s="402"/>
      <c r="P6" s="11"/>
      <c r="Q6" s="11"/>
      <c r="R6" s="11"/>
      <c r="S6" s="11"/>
      <c r="T6" s="11"/>
      <c r="W6" s="428"/>
      <c r="X6" s="428"/>
    </row>
    <row r="7" spans="1:24" x14ac:dyDescent="0.25">
      <c r="B7" s="84">
        <f>B6+1</f>
        <v>2023</v>
      </c>
      <c r="C7" s="395">
        <f>TREND(P24:P25,N24:N25,B7)</f>
        <v>33227.717196488753</v>
      </c>
      <c r="D7" s="396">
        <f>TREND(O24:O25,N24:N25,B7)</f>
        <v>40895.651934140129</v>
      </c>
      <c r="E7" s="413">
        <f t="shared" si="0"/>
        <v>999225.30045138835</v>
      </c>
      <c r="F7" s="413">
        <f t="shared" si="1"/>
        <v>1229815.7544017124</v>
      </c>
      <c r="G7" s="414">
        <f t="shared" ref="G7:G25" si="2">(E7-F7)</f>
        <v>-230590.4539503241</v>
      </c>
      <c r="H7" s="413">
        <f>G7*(1+0.07)^-(B7-Assumptions!$D$4)</f>
        <v>-175916.3532625676</v>
      </c>
      <c r="I7" s="19"/>
      <c r="K7" s="94" t="s">
        <v>38</v>
      </c>
      <c r="L7" s="96">
        <f>Assumptions!D22</f>
        <v>30.8</v>
      </c>
      <c r="M7" s="91"/>
      <c r="P7" s="11"/>
      <c r="Q7" s="11"/>
      <c r="R7" s="11"/>
      <c r="S7" s="11"/>
      <c r="T7" s="11"/>
      <c r="W7" s="428"/>
      <c r="X7" s="428"/>
    </row>
    <row r="8" spans="1:24" x14ac:dyDescent="0.25">
      <c r="B8" s="84">
        <f t="shared" ref="B8:B25" si="3">B7+1</f>
        <v>2024</v>
      </c>
      <c r="C8" s="395">
        <f>TREND(P26:P27,N26:N27,B8)</f>
        <v>41577.839047045214</v>
      </c>
      <c r="D8" s="396">
        <f>TREND(O26:O27,N26:N27,B8)</f>
        <v>51172.724980979227</v>
      </c>
      <c r="E8" s="413">
        <f t="shared" si="0"/>
        <v>1250330.5137764155</v>
      </c>
      <c r="F8" s="413">
        <f t="shared" si="1"/>
        <v>1538868.3246479111</v>
      </c>
      <c r="G8" s="414">
        <f t="shared" si="2"/>
        <v>-288537.81087149563</v>
      </c>
      <c r="H8" s="413">
        <f>G8*(1+0.07)^-(B8-Assumptions!$D$4)</f>
        <v>-205723.47140984895</v>
      </c>
      <c r="J8" s="89"/>
      <c r="K8" s="74"/>
      <c r="L8" s="91"/>
      <c r="M8" s="91"/>
      <c r="P8" s="11"/>
      <c r="Q8" s="11"/>
      <c r="R8" s="11"/>
      <c r="S8" s="11"/>
      <c r="T8" s="11"/>
      <c r="W8" s="428"/>
      <c r="X8" s="428"/>
    </row>
    <row r="9" spans="1:24" ht="14.25" customHeight="1" x14ac:dyDescent="0.25">
      <c r="B9" s="84">
        <f t="shared" si="3"/>
        <v>2025</v>
      </c>
      <c r="C9" s="395">
        <f t="shared" ref="C9:C25" si="4">IFERROR(VLOOKUP(B9,$P$6:$X$9,4,FALSE),0)</f>
        <v>0</v>
      </c>
      <c r="D9" s="396">
        <f t="shared" ref="D9:D25" si="5">IFERROR(VLOOKUP(B9,$P$6:$X$9,5,FALSE),0)</f>
        <v>0</v>
      </c>
      <c r="E9" s="413">
        <f t="shared" si="0"/>
        <v>0</v>
      </c>
      <c r="F9" s="413">
        <f t="shared" si="1"/>
        <v>0</v>
      </c>
      <c r="G9" s="414">
        <f t="shared" si="2"/>
        <v>0</v>
      </c>
      <c r="H9" s="413">
        <f>G9*(1+0.07)^-(B9-Assumptions!$D$4)</f>
        <v>0</v>
      </c>
      <c r="K9" s="712" t="s">
        <v>32</v>
      </c>
      <c r="L9" s="712"/>
      <c r="M9" s="27"/>
      <c r="P9" s="11"/>
      <c r="Q9" s="11"/>
      <c r="R9" s="11"/>
      <c r="S9" s="11"/>
      <c r="T9" s="11"/>
      <c r="W9" s="428"/>
      <c r="X9" s="428"/>
    </row>
    <row r="10" spans="1:24" x14ac:dyDescent="0.25">
      <c r="B10" s="84">
        <f t="shared" si="3"/>
        <v>2026</v>
      </c>
      <c r="C10" s="395">
        <f t="shared" si="4"/>
        <v>0</v>
      </c>
      <c r="D10" s="396">
        <f t="shared" si="5"/>
        <v>0</v>
      </c>
      <c r="E10" s="413">
        <f t="shared" si="0"/>
        <v>0</v>
      </c>
      <c r="F10" s="413">
        <f t="shared" si="1"/>
        <v>0</v>
      </c>
      <c r="G10" s="414">
        <f t="shared" si="2"/>
        <v>0</v>
      </c>
      <c r="H10" s="413">
        <f>G10*(1+0.07)^-(B10-Assumptions!$D$4)</f>
        <v>0</v>
      </c>
      <c r="K10" s="94" t="s">
        <v>33</v>
      </c>
      <c r="L10" s="93">
        <f>1-L11</f>
        <v>0.80259999999999998</v>
      </c>
      <c r="M10" s="400"/>
      <c r="N10" s="22"/>
      <c r="P10" s="11"/>
      <c r="Q10" s="11"/>
      <c r="R10" s="11"/>
      <c r="S10" s="11"/>
      <c r="T10" s="11"/>
      <c r="W10" s="428"/>
      <c r="X10" s="428"/>
    </row>
    <row r="11" spans="1:24" x14ac:dyDescent="0.25">
      <c r="B11" s="84">
        <f t="shared" si="3"/>
        <v>2027</v>
      </c>
      <c r="C11" s="395">
        <f t="shared" si="4"/>
        <v>0</v>
      </c>
      <c r="D11" s="396">
        <f t="shared" si="5"/>
        <v>0</v>
      </c>
      <c r="E11" s="413">
        <f t="shared" si="0"/>
        <v>0</v>
      </c>
      <c r="F11" s="413">
        <f t="shared" si="1"/>
        <v>0</v>
      </c>
      <c r="G11" s="414">
        <f t="shared" si="2"/>
        <v>0</v>
      </c>
      <c r="H11" s="413">
        <f>G11*(1+0.07)^-(B11-Assumptions!$D$4)</f>
        <v>0</v>
      </c>
      <c r="K11" s="94" t="s">
        <v>34</v>
      </c>
      <c r="L11" s="93">
        <f>Assumptions!D15</f>
        <v>0.19739999999999999</v>
      </c>
      <c r="M11" s="400"/>
      <c r="N11" s="74"/>
      <c r="P11" s="11"/>
      <c r="Q11" s="11"/>
      <c r="R11" s="11"/>
      <c r="S11" s="11"/>
      <c r="T11" s="11"/>
      <c r="U11" s="428"/>
      <c r="V11" s="428"/>
      <c r="W11" s="428"/>
      <c r="X11" s="428"/>
    </row>
    <row r="12" spans="1:24" x14ac:dyDescent="0.25">
      <c r="B12" s="84">
        <f t="shared" si="3"/>
        <v>2028</v>
      </c>
      <c r="C12" s="403">
        <f t="shared" si="4"/>
        <v>0</v>
      </c>
      <c r="D12" s="403">
        <f t="shared" si="5"/>
        <v>0</v>
      </c>
      <c r="E12" s="405">
        <f t="shared" si="0"/>
        <v>0</v>
      </c>
      <c r="F12" s="405">
        <f t="shared" si="1"/>
        <v>0</v>
      </c>
      <c r="G12" s="405">
        <f t="shared" si="2"/>
        <v>0</v>
      </c>
      <c r="H12" s="405">
        <f>G12*(1+0.07)^-(B12-Assumptions!$D$4)</f>
        <v>0</v>
      </c>
      <c r="K12" s="74"/>
      <c r="L12" s="77"/>
      <c r="M12" s="77"/>
      <c r="N12" s="22"/>
      <c r="P12" s="11"/>
      <c r="Q12" s="11"/>
      <c r="R12" s="11"/>
      <c r="S12" s="11"/>
      <c r="T12" s="11"/>
      <c r="U12" s="428"/>
      <c r="V12" s="428"/>
      <c r="W12" s="428"/>
      <c r="X12" s="428"/>
    </row>
    <row r="13" spans="1:24" ht="15" customHeight="1" x14ac:dyDescent="0.25">
      <c r="B13" s="84">
        <f t="shared" si="3"/>
        <v>2029</v>
      </c>
      <c r="C13" s="403">
        <f t="shared" si="4"/>
        <v>0</v>
      </c>
      <c r="D13" s="403">
        <f t="shared" si="5"/>
        <v>0</v>
      </c>
      <c r="E13" s="405">
        <f t="shared" si="0"/>
        <v>0</v>
      </c>
      <c r="F13" s="405">
        <f t="shared" si="1"/>
        <v>0</v>
      </c>
      <c r="G13" s="405">
        <f t="shared" si="2"/>
        <v>0</v>
      </c>
      <c r="H13" s="405">
        <f>G13*(1+0.07)^-(B13-Assumptions!$D$4)</f>
        <v>0</v>
      </c>
      <c r="K13" s="712" t="s">
        <v>47</v>
      </c>
      <c r="L13" s="712"/>
      <c r="M13" s="27"/>
      <c r="N13" s="22"/>
      <c r="P13" s="11"/>
      <c r="Q13" s="11"/>
      <c r="R13" s="11"/>
      <c r="S13" s="11"/>
      <c r="T13" s="11"/>
      <c r="U13" s="428"/>
      <c r="V13" s="428"/>
      <c r="W13" s="428"/>
      <c r="X13" s="428"/>
    </row>
    <row r="14" spans="1:24" x14ac:dyDescent="0.25">
      <c r="B14" s="84">
        <f t="shared" si="3"/>
        <v>2030</v>
      </c>
      <c r="C14" s="403">
        <f t="shared" si="4"/>
        <v>0</v>
      </c>
      <c r="D14" s="403">
        <f t="shared" si="5"/>
        <v>0</v>
      </c>
      <c r="E14" s="405">
        <f t="shared" si="0"/>
        <v>0</v>
      </c>
      <c r="F14" s="405">
        <f t="shared" si="1"/>
        <v>0</v>
      </c>
      <c r="G14" s="405">
        <f t="shared" si="2"/>
        <v>0</v>
      </c>
      <c r="H14" s="405">
        <f>G14*(1+0.07)^-(B14-Assumptions!$D$4)</f>
        <v>0</v>
      </c>
      <c r="K14" s="94" t="s">
        <v>40</v>
      </c>
      <c r="L14" s="382">
        <v>1.67</v>
      </c>
      <c r="M14" s="401"/>
      <c r="N14" s="78"/>
      <c r="U14" s="428"/>
      <c r="V14" s="428"/>
      <c r="W14" s="428"/>
      <c r="X14" s="428"/>
    </row>
    <row r="15" spans="1:24" x14ac:dyDescent="0.25">
      <c r="B15" s="84">
        <f t="shared" si="3"/>
        <v>2031</v>
      </c>
      <c r="C15" s="403">
        <f t="shared" si="4"/>
        <v>0</v>
      </c>
      <c r="D15" s="403">
        <f t="shared" si="5"/>
        <v>0</v>
      </c>
      <c r="E15" s="405">
        <f t="shared" si="0"/>
        <v>0</v>
      </c>
      <c r="F15" s="405">
        <f t="shared" si="1"/>
        <v>0</v>
      </c>
      <c r="G15" s="405">
        <f t="shared" si="2"/>
        <v>0</v>
      </c>
      <c r="H15" s="405">
        <f>G15*(1+0.07)^-(B15-Assumptions!$D$4)</f>
        <v>0</v>
      </c>
      <c r="K15" s="94" t="s">
        <v>41</v>
      </c>
      <c r="L15" s="382">
        <v>1</v>
      </c>
      <c r="M15" s="401"/>
      <c r="N15" s="22"/>
      <c r="V15" s="428"/>
      <c r="W15" s="428"/>
      <c r="X15" s="428"/>
    </row>
    <row r="16" spans="1:24" x14ac:dyDescent="0.25">
      <c r="B16" s="84">
        <f t="shared" si="3"/>
        <v>2032</v>
      </c>
      <c r="C16" s="403">
        <f t="shared" si="4"/>
        <v>0</v>
      </c>
      <c r="D16" s="403">
        <f t="shared" si="5"/>
        <v>0</v>
      </c>
      <c r="E16" s="405">
        <f t="shared" si="0"/>
        <v>0</v>
      </c>
      <c r="F16" s="405">
        <f t="shared" si="1"/>
        <v>0</v>
      </c>
      <c r="G16" s="405">
        <f t="shared" si="2"/>
        <v>0</v>
      </c>
      <c r="H16" s="405">
        <f>G16*(1+0.07)^-(B16-Assumptions!$D$4)</f>
        <v>0</v>
      </c>
      <c r="K16" s="74"/>
      <c r="L16" s="77"/>
      <c r="M16" s="77"/>
      <c r="N16" s="23"/>
    </row>
    <row r="17" spans="1:21" x14ac:dyDescent="0.25">
      <c r="B17" s="84">
        <f t="shared" si="3"/>
        <v>2033</v>
      </c>
      <c r="C17" s="403">
        <f t="shared" si="4"/>
        <v>0</v>
      </c>
      <c r="D17" s="403">
        <f t="shared" si="5"/>
        <v>0</v>
      </c>
      <c r="E17" s="405">
        <f t="shared" si="0"/>
        <v>0</v>
      </c>
      <c r="F17" s="405">
        <f t="shared" si="1"/>
        <v>0</v>
      </c>
      <c r="G17" s="405">
        <f t="shared" si="2"/>
        <v>0</v>
      </c>
      <c r="H17" s="405">
        <f>G17*(1+0.07)^-(B17-Assumptions!$D$4)</f>
        <v>0</v>
      </c>
      <c r="K17" s="27" t="s">
        <v>42</v>
      </c>
      <c r="L17" s="63"/>
      <c r="M17" s="64"/>
      <c r="N17" s="23"/>
    </row>
    <row r="18" spans="1:21" x14ac:dyDescent="0.25">
      <c r="B18" s="84">
        <f t="shared" si="3"/>
        <v>2034</v>
      </c>
      <c r="C18" s="403">
        <f t="shared" si="4"/>
        <v>0</v>
      </c>
      <c r="D18" s="403">
        <f t="shared" si="5"/>
        <v>0</v>
      </c>
      <c r="E18" s="405">
        <f t="shared" si="0"/>
        <v>0</v>
      </c>
      <c r="F18" s="405">
        <f t="shared" si="1"/>
        <v>0</v>
      </c>
      <c r="G18" s="405">
        <f t="shared" si="2"/>
        <v>0</v>
      </c>
      <c r="H18" s="405">
        <f>G18*(1+0.07)^-(B18-Assumptions!$D$4)</f>
        <v>0</v>
      </c>
      <c r="K18" s="62" t="s">
        <v>39</v>
      </c>
      <c r="L18" s="96">
        <f>L10*L6*L14+L11*L7*L15</f>
        <v>30.072041799999994</v>
      </c>
      <c r="M18" s="91"/>
      <c r="N18" s="75"/>
    </row>
    <row r="19" spans="1:21" x14ac:dyDescent="0.25">
      <c r="B19" s="84">
        <f t="shared" si="3"/>
        <v>2035</v>
      </c>
      <c r="C19" s="403">
        <f t="shared" si="4"/>
        <v>0</v>
      </c>
      <c r="D19" s="403">
        <f t="shared" si="5"/>
        <v>0</v>
      </c>
      <c r="E19" s="405">
        <f t="shared" si="0"/>
        <v>0</v>
      </c>
      <c r="F19" s="405">
        <f t="shared" si="1"/>
        <v>0</v>
      </c>
      <c r="G19" s="405">
        <f t="shared" si="2"/>
        <v>0</v>
      </c>
      <c r="H19" s="405">
        <f>G19*(1+0.07)^-(B19-Assumptions!$D$4)</f>
        <v>0</v>
      </c>
      <c r="K19" s="74"/>
      <c r="L19" s="77"/>
      <c r="M19" s="77"/>
      <c r="N19" s="76"/>
    </row>
    <row r="20" spans="1:21" ht="14.25" customHeight="1" x14ac:dyDescent="0.25">
      <c r="B20" s="84">
        <f t="shared" si="3"/>
        <v>2036</v>
      </c>
      <c r="C20" s="403">
        <f t="shared" si="4"/>
        <v>0</v>
      </c>
      <c r="D20" s="403">
        <f t="shared" si="5"/>
        <v>0</v>
      </c>
      <c r="E20" s="405">
        <f t="shared" si="0"/>
        <v>0</v>
      </c>
      <c r="F20" s="405">
        <f t="shared" si="1"/>
        <v>0</v>
      </c>
      <c r="G20" s="405">
        <f t="shared" si="2"/>
        <v>0</v>
      </c>
      <c r="H20" s="405">
        <f>G20*(1+0.07)^-(B20-Assumptions!$D$4)</f>
        <v>0</v>
      </c>
      <c r="K20" s="20" t="s">
        <v>1575</v>
      </c>
      <c r="L20" s="19"/>
      <c r="M20" s="19"/>
      <c r="N20" s="19"/>
      <c r="O20" s="19"/>
      <c r="P20" s="19"/>
    </row>
    <row r="21" spans="1:21" x14ac:dyDescent="0.25">
      <c r="B21" s="84">
        <f t="shared" si="3"/>
        <v>2037</v>
      </c>
      <c r="C21" s="403">
        <f t="shared" si="4"/>
        <v>0</v>
      </c>
      <c r="D21" s="403">
        <f t="shared" si="5"/>
        <v>0</v>
      </c>
      <c r="E21" s="405">
        <f t="shared" si="0"/>
        <v>0</v>
      </c>
      <c r="F21" s="405">
        <f t="shared" si="1"/>
        <v>0</v>
      </c>
      <c r="G21" s="405">
        <f t="shared" si="2"/>
        <v>0</v>
      </c>
      <c r="H21" s="405">
        <f>G21*(1+0.07)^-(B21-Assumptions!$D$4)</f>
        <v>0</v>
      </c>
      <c r="K21" s="107" t="s">
        <v>485</v>
      </c>
      <c r="L21" s="107" t="s">
        <v>1530</v>
      </c>
      <c r="M21" s="107" t="s">
        <v>1531</v>
      </c>
      <c r="N21" s="532" t="s">
        <v>488</v>
      </c>
      <c r="O21" s="532" t="s">
        <v>1572</v>
      </c>
      <c r="P21" s="532" t="s">
        <v>1573</v>
      </c>
    </row>
    <row r="22" spans="1:21" x14ac:dyDescent="0.25">
      <c r="B22" s="84">
        <f t="shared" si="3"/>
        <v>2038</v>
      </c>
      <c r="C22" s="403">
        <f t="shared" si="4"/>
        <v>0</v>
      </c>
      <c r="D22" s="403">
        <f t="shared" si="5"/>
        <v>0</v>
      </c>
      <c r="E22" s="405">
        <f t="shared" si="0"/>
        <v>0</v>
      </c>
      <c r="F22" s="405">
        <f t="shared" si="1"/>
        <v>0</v>
      </c>
      <c r="G22" s="405">
        <f t="shared" si="2"/>
        <v>0</v>
      </c>
      <c r="H22" s="405">
        <f>G22*(1+0.07)^-(B22-Assumptions!$D$4)</f>
        <v>0</v>
      </c>
      <c r="K22" s="720" t="s">
        <v>205</v>
      </c>
      <c r="L22" s="711">
        <v>2022</v>
      </c>
      <c r="M22" s="711">
        <v>2023</v>
      </c>
      <c r="N22" s="531">
        <v>2020</v>
      </c>
      <c r="O22" s="458">
        <f>'05HQ - Associated Crash Data'!I59</f>
        <v>44125.100787288342</v>
      </c>
      <c r="P22" s="458">
        <f>'05HQ - Associated Crash Data'!G59</f>
        <v>35851.644389671783</v>
      </c>
    </row>
    <row r="23" spans="1:21" x14ac:dyDescent="0.25">
      <c r="B23" s="84">
        <f t="shared" si="3"/>
        <v>2039</v>
      </c>
      <c r="C23" s="403">
        <f t="shared" si="4"/>
        <v>0</v>
      </c>
      <c r="D23" s="403">
        <f t="shared" si="5"/>
        <v>0</v>
      </c>
      <c r="E23" s="405">
        <f t="shared" si="0"/>
        <v>0</v>
      </c>
      <c r="F23" s="405">
        <f t="shared" si="1"/>
        <v>0</v>
      </c>
      <c r="G23" s="405">
        <f t="shared" si="2"/>
        <v>0</v>
      </c>
      <c r="H23" s="405">
        <f>G23*(1+0.07)^-(B23-Assumptions!$D$4)</f>
        <v>0</v>
      </c>
      <c r="K23" s="720"/>
      <c r="L23" s="711"/>
      <c r="M23" s="711"/>
      <c r="N23" s="531">
        <v>2040</v>
      </c>
      <c r="O23" s="458">
        <f>'05HQ - Associated Crash Data'!I60</f>
        <v>60763.425815199014</v>
      </c>
      <c r="P23" s="458">
        <f>'05HQ - Associated Crash Data'!G60</f>
        <v>49370.283474849202</v>
      </c>
    </row>
    <row r="24" spans="1:21" x14ac:dyDescent="0.25">
      <c r="B24" s="84">
        <f t="shared" si="3"/>
        <v>2040</v>
      </c>
      <c r="C24" s="403">
        <f t="shared" si="4"/>
        <v>0</v>
      </c>
      <c r="D24" s="403">
        <f t="shared" si="5"/>
        <v>0</v>
      </c>
      <c r="E24" s="405">
        <f t="shared" si="0"/>
        <v>0</v>
      </c>
      <c r="F24" s="405">
        <f t="shared" si="1"/>
        <v>0</v>
      </c>
      <c r="G24" s="405">
        <f t="shared" si="2"/>
        <v>0</v>
      </c>
      <c r="H24" s="405">
        <f>G24*(1+0.07)^-(B24-Assumptions!$D$4)</f>
        <v>0</v>
      </c>
      <c r="K24" s="720" t="s">
        <v>203</v>
      </c>
      <c r="L24" s="711">
        <v>2023</v>
      </c>
      <c r="M24" s="711">
        <v>2024</v>
      </c>
      <c r="N24" s="531">
        <v>2020</v>
      </c>
      <c r="O24" s="458">
        <f>'05T3 - Associated Crash Data'!I59</f>
        <v>38692.040982588231</v>
      </c>
      <c r="P24" s="458">
        <f>'05T3 - Associated Crash Data'!G59</f>
        <v>31437.283298352937</v>
      </c>
      <c r="R24" s="428"/>
      <c r="S24" s="428"/>
      <c r="T24" s="428"/>
      <c r="U24" s="428"/>
    </row>
    <row r="25" spans="1:21" ht="15" customHeight="1" thickBot="1" x14ac:dyDescent="0.3">
      <c r="B25" s="86">
        <f t="shared" si="3"/>
        <v>2041</v>
      </c>
      <c r="C25" s="404">
        <f t="shared" si="4"/>
        <v>0</v>
      </c>
      <c r="D25" s="404">
        <f t="shared" si="5"/>
        <v>0</v>
      </c>
      <c r="E25" s="406">
        <f t="shared" si="0"/>
        <v>0</v>
      </c>
      <c r="F25" s="406">
        <f t="shared" si="1"/>
        <v>0</v>
      </c>
      <c r="G25" s="406">
        <f t="shared" si="2"/>
        <v>0</v>
      </c>
      <c r="H25" s="406">
        <f>G25*(1+0.07)^-(B25-Assumptions!$D$4)</f>
        <v>0</v>
      </c>
      <c r="K25" s="720"/>
      <c r="L25" s="711"/>
      <c r="M25" s="711"/>
      <c r="N25" s="531">
        <v>2040</v>
      </c>
      <c r="O25" s="458">
        <f>'05T3 - Associated Crash Data'!I60</f>
        <v>53382.780659600103</v>
      </c>
      <c r="P25" s="458">
        <f>'05T3 - Associated Crash Data'!G60</f>
        <v>43373.509285925087</v>
      </c>
      <c r="R25" s="428"/>
      <c r="S25" s="428"/>
      <c r="T25" s="428"/>
      <c r="U25" s="428"/>
    </row>
    <row r="26" spans="1:21" ht="15" customHeight="1" thickBot="1" x14ac:dyDescent="0.3">
      <c r="B26" s="4"/>
      <c r="C26" s="72"/>
      <c r="D26" s="72"/>
      <c r="E26" s="72"/>
      <c r="F26" s="72"/>
      <c r="G26" s="95" t="s">
        <v>2</v>
      </c>
      <c r="H26" s="375">
        <f>SUM(H6:H25)</f>
        <v>-592392.63843232812</v>
      </c>
      <c r="K26" s="720" t="s">
        <v>204</v>
      </c>
      <c r="L26" s="711">
        <v>2024</v>
      </c>
      <c r="M26" s="711">
        <v>2025</v>
      </c>
      <c r="N26" s="531">
        <v>2020</v>
      </c>
      <c r="O26" s="458">
        <f>'05T2 - Associated Crash Data'!I59</f>
        <v>46729.469552670103</v>
      </c>
      <c r="P26" s="458">
        <f>'05T2 - Associated Crash Data'!G59</f>
        <v>37967.694011544459</v>
      </c>
      <c r="R26" s="428"/>
      <c r="S26" s="428"/>
      <c r="T26" s="428"/>
      <c r="U26" s="428"/>
    </row>
    <row r="27" spans="1:21" x14ac:dyDescent="0.25">
      <c r="G27" s="380"/>
      <c r="H27" s="380"/>
      <c r="I27" s="31"/>
      <c r="J27" s="25"/>
      <c r="K27" s="720"/>
      <c r="L27" s="711"/>
      <c r="M27" s="711"/>
      <c r="N27" s="531">
        <v>2040</v>
      </c>
      <c r="O27" s="458">
        <f>'05T2 - Associated Crash Data'!I60</f>
        <v>68945.746694212983</v>
      </c>
      <c r="P27" s="458">
        <f>'05T2 - Associated Crash Data'!G60</f>
        <v>56018.419189048043</v>
      </c>
      <c r="R27" s="428"/>
      <c r="S27" s="428"/>
      <c r="T27" s="428"/>
      <c r="U27" s="428"/>
    </row>
    <row r="28" spans="1:21" x14ac:dyDescent="0.25">
      <c r="A28" s="19"/>
      <c r="B28" s="20" t="s">
        <v>3</v>
      </c>
      <c r="C28" s="19"/>
      <c r="D28" s="19"/>
      <c r="E28" s="19"/>
      <c r="F28" s="19"/>
      <c r="G28" s="19"/>
      <c r="I28" s="25"/>
      <c r="J28" s="25"/>
      <c r="K28" s="19"/>
      <c r="L28" s="19"/>
      <c r="M28" s="22"/>
      <c r="N28" s="428"/>
      <c r="O28" s="428"/>
      <c r="P28" s="428"/>
      <c r="R28" s="428"/>
      <c r="S28" s="428"/>
      <c r="T28" s="428"/>
      <c r="U28" s="428"/>
    </row>
    <row r="29" spans="1:21" ht="15" customHeight="1" x14ac:dyDescent="0.25">
      <c r="A29" s="88" t="s">
        <v>13</v>
      </c>
      <c r="B29" s="698" t="s">
        <v>1592</v>
      </c>
      <c r="C29" s="698"/>
      <c r="D29" s="698"/>
      <c r="E29" s="698"/>
      <c r="F29" s="698"/>
      <c r="G29" s="698"/>
      <c r="H29" s="698"/>
      <c r="I29" s="25"/>
      <c r="J29" s="37"/>
      <c r="K29" s="19"/>
      <c r="L29" s="19"/>
      <c r="M29" s="22"/>
      <c r="N29" s="428"/>
      <c r="O29" s="428"/>
      <c r="P29" s="428"/>
      <c r="R29" s="428"/>
      <c r="S29" s="428"/>
    </row>
    <row r="30" spans="1:21" x14ac:dyDescent="0.25">
      <c r="A30" s="19"/>
      <c r="B30" s="698"/>
      <c r="C30" s="698"/>
      <c r="D30" s="698"/>
      <c r="E30" s="698"/>
      <c r="F30" s="698"/>
      <c r="G30" s="698"/>
      <c r="H30" s="698"/>
      <c r="I30" s="48"/>
      <c r="J30" s="49"/>
      <c r="K30" s="428"/>
      <c r="L30" s="428"/>
      <c r="M30" s="379"/>
      <c r="O30" s="428"/>
      <c r="P30" s="428"/>
    </row>
    <row r="31" spans="1:21" x14ac:dyDescent="0.25">
      <c r="A31" s="19"/>
      <c r="B31" s="698"/>
      <c r="C31" s="698"/>
      <c r="D31" s="698"/>
      <c r="E31" s="698"/>
      <c r="F31" s="698"/>
      <c r="G31" s="698"/>
      <c r="H31" s="698"/>
      <c r="I31" s="48"/>
      <c r="J31" s="48"/>
      <c r="K31" s="19"/>
      <c r="L31" s="19"/>
      <c r="M31" s="22"/>
    </row>
    <row r="32" spans="1:21" x14ac:dyDescent="0.25">
      <c r="A32" s="19"/>
      <c r="B32" s="110"/>
      <c r="C32" s="110"/>
      <c r="D32" s="110"/>
      <c r="E32" s="110"/>
      <c r="F32" s="110"/>
      <c r="G32" s="19"/>
      <c r="J32" s="48"/>
      <c r="K32" s="19"/>
      <c r="L32" s="19"/>
      <c r="M32" s="22"/>
    </row>
    <row r="33" spans="1:13" ht="15" customHeight="1" x14ac:dyDescent="0.25">
      <c r="A33" s="88" t="s">
        <v>12</v>
      </c>
      <c r="B33" s="698" t="s">
        <v>1554</v>
      </c>
      <c r="C33" s="698"/>
      <c r="D33" s="698"/>
      <c r="E33" s="698"/>
      <c r="F33" s="698"/>
      <c r="G33" s="698"/>
      <c r="H33" s="698"/>
      <c r="J33" s="48"/>
      <c r="K33" s="19"/>
      <c r="L33" s="19"/>
      <c r="M33" s="22"/>
    </row>
    <row r="34" spans="1:13" ht="15" customHeight="1" x14ac:dyDescent="0.25">
      <c r="A34" s="88"/>
      <c r="B34" s="698"/>
      <c r="C34" s="698"/>
      <c r="D34" s="698"/>
      <c r="E34" s="698"/>
      <c r="F34" s="698"/>
      <c r="G34" s="698"/>
      <c r="H34" s="698"/>
      <c r="J34" s="48"/>
    </row>
    <row r="35" spans="1:13" ht="15" customHeight="1" x14ac:dyDescent="0.25">
      <c r="A35" s="88"/>
      <c r="B35" s="426"/>
      <c r="C35" s="426"/>
      <c r="D35" s="426"/>
      <c r="E35" s="426"/>
      <c r="F35" s="426"/>
      <c r="G35" s="426"/>
      <c r="J35" s="48"/>
    </row>
    <row r="36" spans="1:13" ht="15" customHeight="1" x14ac:dyDescent="0.25">
      <c r="A36" s="88" t="s">
        <v>14</v>
      </c>
      <c r="B36" s="698" t="s">
        <v>1556</v>
      </c>
      <c r="C36" s="698"/>
      <c r="D36" s="698"/>
      <c r="E36" s="698"/>
      <c r="F36" s="698"/>
      <c r="G36" s="698"/>
      <c r="H36" s="698"/>
      <c r="J36" s="26"/>
    </row>
    <row r="37" spans="1:13" x14ac:dyDescent="0.25">
      <c r="A37" s="19"/>
      <c r="B37" s="698"/>
      <c r="C37" s="698"/>
      <c r="D37" s="698"/>
      <c r="E37" s="698"/>
      <c r="F37" s="698"/>
      <c r="G37" s="698"/>
      <c r="H37" s="698"/>
      <c r="J37" s="26"/>
    </row>
    <row r="38" spans="1:13" x14ac:dyDescent="0.25">
      <c r="A38" s="19"/>
      <c r="B38" s="698"/>
      <c r="C38" s="698"/>
      <c r="D38" s="698"/>
      <c r="E38" s="698"/>
      <c r="F38" s="698"/>
      <c r="G38" s="698"/>
      <c r="H38" s="698"/>
      <c r="J38" s="26"/>
    </row>
    <row r="39" spans="1:13" ht="15" customHeight="1" x14ac:dyDescent="0.25">
      <c r="A39" s="19"/>
      <c r="B39" s="698"/>
      <c r="C39" s="698"/>
      <c r="D39" s="698"/>
      <c r="E39" s="698"/>
      <c r="F39" s="698"/>
      <c r="G39" s="698"/>
      <c r="H39" s="698"/>
      <c r="I39" s="19"/>
      <c r="J39" s="26"/>
    </row>
    <row r="40" spans="1:13" ht="15" customHeight="1" x14ac:dyDescent="0.25">
      <c r="A40" s="19"/>
      <c r="B40" s="110"/>
      <c r="C40" s="110"/>
      <c r="D40" s="110"/>
      <c r="E40" s="110"/>
      <c r="F40" s="110"/>
      <c r="G40" s="19"/>
    </row>
    <row r="41" spans="1:13" ht="15" customHeight="1" x14ac:dyDescent="0.25">
      <c r="A41" s="88" t="s">
        <v>15</v>
      </c>
      <c r="B41" s="698" t="s">
        <v>1686</v>
      </c>
      <c r="C41" s="698"/>
      <c r="D41" s="698"/>
      <c r="E41" s="698"/>
      <c r="F41" s="698"/>
      <c r="G41" s="698"/>
      <c r="H41" s="698"/>
    </row>
    <row r="42" spans="1:13" ht="15" customHeight="1" x14ac:dyDescent="0.25">
      <c r="A42" s="19"/>
      <c r="B42" s="698"/>
      <c r="C42" s="698"/>
      <c r="D42" s="698"/>
      <c r="E42" s="698"/>
      <c r="F42" s="698"/>
      <c r="G42" s="698"/>
      <c r="H42" s="698"/>
    </row>
    <row r="43" spans="1:13" x14ac:dyDescent="0.25">
      <c r="A43" s="19"/>
      <c r="B43" s="698"/>
      <c r="C43" s="698"/>
      <c r="D43" s="698"/>
      <c r="E43" s="698"/>
      <c r="F43" s="698"/>
      <c r="G43" s="698"/>
      <c r="H43" s="698"/>
    </row>
    <row r="44" spans="1:13" x14ac:dyDescent="0.25">
      <c r="A44" s="19"/>
      <c r="B44" s="698"/>
      <c r="C44" s="698"/>
      <c r="D44" s="698"/>
      <c r="E44" s="698"/>
      <c r="F44" s="698"/>
      <c r="G44" s="698"/>
      <c r="H44" s="698"/>
    </row>
    <row r="45" spans="1:13" x14ac:dyDescent="0.25">
      <c r="A45" s="19"/>
      <c r="B45" s="110"/>
      <c r="C45" s="110"/>
      <c r="D45" s="110"/>
      <c r="E45" s="110"/>
      <c r="F45" s="110"/>
      <c r="G45" s="110"/>
      <c r="H45" s="110"/>
    </row>
    <row r="46" spans="1:13" x14ac:dyDescent="0.25">
      <c r="A46" s="7" t="s">
        <v>81</v>
      </c>
      <c r="B46" s="698" t="s">
        <v>1684</v>
      </c>
      <c r="C46" s="698"/>
      <c r="D46" s="698"/>
      <c r="E46" s="698"/>
      <c r="F46" s="698"/>
      <c r="G46" s="698"/>
      <c r="H46" s="698"/>
    </row>
    <row r="47" spans="1:13" x14ac:dyDescent="0.25">
      <c r="A47" s="19"/>
      <c r="B47" s="698"/>
      <c r="C47" s="698"/>
      <c r="D47" s="698"/>
      <c r="E47" s="698"/>
      <c r="F47" s="698"/>
      <c r="G47" s="698"/>
      <c r="H47" s="698"/>
    </row>
    <row r="48" spans="1:13" ht="15" customHeight="1" x14ac:dyDescent="0.25">
      <c r="A48" s="7"/>
      <c r="B48" s="698"/>
      <c r="C48" s="698"/>
      <c r="D48" s="698"/>
      <c r="E48" s="698"/>
      <c r="F48" s="698"/>
      <c r="G48" s="698"/>
      <c r="H48" s="698"/>
    </row>
    <row r="49" spans="2:13" x14ac:dyDescent="0.25">
      <c r="B49" s="698"/>
      <c r="C49" s="698"/>
      <c r="D49" s="698"/>
      <c r="E49" s="698"/>
      <c r="F49" s="698"/>
      <c r="G49" s="698"/>
      <c r="H49" s="698"/>
      <c r="K49" s="26"/>
      <c r="L49" s="26"/>
      <c r="M49" s="48"/>
    </row>
    <row r="50" spans="2:13" x14ac:dyDescent="0.25">
      <c r="B50" s="698"/>
      <c r="C50" s="698"/>
      <c r="D50" s="698"/>
      <c r="E50" s="698"/>
      <c r="F50" s="698"/>
      <c r="G50" s="698"/>
      <c r="H50" s="698"/>
    </row>
    <row r="51" spans="2:13" x14ac:dyDescent="0.25">
      <c r="B51" s="110"/>
      <c r="C51" s="110"/>
      <c r="D51" s="110"/>
      <c r="E51" s="110"/>
      <c r="F51" s="110"/>
      <c r="G51" s="110"/>
    </row>
    <row r="52" spans="2:13" x14ac:dyDescent="0.25">
      <c r="B52" s="110"/>
      <c r="C52" s="110"/>
      <c r="D52" s="110"/>
    </row>
    <row r="53" spans="2:13" x14ac:dyDescent="0.25">
      <c r="B53" s="110"/>
      <c r="C53" s="110"/>
      <c r="D53" s="110"/>
    </row>
    <row r="54" spans="2:13" x14ac:dyDescent="0.25">
      <c r="B54" s="110"/>
      <c r="C54" s="110"/>
      <c r="D54" s="110"/>
    </row>
  </sheetData>
  <mergeCells count="24">
    <mergeCell ref="B33:H34"/>
    <mergeCell ref="B36:H39"/>
    <mergeCell ref="B41:H44"/>
    <mergeCell ref="B46:H50"/>
    <mergeCell ref="H4:H5"/>
    <mergeCell ref="K5:L5"/>
    <mergeCell ref="K9:L9"/>
    <mergeCell ref="K13:L13"/>
    <mergeCell ref="B29:H31"/>
    <mergeCell ref="G4:G5"/>
    <mergeCell ref="B4:B5"/>
    <mergeCell ref="C4:C5"/>
    <mergeCell ref="D4:D5"/>
    <mergeCell ref="E4:E5"/>
    <mergeCell ref="F4:F5"/>
    <mergeCell ref="K26:K27"/>
    <mergeCell ref="K24:K25"/>
    <mergeCell ref="K22:K23"/>
    <mergeCell ref="L22:L23"/>
    <mergeCell ref="M22:M23"/>
    <mergeCell ref="L26:L27"/>
    <mergeCell ref="M26:M27"/>
    <mergeCell ref="L24:L25"/>
    <mergeCell ref="M24:M25"/>
  </mergeCells>
  <pageMargins left="0.25" right="0.25" top="0.75" bottom="0.75" header="0.3" footer="0.3"/>
  <pageSetup scale="4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C117"/>
  <sheetViews>
    <sheetView view="pageBreakPreview" zoomScale="85" zoomScaleNormal="55" zoomScaleSheetLayoutView="85" workbookViewId="0">
      <selection activeCell="K45" sqref="K45"/>
    </sheetView>
  </sheetViews>
  <sheetFormatPr defaultRowHeight="15" x14ac:dyDescent="0.25"/>
  <cols>
    <col min="1" max="1" width="3.7109375" style="73" customWidth="1"/>
    <col min="2" max="8" width="20.7109375" style="73" customWidth="1"/>
    <col min="9" max="9" width="5.7109375" style="73" customWidth="1"/>
    <col min="10" max="10" width="3" style="73" customWidth="1"/>
    <col min="11" max="11" width="35.42578125" style="73" customWidth="1"/>
    <col min="12" max="12" width="18.85546875" style="73" customWidth="1"/>
    <col min="13" max="13" width="7.5703125" style="73" customWidth="1"/>
    <col min="14" max="15" width="25.28515625" style="73" customWidth="1"/>
    <col min="16" max="16" width="5.7109375" style="73" customWidth="1"/>
    <col min="17" max="18" width="25.28515625" style="73" customWidth="1"/>
    <col min="19" max="20" width="4.5703125" style="73" customWidth="1"/>
    <col min="21" max="21" width="4.5703125" style="423" customWidth="1"/>
    <col min="22" max="22" width="18" style="73" bestFit="1" customWidth="1"/>
    <col min="23" max="23" width="22.85546875" style="73" bestFit="1" customWidth="1"/>
    <col min="24" max="25" width="50.85546875" style="73" customWidth="1"/>
    <col min="26" max="26" width="16.28515625" style="73" bestFit="1" customWidth="1"/>
    <col min="27" max="16384" width="9.140625" style="73"/>
  </cols>
  <sheetData>
    <row r="1" spans="1:21" x14ac:dyDescent="0.25">
      <c r="A1" s="19"/>
      <c r="B1" s="163">
        <v>1</v>
      </c>
      <c r="C1" s="163">
        <v>2</v>
      </c>
      <c r="D1" s="163">
        <v>3</v>
      </c>
      <c r="E1" s="163">
        <v>4</v>
      </c>
      <c r="F1" s="163">
        <v>5</v>
      </c>
      <c r="G1" s="163">
        <v>6</v>
      </c>
      <c r="H1" s="163">
        <v>7</v>
      </c>
    </row>
    <row r="2" spans="1:21" x14ac:dyDescent="0.25">
      <c r="B2" s="6" t="s">
        <v>1558</v>
      </c>
    </row>
    <row r="3" spans="1:21" ht="15.75" thickBot="1" x14ac:dyDescent="0.3">
      <c r="K3" s="82"/>
    </row>
    <row r="4" spans="1:21" ht="35.1" customHeight="1" x14ac:dyDescent="0.25">
      <c r="B4" s="715" t="s">
        <v>0</v>
      </c>
      <c r="C4" s="715" t="s">
        <v>91</v>
      </c>
      <c r="D4" s="718" t="s">
        <v>92</v>
      </c>
      <c r="E4" s="715" t="s">
        <v>36</v>
      </c>
      <c r="F4" s="715" t="s">
        <v>37</v>
      </c>
      <c r="G4" s="713" t="s">
        <v>43</v>
      </c>
      <c r="H4" s="721" t="s">
        <v>1</v>
      </c>
      <c r="K4" s="90"/>
      <c r="L4" s="19"/>
      <c r="M4" s="25"/>
      <c r="N4" s="429" t="s">
        <v>1590</v>
      </c>
    </row>
    <row r="5" spans="1:21" ht="43.5" customHeight="1" thickBot="1" x14ac:dyDescent="0.3">
      <c r="B5" s="716"/>
      <c r="C5" s="716"/>
      <c r="D5" s="719"/>
      <c r="E5" s="716"/>
      <c r="F5" s="716"/>
      <c r="G5" s="714"/>
      <c r="H5" s="722"/>
      <c r="K5" s="712" t="s">
        <v>44</v>
      </c>
      <c r="L5" s="712"/>
      <c r="M5" s="37"/>
      <c r="N5" s="729" t="s">
        <v>1545</v>
      </c>
      <c r="O5" s="729"/>
      <c r="Q5" s="729" t="s">
        <v>1544</v>
      </c>
      <c r="R5" s="729"/>
    </row>
    <row r="6" spans="1:21" x14ac:dyDescent="0.25">
      <c r="B6" s="1">
        <f>Assumptions!$D$7</f>
        <v>2025</v>
      </c>
      <c r="C6" s="395">
        <f>TREND(TREND($O$17:$O$18,$N$17:$N$18,$B6))</f>
        <v>502243.38928571343</v>
      </c>
      <c r="D6" s="395">
        <f>TREND(TREND($R$17:$R$18,$Q$17:$Q$18,$B6))</f>
        <v>251121.69464285672</v>
      </c>
      <c r="E6" s="409">
        <f t="shared" ref="E6:E25" si="0">C6*$L$18</f>
        <v>15103484.196373643</v>
      </c>
      <c r="F6" s="409">
        <f t="shared" ref="F6:F25" si="1">D6*$L$18</f>
        <v>7551742.0981868217</v>
      </c>
      <c r="G6" s="410">
        <f>(E6-F6)</f>
        <v>7551742.0981868217</v>
      </c>
      <c r="H6" s="409">
        <f>G6*(1+0.07)^-(B6-Assumptions!$D$4)</f>
        <v>5032044.6233945834</v>
      </c>
      <c r="I6" s="19"/>
      <c r="K6" s="94" t="s">
        <v>88</v>
      </c>
      <c r="L6" s="381">
        <f>Assumptions!D21</f>
        <v>17.899999999999999</v>
      </c>
      <c r="M6" s="19"/>
      <c r="N6" s="162" t="s">
        <v>1491</v>
      </c>
      <c r="O6" s="50">
        <v>2020</v>
      </c>
      <c r="Q6" s="162" t="s">
        <v>1491</v>
      </c>
      <c r="R6" s="50">
        <v>2020</v>
      </c>
    </row>
    <row r="7" spans="1:21" x14ac:dyDescent="0.25">
      <c r="B7" s="2">
        <f>B6+1</f>
        <v>2026</v>
      </c>
      <c r="C7" s="395">
        <f>TREND(TREND($O$17:$O$18,$N$17:$N$18,$B7))</f>
        <v>511757.03085714206</v>
      </c>
      <c r="D7" s="395">
        <f>TREND(TREND($R$17:$R$18,$Q$17:$Q$18,$B7))</f>
        <v>255878.51542857103</v>
      </c>
      <c r="E7" s="397">
        <f t="shared" si="0"/>
        <v>15389578.823379863</v>
      </c>
      <c r="F7" s="397">
        <f t="shared" si="1"/>
        <v>7694789.4116899315</v>
      </c>
      <c r="G7" s="398">
        <f t="shared" ref="G7:G25" si="2">(E7-F7)</f>
        <v>7694789.4116899315</v>
      </c>
      <c r="H7" s="397">
        <f>G7*(1+0.07)^-(B7-Assumptions!$D$4)</f>
        <v>4791928.1199861895</v>
      </c>
      <c r="I7" s="19"/>
      <c r="K7" s="94" t="s">
        <v>38</v>
      </c>
      <c r="L7" s="96">
        <f>Assumptions!D22</f>
        <v>30.8</v>
      </c>
      <c r="M7" s="23"/>
      <c r="N7" s="162" t="s">
        <v>1488</v>
      </c>
      <c r="O7" s="467">
        <f>'Data from Needs Book'!B42</f>
        <v>12456.854285714286</v>
      </c>
      <c r="Q7" s="162" t="s">
        <v>1488</v>
      </c>
      <c r="R7" s="467">
        <f>'Data from Needs Book'!B42</f>
        <v>12456.854285714286</v>
      </c>
    </row>
    <row r="8" spans="1:21" x14ac:dyDescent="0.25">
      <c r="B8" s="2">
        <f t="shared" ref="B8:B25" si="3">B7+1</f>
        <v>2027</v>
      </c>
      <c r="C8" s="395">
        <f>TREND(TREND($O$17:$O$18,$N$17:$N$18,$B8))</f>
        <v>521270.67242857069</v>
      </c>
      <c r="D8" s="395">
        <f>TREND(TREND($R$17:$R$18,$Q$17:$Q$18,$B8))</f>
        <v>260635.33621428534</v>
      </c>
      <c r="E8" s="397">
        <f t="shared" si="0"/>
        <v>15675673.450386083</v>
      </c>
      <c r="F8" s="397">
        <f t="shared" si="1"/>
        <v>7837836.7251930414</v>
      </c>
      <c r="G8" s="398">
        <f t="shared" si="2"/>
        <v>7837836.7251930414</v>
      </c>
      <c r="H8" s="397">
        <f>G8*(1+0.07)^-(B8-Assumptions!$D$4)</f>
        <v>4561692.3341565747</v>
      </c>
      <c r="J8" s="89"/>
      <c r="K8" s="74"/>
      <c r="L8" s="91"/>
      <c r="M8" s="23"/>
      <c r="N8" s="162" t="s">
        <v>1489</v>
      </c>
      <c r="O8" s="467">
        <f>'Data from Needs Book'!B50</f>
        <v>17669.808571428573</v>
      </c>
      <c r="Q8" s="162" t="s">
        <v>1489</v>
      </c>
      <c r="R8" s="467">
        <f>'Data from Needs Book'!B50</f>
        <v>17669.808571428573</v>
      </c>
    </row>
    <row r="9" spans="1:21" ht="14.25" customHeight="1" x14ac:dyDescent="0.25">
      <c r="B9" s="2">
        <f t="shared" si="3"/>
        <v>2028</v>
      </c>
      <c r="C9" s="395">
        <f>TREND(TREND($O$17:$O$18,$N$17:$N$18,$B9))</f>
        <v>530784.31399999931</v>
      </c>
      <c r="D9" s="395">
        <f>TREND(TREND($R$17:$R$18,$Q$17:$Q$18,$B9))</f>
        <v>265392.15699999966</v>
      </c>
      <c r="E9" s="397">
        <f t="shared" si="0"/>
        <v>15961768.077392301</v>
      </c>
      <c r="F9" s="397">
        <f t="shared" si="1"/>
        <v>7980884.0386961503</v>
      </c>
      <c r="G9" s="398">
        <f t="shared" si="2"/>
        <v>7980884.0386961503</v>
      </c>
      <c r="H9" s="397">
        <f>G9*(1+0.07)^-(B9-Assumptions!$D$4)</f>
        <v>4341072.1242980873</v>
      </c>
      <c r="K9" s="712" t="s">
        <v>32</v>
      </c>
      <c r="L9" s="712"/>
      <c r="M9" s="22"/>
      <c r="N9" s="162" t="s">
        <v>1490</v>
      </c>
      <c r="O9" s="468">
        <f>(O8-O7)/(O7*20)</f>
        <v>2.0924039754131925E-2</v>
      </c>
      <c r="Q9" s="162" t="s">
        <v>1490</v>
      </c>
      <c r="R9" s="468">
        <f>(R8-R7)/(R7*20)</f>
        <v>2.0924039754131925E-2</v>
      </c>
    </row>
    <row r="10" spans="1:21" ht="15.75" thickBot="1" x14ac:dyDescent="0.3">
      <c r="B10" s="2">
        <f t="shared" si="3"/>
        <v>2029</v>
      </c>
      <c r="C10" s="395">
        <f>TREND(TREND($O$17:$O$18,$N$17:$N$18,$B10))</f>
        <v>540297.95557142794</v>
      </c>
      <c r="D10" s="395">
        <f>TREND(TREND($R$17:$R$18,$Q$17:$Q$18,$B10))</f>
        <v>270148.97778571397</v>
      </c>
      <c r="E10" s="397">
        <f t="shared" si="0"/>
        <v>16247862.70439852</v>
      </c>
      <c r="F10" s="397">
        <f t="shared" si="1"/>
        <v>8123931.3521992601</v>
      </c>
      <c r="G10" s="398">
        <f t="shared" si="2"/>
        <v>8123931.3521992601</v>
      </c>
      <c r="H10" s="397">
        <f>G10*(1+0.07)^-(B10-Assumptions!$D$4)</f>
        <v>4129794.7522415346</v>
      </c>
      <c r="K10" s="94" t="s">
        <v>33</v>
      </c>
      <c r="L10" s="93">
        <f>1-L11</f>
        <v>0.80259999999999998</v>
      </c>
      <c r="M10" s="22"/>
      <c r="N10" s="727" t="s">
        <v>1552</v>
      </c>
      <c r="O10" s="727"/>
      <c r="Q10" s="727" t="s">
        <v>1552</v>
      </c>
      <c r="R10" s="727"/>
    </row>
    <row r="11" spans="1:21" ht="15.75" thickTop="1" x14ac:dyDescent="0.25">
      <c r="B11" s="2">
        <f t="shared" si="3"/>
        <v>2030</v>
      </c>
      <c r="C11" s="395">
        <f t="shared" ref="C11:C25" si="4">TREND(TREND($O$49:$O$50,$N$49:$N$50,$B11))</f>
        <v>2932328.51809524</v>
      </c>
      <c r="D11" s="395">
        <f t="shared" ref="D11:D25" si="5">TREND(TREND($R$49:$R$50,$Q$49:$Q$50,$B11))</f>
        <v>1832705.3238095269</v>
      </c>
      <c r="E11" s="397">
        <f t="shared" si="0"/>
        <v>88181105.767492101</v>
      </c>
      <c r="F11" s="397">
        <f t="shared" si="1"/>
        <v>55113191.104682617</v>
      </c>
      <c r="G11" s="398">
        <f t="shared" si="2"/>
        <v>33067914.662809484</v>
      </c>
      <c r="H11" s="397">
        <f>G11*(1+0.07)^-(B11-Assumptions!$D$4)</f>
        <v>15710328.047860237</v>
      </c>
      <c r="K11" s="94" t="s">
        <v>34</v>
      </c>
      <c r="L11" s="93">
        <f>Assumptions!D15</f>
        <v>0.19739999999999999</v>
      </c>
      <c r="M11" s="74"/>
      <c r="N11" s="469" t="s">
        <v>1487</v>
      </c>
      <c r="O11" s="470">
        <v>9</v>
      </c>
      <c r="Q11" s="469" t="s">
        <v>1487</v>
      </c>
      <c r="R11" s="470">
        <v>6.2</v>
      </c>
    </row>
    <row r="12" spans="1:21" x14ac:dyDescent="0.25">
      <c r="B12" s="2">
        <f t="shared" si="3"/>
        <v>2031</v>
      </c>
      <c r="C12" s="395">
        <f t="shared" si="4"/>
        <v>2983067.939809531</v>
      </c>
      <c r="D12" s="395">
        <f t="shared" si="5"/>
        <v>1864417.4623809606</v>
      </c>
      <c r="E12" s="397">
        <f t="shared" si="0"/>
        <v>89706943.778192088</v>
      </c>
      <c r="F12" s="397">
        <f t="shared" si="1"/>
        <v>56066839.861370161</v>
      </c>
      <c r="G12" s="398">
        <f t="shared" si="2"/>
        <v>33640103.916821927</v>
      </c>
      <c r="H12" s="397">
        <f>G12*(1+0.07)^-(B12-Assumptions!$D$4)</f>
        <v>14936608.449170036</v>
      </c>
      <c r="K12" s="74"/>
      <c r="L12" s="77"/>
      <c r="M12" s="22"/>
      <c r="N12" s="162" t="s">
        <v>1542</v>
      </c>
      <c r="O12" s="435">
        <v>12</v>
      </c>
      <c r="Q12" s="162" t="s">
        <v>1542</v>
      </c>
      <c r="R12" s="435">
        <v>6</v>
      </c>
    </row>
    <row r="13" spans="1:21" ht="15" customHeight="1" x14ac:dyDescent="0.25">
      <c r="B13" s="2">
        <f t="shared" si="3"/>
        <v>2032</v>
      </c>
      <c r="C13" s="395">
        <f t="shared" si="4"/>
        <v>3033807.3615238219</v>
      </c>
      <c r="D13" s="395">
        <f t="shared" si="5"/>
        <v>1896129.6009523869</v>
      </c>
      <c r="E13" s="397">
        <f t="shared" si="0"/>
        <v>91232781.788892061</v>
      </c>
      <c r="F13" s="397">
        <f t="shared" si="1"/>
        <v>57020488.618057482</v>
      </c>
      <c r="G13" s="398">
        <f t="shared" si="2"/>
        <v>34212293.170834579</v>
      </c>
      <c r="H13" s="397">
        <f>G13*(1+0.07)^-(B13-Assumptions!$D$4)</f>
        <v>14196885.346636156</v>
      </c>
      <c r="K13" s="712" t="s">
        <v>47</v>
      </c>
      <c r="L13" s="712"/>
      <c r="M13" s="22"/>
      <c r="N13" s="723" t="s">
        <v>1550</v>
      </c>
      <c r="O13" s="723"/>
      <c r="Q13" s="723" t="s">
        <v>1550</v>
      </c>
      <c r="R13" s="723"/>
    </row>
    <row r="14" spans="1:21" x14ac:dyDescent="0.25">
      <c r="B14" s="2">
        <f t="shared" si="3"/>
        <v>2033</v>
      </c>
      <c r="C14" s="395">
        <f t="shared" si="4"/>
        <v>3084546.783238098</v>
      </c>
      <c r="D14" s="395">
        <f t="shared" si="5"/>
        <v>1927841.7395238131</v>
      </c>
      <c r="E14" s="397">
        <f t="shared" si="0"/>
        <v>92758619.799591601</v>
      </c>
      <c r="F14" s="397">
        <f t="shared" si="1"/>
        <v>57974137.37474481</v>
      </c>
      <c r="G14" s="398">
        <f t="shared" si="2"/>
        <v>34784482.424846791</v>
      </c>
      <c r="H14" s="397">
        <f>G14*(1+0.07)^-(B14-Assumptions!$D$4)</f>
        <v>13490022.004219709</v>
      </c>
      <c r="K14" s="94" t="s">
        <v>40</v>
      </c>
      <c r="L14" s="382">
        <f>Assumptions!D16</f>
        <v>1.67</v>
      </c>
      <c r="M14" s="78"/>
      <c r="N14" s="50">
        <v>2020</v>
      </c>
      <c r="O14" s="385">
        <f>O7*O11*365/2</f>
        <v>20460383.164285716</v>
      </c>
      <c r="Q14" s="50">
        <v>2020</v>
      </c>
      <c r="R14" s="385">
        <f>R7*R11*365/2</f>
        <v>14094930.624285717</v>
      </c>
      <c r="U14" s="73"/>
    </row>
    <row r="15" spans="1:21" x14ac:dyDescent="0.25">
      <c r="B15" s="2">
        <f t="shared" si="3"/>
        <v>2034</v>
      </c>
      <c r="C15" s="395">
        <f t="shared" si="4"/>
        <v>3135286.204952389</v>
      </c>
      <c r="D15" s="395">
        <f t="shared" si="5"/>
        <v>1959553.8780952469</v>
      </c>
      <c r="E15" s="397">
        <f t="shared" si="0"/>
        <v>94284457.810291588</v>
      </c>
      <c r="F15" s="397">
        <f t="shared" si="1"/>
        <v>58927786.131432354</v>
      </c>
      <c r="G15" s="398">
        <f t="shared" si="2"/>
        <v>35356671.678859234</v>
      </c>
      <c r="H15" s="397">
        <f>G15*(1+0.07)^-(B15-Assumptions!$D$4)</f>
        <v>12814884.917804277</v>
      </c>
      <c r="K15" s="94" t="s">
        <v>41</v>
      </c>
      <c r="L15" s="382">
        <f>Assumptions!D17</f>
        <v>1</v>
      </c>
      <c r="M15" s="22"/>
      <c r="N15" s="50">
        <v>2040</v>
      </c>
      <c r="O15" s="385">
        <f>O8*O11*365/2</f>
        <v>29022660.578571435</v>
      </c>
      <c r="Q15" s="50">
        <v>2040</v>
      </c>
      <c r="R15" s="385">
        <f>R8*R11*365/2</f>
        <v>19993388.398571432</v>
      </c>
      <c r="U15" s="73"/>
    </row>
    <row r="16" spans="1:21" x14ac:dyDescent="0.25">
      <c r="B16" s="2">
        <f t="shared" si="3"/>
        <v>2035</v>
      </c>
      <c r="C16" s="395">
        <f t="shared" si="4"/>
        <v>3186025.62666668</v>
      </c>
      <c r="D16" s="395">
        <f t="shared" si="5"/>
        <v>1991266.0166666731</v>
      </c>
      <c r="E16" s="397">
        <f t="shared" si="0"/>
        <v>95810295.820991576</v>
      </c>
      <c r="F16" s="397">
        <f t="shared" si="1"/>
        <v>59881434.888119675</v>
      </c>
      <c r="G16" s="398">
        <f t="shared" si="2"/>
        <v>35928860.9328719</v>
      </c>
      <c r="H16" s="397">
        <f>G16*(1+0.07)^-(B16-Assumptions!$D$4)</f>
        <v>12170348.257386262</v>
      </c>
      <c r="K16" s="74"/>
      <c r="L16" s="77"/>
      <c r="M16" s="23"/>
      <c r="N16" s="724" t="s">
        <v>1549</v>
      </c>
      <c r="O16" s="724"/>
      <c r="P16" s="423"/>
      <c r="Q16" s="724" t="s">
        <v>1549</v>
      </c>
      <c r="R16" s="724"/>
      <c r="U16" s="73"/>
    </row>
    <row r="17" spans="1:21" x14ac:dyDescent="0.25">
      <c r="B17" s="2">
        <f t="shared" si="3"/>
        <v>2036</v>
      </c>
      <c r="C17" s="395">
        <f t="shared" si="4"/>
        <v>3236765.0483809561</v>
      </c>
      <c r="D17" s="395">
        <f t="shared" si="5"/>
        <v>2022978.1552380994</v>
      </c>
      <c r="E17" s="397">
        <f t="shared" si="0"/>
        <v>97336133.831691116</v>
      </c>
      <c r="F17" s="397">
        <f t="shared" si="1"/>
        <v>60835083.644807003</v>
      </c>
      <c r="G17" s="398">
        <f t="shared" si="2"/>
        <v>36501050.186884113</v>
      </c>
      <c r="H17" s="397">
        <f>G17*(1+0.07)^-(B17-Assumptions!$D$4)</f>
        <v>11555297.714212732</v>
      </c>
      <c r="K17" s="27" t="s">
        <v>42</v>
      </c>
      <c r="L17" s="63"/>
      <c r="M17" s="23"/>
      <c r="N17" s="471">
        <v>2020</v>
      </c>
      <c r="O17" s="472">
        <f>O7*O12*365/60/2</f>
        <v>454675.18142857135</v>
      </c>
      <c r="P17" s="423"/>
      <c r="Q17" s="471">
        <v>2020</v>
      </c>
      <c r="R17" s="472">
        <f>R7*R12*365/60/2</f>
        <v>227337.59071428567</v>
      </c>
      <c r="U17" s="73"/>
    </row>
    <row r="18" spans="1:21" x14ac:dyDescent="0.25">
      <c r="B18" s="2">
        <f t="shared" si="3"/>
        <v>2037</v>
      </c>
      <c r="C18" s="395">
        <f t="shared" si="4"/>
        <v>3287504.470095247</v>
      </c>
      <c r="D18" s="395">
        <f t="shared" si="5"/>
        <v>2054690.2938095331</v>
      </c>
      <c r="E18" s="397">
        <f t="shared" si="0"/>
        <v>98861971.842391104</v>
      </c>
      <c r="F18" s="397">
        <f t="shared" si="1"/>
        <v>61788732.401494548</v>
      </c>
      <c r="G18" s="398">
        <f t="shared" si="2"/>
        <v>37073239.440896556</v>
      </c>
      <c r="H18" s="397">
        <f>G18*(1+0.07)^-(B18-Assumptions!$D$4)</f>
        <v>10968633.811711995</v>
      </c>
      <c r="K18" s="62" t="s">
        <v>39</v>
      </c>
      <c r="L18" s="96">
        <f>L10*L6*L14+L11*L7*L15</f>
        <v>30.072041799999994</v>
      </c>
      <c r="M18" s="75"/>
      <c r="N18" s="471">
        <v>2040</v>
      </c>
      <c r="O18" s="472">
        <f>O8*O12*365/60/2</f>
        <v>644948.01285714295</v>
      </c>
      <c r="P18" s="423"/>
      <c r="Q18" s="471">
        <v>2040</v>
      </c>
      <c r="R18" s="472">
        <f>R8*R12*365/60/2</f>
        <v>322474.00642857148</v>
      </c>
      <c r="U18" s="73"/>
    </row>
    <row r="19" spans="1:21" x14ac:dyDescent="0.25">
      <c r="B19" s="2">
        <f t="shared" si="3"/>
        <v>2038</v>
      </c>
      <c r="C19" s="395">
        <f t="shared" si="4"/>
        <v>3338243.891809538</v>
      </c>
      <c r="D19" s="395">
        <f t="shared" si="5"/>
        <v>2086402.4323809594</v>
      </c>
      <c r="E19" s="397">
        <f t="shared" si="0"/>
        <v>100387809.85309109</v>
      </c>
      <c r="F19" s="397">
        <f t="shared" si="1"/>
        <v>62742381.158181868</v>
      </c>
      <c r="G19" s="398">
        <f t="shared" si="2"/>
        <v>37645428.694909222</v>
      </c>
      <c r="H19" s="397">
        <f>G19*(1+0.07)^-(B19-Assumptions!$D$4)</f>
        <v>10409274.733907772</v>
      </c>
      <c r="K19" s="74"/>
      <c r="L19" s="77"/>
      <c r="M19" s="76"/>
      <c r="N19" s="74" t="s">
        <v>1553</v>
      </c>
      <c r="P19" s="423"/>
      <c r="Q19" s="74" t="s">
        <v>1553</v>
      </c>
      <c r="R19" s="428"/>
      <c r="U19" s="73"/>
    </row>
    <row r="20" spans="1:21" ht="14.25" customHeight="1" x14ac:dyDescent="0.25">
      <c r="B20" s="2">
        <f t="shared" si="3"/>
        <v>2039</v>
      </c>
      <c r="C20" s="395">
        <f t="shared" si="4"/>
        <v>3388983.3135238141</v>
      </c>
      <c r="D20" s="395">
        <f t="shared" si="5"/>
        <v>2118114.5709523857</v>
      </c>
      <c r="E20" s="397">
        <f t="shared" si="0"/>
        <v>101913647.86379062</v>
      </c>
      <c r="F20" s="397">
        <f t="shared" si="1"/>
        <v>63696029.914869197</v>
      </c>
      <c r="G20" s="398">
        <f t="shared" si="2"/>
        <v>38217617.94892142</v>
      </c>
      <c r="H20" s="397">
        <f>G20*(1+0.07)^-(B20-Assumptions!$D$4)</f>
        <v>9876158.7202816829</v>
      </c>
      <c r="K20" s="19"/>
      <c r="L20" s="19"/>
      <c r="M20" s="374"/>
      <c r="P20" s="423"/>
      <c r="S20" s="374"/>
      <c r="T20" s="374"/>
      <c r="U20" s="73"/>
    </row>
    <row r="21" spans="1:21" x14ac:dyDescent="0.25">
      <c r="B21" s="2">
        <f t="shared" si="3"/>
        <v>2040</v>
      </c>
      <c r="C21" s="395">
        <f t="shared" si="4"/>
        <v>3439722.7352381051</v>
      </c>
      <c r="D21" s="395">
        <f t="shared" si="5"/>
        <v>2149826.7095238194</v>
      </c>
      <c r="E21" s="397">
        <f t="shared" si="0"/>
        <v>103439485.8744906</v>
      </c>
      <c r="F21" s="397">
        <f t="shared" si="1"/>
        <v>64649678.671556741</v>
      </c>
      <c r="G21" s="398">
        <f t="shared" si="2"/>
        <v>38789807.202933863</v>
      </c>
      <c r="H21" s="397">
        <f>G21*(1+0.07)^-(B21-Assumptions!$D$4)</f>
        <v>9368246.0717050377</v>
      </c>
      <c r="K21" s="19"/>
      <c r="L21" s="19"/>
      <c r="M21" s="374"/>
      <c r="N21" s="728" t="s">
        <v>1548</v>
      </c>
      <c r="O21" s="728"/>
      <c r="P21" s="423"/>
      <c r="Q21" s="728" t="s">
        <v>1543</v>
      </c>
      <c r="R21" s="728"/>
      <c r="S21" s="374"/>
      <c r="T21" s="374"/>
      <c r="U21" s="73"/>
    </row>
    <row r="22" spans="1:21" x14ac:dyDescent="0.25">
      <c r="B22" s="2">
        <f t="shared" si="3"/>
        <v>2041</v>
      </c>
      <c r="C22" s="395">
        <f t="shared" si="4"/>
        <v>3490462.1569523811</v>
      </c>
      <c r="D22" s="395">
        <f t="shared" si="5"/>
        <v>2181538.8480952457</v>
      </c>
      <c r="E22" s="397">
        <f t="shared" si="0"/>
        <v>104965323.88519014</v>
      </c>
      <c r="F22" s="397">
        <f t="shared" si="1"/>
        <v>65603327.428244062</v>
      </c>
      <c r="G22" s="398">
        <f t="shared" si="2"/>
        <v>39361996.456946082</v>
      </c>
      <c r="H22" s="397">
        <f>G22*(1+0.07)^-(B22-Assumptions!$D$4)</f>
        <v>8884520.8080767225</v>
      </c>
      <c r="K22" s="19"/>
      <c r="L22" s="19"/>
      <c r="M22" s="374"/>
      <c r="N22" s="162" t="s">
        <v>1491</v>
      </c>
      <c r="O22" s="50">
        <v>2020</v>
      </c>
      <c r="P22" s="423"/>
      <c r="Q22" s="162" t="s">
        <v>1491</v>
      </c>
      <c r="R22" s="50">
        <v>2020</v>
      </c>
      <c r="S22" s="374"/>
      <c r="T22" s="374"/>
      <c r="U22" s="73"/>
    </row>
    <row r="23" spans="1:21" x14ac:dyDescent="0.25">
      <c r="B23" s="2">
        <f t="shared" si="3"/>
        <v>2042</v>
      </c>
      <c r="C23" s="395">
        <f t="shared" si="4"/>
        <v>3541201.5786666721</v>
      </c>
      <c r="D23" s="395">
        <f t="shared" si="5"/>
        <v>2213250.9866666719</v>
      </c>
      <c r="E23" s="397">
        <f t="shared" si="0"/>
        <v>106491161.89589013</v>
      </c>
      <c r="F23" s="397">
        <f t="shared" si="1"/>
        <v>66556976.18493139</v>
      </c>
      <c r="G23" s="398">
        <f t="shared" si="2"/>
        <v>39934185.710958742</v>
      </c>
      <c r="H23" s="397">
        <f>G23*(1+0.07)^-(B23-Assumptions!$D$4)</f>
        <v>8423992.0146556497</v>
      </c>
      <c r="K23" s="19"/>
      <c r="L23" s="19"/>
      <c r="M23" s="374"/>
      <c r="N23" s="162" t="s">
        <v>1488</v>
      </c>
      <c r="O23" s="467">
        <f>O7</f>
        <v>12456.854285714286</v>
      </c>
      <c r="P23" s="423"/>
      <c r="Q23" s="162" t="s">
        <v>1488</v>
      </c>
      <c r="R23" s="467">
        <f>R7</f>
        <v>12456.854285714286</v>
      </c>
      <c r="S23" s="374"/>
      <c r="T23" s="374"/>
      <c r="U23" s="73"/>
    </row>
    <row r="24" spans="1:21" x14ac:dyDescent="0.25">
      <c r="B24" s="2">
        <f t="shared" si="3"/>
        <v>2043</v>
      </c>
      <c r="C24" s="395">
        <f t="shared" si="4"/>
        <v>3591941.0003809631</v>
      </c>
      <c r="D24" s="395">
        <f t="shared" si="5"/>
        <v>2244963.1252380982</v>
      </c>
      <c r="E24" s="397">
        <f t="shared" si="0"/>
        <v>108016999.90659012</v>
      </c>
      <c r="F24" s="397">
        <f t="shared" si="1"/>
        <v>67510624.941618711</v>
      </c>
      <c r="G24" s="398">
        <f t="shared" si="2"/>
        <v>40506374.964971408</v>
      </c>
      <c r="H24" s="397">
        <f>G24*(1+0.07)^-(B24-Assumptions!$D$4)</f>
        <v>7985694.910722658</v>
      </c>
      <c r="N24" s="162" t="s">
        <v>1489</v>
      </c>
      <c r="O24" s="467">
        <f>O8</f>
        <v>17669.808571428573</v>
      </c>
      <c r="P24" s="423"/>
      <c r="Q24" s="162" t="s">
        <v>1489</v>
      </c>
      <c r="R24" s="467">
        <f>R8</f>
        <v>17669.808571428573</v>
      </c>
    </row>
    <row r="25" spans="1:21" ht="15" customHeight="1" thickBot="1" x14ac:dyDescent="0.3">
      <c r="B25" s="3">
        <f t="shared" si="3"/>
        <v>2044</v>
      </c>
      <c r="C25" s="437">
        <f t="shared" si="4"/>
        <v>3642680.4220952392</v>
      </c>
      <c r="D25" s="437">
        <f t="shared" si="5"/>
        <v>2276675.2638095319</v>
      </c>
      <c r="E25" s="462">
        <f t="shared" si="0"/>
        <v>109542837.91728966</v>
      </c>
      <c r="F25" s="462">
        <f t="shared" si="1"/>
        <v>68464273.698306262</v>
      </c>
      <c r="G25" s="463">
        <f t="shared" si="2"/>
        <v>41078564.218983397</v>
      </c>
      <c r="H25" s="462">
        <f>G25*(1+0.07)^-(B25-Assumptions!$D$4)</f>
        <v>7568691.6711421907</v>
      </c>
      <c r="N25" s="473" t="s">
        <v>1490</v>
      </c>
      <c r="O25" s="474">
        <f>(O24-O23)/(O23*20)</f>
        <v>2.0924039754131925E-2</v>
      </c>
      <c r="P25" s="423"/>
      <c r="Q25" s="162" t="s">
        <v>1490</v>
      </c>
      <c r="R25" s="468">
        <f>(R24-R23)/(R23*20)</f>
        <v>2.0924039754131925E-2</v>
      </c>
    </row>
    <row r="26" spans="1:21" ht="15" customHeight="1" thickBot="1" x14ac:dyDescent="0.3">
      <c r="B26" s="4"/>
      <c r="C26" s="72"/>
      <c r="D26" s="72"/>
      <c r="E26" s="72"/>
      <c r="F26" s="72"/>
      <c r="G26" s="95" t="s">
        <v>2</v>
      </c>
      <c r="H26" s="375">
        <f>SUM(H6:H25)</f>
        <v>191216119.43357006</v>
      </c>
      <c r="N26" s="727" t="s">
        <v>1547</v>
      </c>
      <c r="O26" s="727"/>
      <c r="P26" s="423"/>
      <c r="Q26" s="727" t="s">
        <v>1547</v>
      </c>
      <c r="R26" s="727"/>
    </row>
    <row r="27" spans="1:21" x14ac:dyDescent="0.25">
      <c r="G27" s="56"/>
      <c r="H27" s="56"/>
      <c r="I27" s="31"/>
      <c r="N27" s="469" t="s">
        <v>1487</v>
      </c>
      <c r="O27" s="470">
        <v>31.3</v>
      </c>
      <c r="P27" s="423"/>
      <c r="Q27" s="469" t="s">
        <v>1487</v>
      </c>
      <c r="R27" s="470">
        <v>26.9</v>
      </c>
    </row>
    <row r="28" spans="1:21" x14ac:dyDescent="0.25">
      <c r="A28" s="19"/>
      <c r="B28" s="20" t="s">
        <v>3</v>
      </c>
      <c r="C28" s="19"/>
      <c r="D28" s="19"/>
      <c r="E28" s="19"/>
      <c r="F28" s="19"/>
      <c r="I28" s="25"/>
      <c r="N28" s="162" t="s">
        <v>1542</v>
      </c>
      <c r="O28" s="435">
        <v>40</v>
      </c>
      <c r="P28" s="423"/>
      <c r="Q28" s="162" t="s">
        <v>1542</v>
      </c>
      <c r="R28" s="435">
        <v>24</v>
      </c>
      <c r="T28" s="25"/>
    </row>
    <row r="29" spans="1:21" ht="15" customHeight="1" x14ac:dyDescent="0.25">
      <c r="A29" s="88" t="s">
        <v>13</v>
      </c>
      <c r="B29" s="698" t="s">
        <v>1688</v>
      </c>
      <c r="C29" s="698"/>
      <c r="D29" s="698"/>
      <c r="E29" s="698"/>
      <c r="F29" s="698"/>
      <c r="G29" s="698"/>
      <c r="I29" s="25"/>
      <c r="N29" s="723" t="s">
        <v>1550</v>
      </c>
      <c r="O29" s="723"/>
      <c r="P29" s="423"/>
      <c r="Q29" s="723" t="s">
        <v>1550</v>
      </c>
      <c r="R29" s="723"/>
    </row>
    <row r="30" spans="1:21" x14ac:dyDescent="0.25">
      <c r="A30" s="19"/>
      <c r="B30" s="698"/>
      <c r="C30" s="698"/>
      <c r="D30" s="698"/>
      <c r="E30" s="698"/>
      <c r="F30" s="698"/>
      <c r="G30" s="698"/>
      <c r="H30" s="19"/>
      <c r="J30" s="374"/>
      <c r="K30" s="374"/>
      <c r="L30" s="374"/>
      <c r="M30" s="374"/>
      <c r="N30" s="50">
        <v>2020</v>
      </c>
      <c r="O30" s="385">
        <f>O23*O27*365/2</f>
        <v>71156665.893571422</v>
      </c>
      <c r="P30" s="423"/>
      <c r="Q30" s="50">
        <v>2020</v>
      </c>
      <c r="R30" s="385">
        <f>R23*R27*365/2</f>
        <v>61153811.90214286</v>
      </c>
      <c r="S30" s="374"/>
      <c r="T30" s="374"/>
    </row>
    <row r="31" spans="1:21" x14ac:dyDescent="0.25">
      <c r="A31" s="19"/>
      <c r="B31" s="698"/>
      <c r="C31" s="698"/>
      <c r="D31" s="698"/>
      <c r="E31" s="698"/>
      <c r="F31" s="698"/>
      <c r="G31" s="698"/>
      <c r="H31" s="19"/>
      <c r="J31" s="374"/>
      <c r="K31" s="374"/>
      <c r="L31" s="374"/>
      <c r="M31" s="374"/>
      <c r="N31" s="50">
        <v>2040</v>
      </c>
      <c r="O31" s="385">
        <f>O24*O27*365/2</f>
        <v>100934364.01214287</v>
      </c>
      <c r="P31" s="423"/>
      <c r="Q31" s="50">
        <v>2040</v>
      </c>
      <c r="R31" s="385">
        <f>R24*R27*365/2</f>
        <v>86745507.729285717</v>
      </c>
      <c r="S31" s="374"/>
      <c r="T31" s="374"/>
    </row>
    <row r="32" spans="1:21" x14ac:dyDescent="0.25">
      <c r="A32" s="19"/>
      <c r="B32" s="698"/>
      <c r="C32" s="698"/>
      <c r="D32" s="698"/>
      <c r="E32" s="698"/>
      <c r="F32" s="698"/>
      <c r="G32" s="698"/>
      <c r="H32" s="19"/>
      <c r="J32" s="374"/>
      <c r="K32" s="374"/>
      <c r="L32" s="374"/>
      <c r="M32" s="374"/>
      <c r="N32" s="724" t="s">
        <v>1549</v>
      </c>
      <c r="O32" s="724"/>
      <c r="P32" s="423"/>
      <c r="Q32" s="724" t="s">
        <v>1549</v>
      </c>
      <c r="R32" s="724"/>
      <c r="S32" s="374"/>
      <c r="T32" s="374"/>
    </row>
    <row r="33" spans="1:29" ht="15" customHeight="1" x14ac:dyDescent="0.25">
      <c r="A33" s="19"/>
      <c r="B33" s="698"/>
      <c r="C33" s="698"/>
      <c r="D33" s="698"/>
      <c r="E33" s="698"/>
      <c r="F33" s="698"/>
      <c r="G33" s="698"/>
      <c r="H33" s="19"/>
      <c r="I33" s="25"/>
      <c r="J33" s="374"/>
      <c r="K33" s="374"/>
      <c r="L33" s="374"/>
      <c r="M33" s="374"/>
      <c r="N33" s="50">
        <v>2020</v>
      </c>
      <c r="O33" s="385">
        <f>O23*O28*365/60/2</f>
        <v>1515583.9380952381</v>
      </c>
      <c r="P33" s="423"/>
      <c r="Q33" s="50">
        <v>2020</v>
      </c>
      <c r="R33" s="385">
        <f>R23*R28*365/60/2</f>
        <v>909350.3628571427</v>
      </c>
      <c r="S33" s="374"/>
      <c r="T33" s="374"/>
    </row>
    <row r="34" spans="1:29" ht="15" customHeight="1" x14ac:dyDescent="0.25">
      <c r="A34" s="19"/>
      <c r="B34" s="698"/>
      <c r="C34" s="698"/>
      <c r="D34" s="698"/>
      <c r="E34" s="698"/>
      <c r="F34" s="698"/>
      <c r="G34" s="698"/>
      <c r="H34" s="19"/>
      <c r="I34" s="25"/>
      <c r="J34" s="374"/>
      <c r="K34" s="374"/>
      <c r="L34" s="374"/>
      <c r="M34" s="374"/>
      <c r="N34" s="50">
        <v>2040</v>
      </c>
      <c r="O34" s="385">
        <f>O24*O28*365/60/2</f>
        <v>2149826.7095238096</v>
      </c>
      <c r="P34" s="423"/>
      <c r="Q34" s="50">
        <v>2040</v>
      </c>
      <c r="R34" s="385">
        <f>R24*R28*365/60/2</f>
        <v>1289896.0257142859</v>
      </c>
      <c r="S34" s="374"/>
      <c r="T34" s="374"/>
      <c r="U34" s="73"/>
    </row>
    <row r="35" spans="1:29" ht="15" customHeight="1" thickBot="1" x14ac:dyDescent="0.3">
      <c r="A35" s="19"/>
      <c r="B35" s="24"/>
      <c r="C35" s="24"/>
      <c r="D35" s="24"/>
      <c r="E35" s="24"/>
      <c r="F35" s="24"/>
      <c r="I35" s="37"/>
      <c r="J35" s="374"/>
      <c r="K35" s="374"/>
      <c r="L35" s="374"/>
      <c r="M35" s="374"/>
      <c r="N35" s="725" t="s">
        <v>1546</v>
      </c>
      <c r="O35" s="726"/>
      <c r="P35" s="423"/>
      <c r="Q35" s="727" t="s">
        <v>1546</v>
      </c>
      <c r="R35" s="727"/>
      <c r="S35" s="374"/>
      <c r="T35" s="374"/>
    </row>
    <row r="36" spans="1:29" ht="15.75" thickTop="1" x14ac:dyDescent="0.25">
      <c r="A36" s="88" t="s">
        <v>12</v>
      </c>
      <c r="B36" s="698" t="s">
        <v>1554</v>
      </c>
      <c r="C36" s="698"/>
      <c r="D36" s="698"/>
      <c r="E36" s="698"/>
      <c r="F36" s="698"/>
      <c r="G36" s="698"/>
      <c r="I36" s="49"/>
      <c r="J36" s="423"/>
      <c r="K36" s="423"/>
      <c r="L36" s="423"/>
      <c r="M36" s="423"/>
      <c r="N36" s="469" t="s">
        <v>1487</v>
      </c>
      <c r="O36" s="470">
        <v>19.899999999999999</v>
      </c>
      <c r="P36" s="423"/>
      <c r="Q36" s="469" t="s">
        <v>1487</v>
      </c>
      <c r="R36" s="470">
        <v>17.100000000000001</v>
      </c>
      <c r="S36" s="423"/>
      <c r="T36" s="423"/>
    </row>
    <row r="37" spans="1:29" x14ac:dyDescent="0.25">
      <c r="A37" s="88"/>
      <c r="B37" s="698"/>
      <c r="C37" s="698"/>
      <c r="D37" s="698"/>
      <c r="E37" s="698"/>
      <c r="F37" s="698"/>
      <c r="G37" s="698"/>
      <c r="H37" s="152"/>
      <c r="N37" s="162" t="s">
        <v>1542</v>
      </c>
      <c r="O37" s="435">
        <v>24</v>
      </c>
      <c r="P37" s="423"/>
      <c r="Q37" s="162" t="s">
        <v>1542</v>
      </c>
      <c r="R37" s="435">
        <v>16</v>
      </c>
      <c r="V37" s="423"/>
      <c r="W37" s="423"/>
      <c r="X37" s="423"/>
      <c r="Y37" s="423"/>
      <c r="Z37" s="423"/>
      <c r="AA37" s="423"/>
      <c r="AB37" s="423"/>
      <c r="AC37" s="423"/>
    </row>
    <row r="38" spans="1:29" x14ac:dyDescent="0.25">
      <c r="A38" s="88"/>
      <c r="B38" s="106"/>
      <c r="C38" s="106"/>
      <c r="D38" s="106"/>
      <c r="E38" s="106"/>
      <c r="F38" s="106"/>
      <c r="G38" s="106"/>
      <c r="N38" s="723" t="s">
        <v>1550</v>
      </c>
      <c r="O38" s="723"/>
      <c r="P38" s="423"/>
      <c r="Q38" s="723" t="s">
        <v>1550</v>
      </c>
      <c r="R38" s="723"/>
      <c r="V38" s="423"/>
      <c r="W38" s="423"/>
      <c r="X38" s="423"/>
      <c r="Y38" s="423"/>
      <c r="Z38" s="423"/>
      <c r="AA38" s="423"/>
      <c r="AB38" s="423"/>
      <c r="AC38" s="423"/>
    </row>
    <row r="39" spans="1:29" ht="15" customHeight="1" x14ac:dyDescent="0.25">
      <c r="A39" s="88" t="s">
        <v>14</v>
      </c>
      <c r="B39" s="698" t="s">
        <v>1556</v>
      </c>
      <c r="C39" s="698"/>
      <c r="D39" s="698"/>
      <c r="E39" s="698"/>
      <c r="F39" s="698"/>
      <c r="G39" s="698"/>
      <c r="N39" s="50">
        <v>2020</v>
      </c>
      <c r="O39" s="385">
        <f>O23*O36*365/2</f>
        <v>45240180.552142859</v>
      </c>
      <c r="P39" s="423"/>
      <c r="Q39" s="50">
        <v>2020</v>
      </c>
      <c r="R39" s="385">
        <f>R23*R36*365/2</f>
        <v>38874728.012142859</v>
      </c>
      <c r="V39" s="423"/>
      <c r="W39" s="423"/>
      <c r="X39" s="423"/>
      <c r="Y39" s="423"/>
      <c r="Z39" s="423"/>
      <c r="AA39" s="423"/>
      <c r="AB39" s="423"/>
      <c r="AC39" s="423"/>
    </row>
    <row r="40" spans="1:29" ht="15" customHeight="1" x14ac:dyDescent="0.25">
      <c r="A40" s="19"/>
      <c r="B40" s="698"/>
      <c r="C40" s="698"/>
      <c r="D40" s="698"/>
      <c r="E40" s="698"/>
      <c r="F40" s="698"/>
      <c r="G40" s="698"/>
      <c r="N40" s="50">
        <v>2040</v>
      </c>
      <c r="O40" s="385">
        <f>O24*O36*365/2</f>
        <v>64172327.279285714</v>
      </c>
      <c r="P40" s="423"/>
      <c r="Q40" s="50">
        <v>2040</v>
      </c>
      <c r="R40" s="385">
        <f>R24*R36*365/2</f>
        <v>55143055.099285729</v>
      </c>
      <c r="V40" s="423"/>
      <c r="W40" s="423"/>
      <c r="X40" s="423"/>
      <c r="Y40" s="423"/>
      <c r="Z40" s="423"/>
      <c r="AA40" s="423"/>
      <c r="AB40" s="423"/>
      <c r="AC40" s="423"/>
    </row>
    <row r="41" spans="1:29" ht="15" customHeight="1" x14ac:dyDescent="0.25">
      <c r="A41" s="19"/>
      <c r="B41" s="698"/>
      <c r="C41" s="698"/>
      <c r="D41" s="698"/>
      <c r="E41" s="698"/>
      <c r="F41" s="698"/>
      <c r="G41" s="698"/>
      <c r="N41" s="724" t="s">
        <v>1549</v>
      </c>
      <c r="O41" s="724"/>
      <c r="P41" s="423"/>
      <c r="Q41" s="724" t="s">
        <v>1549</v>
      </c>
      <c r="R41" s="724"/>
      <c r="V41" s="423"/>
      <c r="W41" s="423"/>
      <c r="X41" s="423"/>
      <c r="Y41" s="423"/>
      <c r="Z41" s="423"/>
      <c r="AA41" s="423"/>
      <c r="AB41" s="423"/>
      <c r="AC41" s="423"/>
    </row>
    <row r="42" spans="1:29" ht="15" customHeight="1" x14ac:dyDescent="0.25">
      <c r="A42" s="19"/>
      <c r="B42" s="698"/>
      <c r="C42" s="698"/>
      <c r="D42" s="698"/>
      <c r="E42" s="698"/>
      <c r="F42" s="698"/>
      <c r="G42" s="698"/>
      <c r="N42" s="50">
        <v>2020</v>
      </c>
      <c r="O42" s="385">
        <f>O23*O37*365/60/2</f>
        <v>909350.3628571427</v>
      </c>
      <c r="P42" s="423"/>
      <c r="Q42" s="50">
        <v>2020</v>
      </c>
      <c r="R42" s="385">
        <f>R23*R37*365/60/2</f>
        <v>606233.57523809525</v>
      </c>
      <c r="V42" s="423"/>
      <c r="W42" s="423"/>
      <c r="X42" s="423"/>
      <c r="Y42" s="423"/>
      <c r="Z42" s="423"/>
      <c r="AA42" s="423"/>
      <c r="AB42" s="423"/>
      <c r="AC42" s="423"/>
    </row>
    <row r="43" spans="1:29" x14ac:dyDescent="0.25">
      <c r="A43" s="19"/>
      <c r="B43" s="24"/>
      <c r="C43" s="24"/>
      <c r="D43" s="24"/>
      <c r="E43" s="24"/>
      <c r="F43" s="24"/>
      <c r="N43" s="50">
        <v>2040</v>
      </c>
      <c r="O43" s="385">
        <f>O24*O37*365/60/2</f>
        <v>1289896.0257142859</v>
      </c>
      <c r="P43" s="423"/>
      <c r="Q43" s="50">
        <v>2040</v>
      </c>
      <c r="R43" s="385">
        <f>R24*R37*365/60/2</f>
        <v>859930.68380952394</v>
      </c>
      <c r="V43" s="423"/>
      <c r="W43" s="423"/>
      <c r="X43" s="423"/>
      <c r="Y43" s="423"/>
      <c r="Z43" s="423"/>
      <c r="AA43" s="423"/>
      <c r="AB43" s="423"/>
      <c r="AC43" s="423"/>
    </row>
    <row r="44" spans="1:29" ht="15.75" thickBot="1" x14ac:dyDescent="0.3">
      <c r="A44" s="88" t="s">
        <v>15</v>
      </c>
      <c r="B44" s="698" t="s">
        <v>1687</v>
      </c>
      <c r="C44" s="698"/>
      <c r="D44" s="698"/>
      <c r="E44" s="698"/>
      <c r="F44" s="698"/>
      <c r="G44" s="698"/>
      <c r="N44" s="725" t="s">
        <v>1551</v>
      </c>
      <c r="O44" s="726"/>
      <c r="Q44" s="725" t="s">
        <v>1551</v>
      </c>
      <c r="R44" s="726"/>
      <c r="V44" s="423"/>
      <c r="W44" s="423"/>
      <c r="X44" s="423"/>
      <c r="Y44" s="423"/>
      <c r="Z44" s="423"/>
      <c r="AA44" s="423"/>
      <c r="AB44" s="423"/>
      <c r="AC44" s="423"/>
    </row>
    <row r="45" spans="1:29" s="152" customFormat="1" ht="15.75" thickTop="1" x14ac:dyDescent="0.25">
      <c r="A45" s="19"/>
      <c r="B45" s="698"/>
      <c r="C45" s="698"/>
      <c r="D45" s="698"/>
      <c r="E45" s="698"/>
      <c r="F45" s="698"/>
      <c r="G45" s="698"/>
      <c r="H45" s="73"/>
      <c r="N45" s="723" t="s">
        <v>1550</v>
      </c>
      <c r="O45" s="723"/>
      <c r="P45" s="73"/>
      <c r="Q45" s="723" t="s">
        <v>1550</v>
      </c>
      <c r="R45" s="723"/>
      <c r="U45" s="423"/>
      <c r="V45" s="423"/>
      <c r="W45" s="423"/>
      <c r="X45" s="423"/>
      <c r="Y45" s="423"/>
      <c r="Z45" s="423"/>
      <c r="AA45" s="423"/>
      <c r="AB45" s="423"/>
      <c r="AC45" s="423"/>
    </row>
    <row r="46" spans="1:29" s="152" customFormat="1" x14ac:dyDescent="0.25">
      <c r="A46" s="19"/>
      <c r="B46" s="698"/>
      <c r="C46" s="698"/>
      <c r="D46" s="698"/>
      <c r="E46" s="698"/>
      <c r="F46" s="698"/>
      <c r="G46" s="698"/>
      <c r="H46" s="73"/>
      <c r="N46" s="50">
        <v>2020</v>
      </c>
      <c r="O46" s="385">
        <f>SUM(O30,O39)</f>
        <v>116396846.44571428</v>
      </c>
      <c r="P46" s="73"/>
      <c r="Q46" s="50">
        <v>2020</v>
      </c>
      <c r="R46" s="385">
        <f>SUM(R30,R39)</f>
        <v>100028539.91428572</v>
      </c>
      <c r="U46" s="423"/>
      <c r="V46" s="423"/>
      <c r="W46" s="423"/>
      <c r="X46" s="423"/>
      <c r="Y46" s="423"/>
      <c r="Z46" s="423"/>
      <c r="AA46" s="423"/>
      <c r="AB46" s="423"/>
      <c r="AC46" s="423"/>
    </row>
    <row r="47" spans="1:29" x14ac:dyDescent="0.25">
      <c r="A47" s="19"/>
      <c r="B47" s="698"/>
      <c r="C47" s="698"/>
      <c r="D47" s="698"/>
      <c r="E47" s="698"/>
      <c r="F47" s="698"/>
      <c r="G47" s="698"/>
      <c r="H47" s="19"/>
      <c r="N47" s="50">
        <v>2040</v>
      </c>
      <c r="O47" s="385">
        <f>SUM(O31,O40)</f>
        <v>165106691.29142857</v>
      </c>
      <c r="Q47" s="50">
        <v>2040</v>
      </c>
      <c r="R47" s="385">
        <f>SUM(R31,R40)</f>
        <v>141888562.82857144</v>
      </c>
      <c r="V47" s="423"/>
      <c r="W47" s="423"/>
      <c r="X47" s="423"/>
      <c r="Y47" s="423"/>
      <c r="Z47" s="423"/>
      <c r="AA47" s="423"/>
      <c r="AB47" s="423"/>
      <c r="AC47" s="423"/>
    </row>
    <row r="48" spans="1:29" ht="15" customHeight="1" x14ac:dyDescent="0.25">
      <c r="A48" s="19"/>
      <c r="B48" s="698"/>
      <c r="C48" s="698"/>
      <c r="D48" s="698"/>
      <c r="E48" s="698"/>
      <c r="F48" s="698"/>
      <c r="G48" s="698"/>
      <c r="H48" s="19"/>
      <c r="N48" s="724" t="s">
        <v>1549</v>
      </c>
      <c r="O48" s="724"/>
      <c r="Q48" s="724" t="s">
        <v>1549</v>
      </c>
      <c r="R48" s="724"/>
      <c r="V48" s="423"/>
      <c r="W48" s="423"/>
      <c r="X48" s="423"/>
      <c r="Y48" s="423"/>
      <c r="Z48" s="423"/>
      <c r="AA48" s="423"/>
      <c r="AB48" s="423"/>
      <c r="AC48" s="423"/>
    </row>
    <row r="49" spans="1:29" x14ac:dyDescent="0.25">
      <c r="A49" s="19"/>
      <c r="B49" s="698"/>
      <c r="C49" s="698"/>
      <c r="D49" s="698"/>
      <c r="E49" s="698"/>
      <c r="F49" s="698"/>
      <c r="G49" s="698"/>
      <c r="H49" s="19"/>
      <c r="N49" s="471">
        <v>2020</v>
      </c>
      <c r="O49" s="472">
        <f>SUM(O33,O42)</f>
        <v>2424934.3009523805</v>
      </c>
      <c r="Q49" s="471">
        <v>2020</v>
      </c>
      <c r="R49" s="472">
        <f>SUM(R33,R42)</f>
        <v>1515583.9380952381</v>
      </c>
      <c r="V49" s="423"/>
      <c r="W49" s="423"/>
      <c r="X49" s="423"/>
      <c r="Y49" s="423"/>
      <c r="Z49" s="423"/>
      <c r="AA49" s="423"/>
      <c r="AB49" s="423"/>
      <c r="AC49" s="423"/>
    </row>
    <row r="50" spans="1:29" x14ac:dyDescent="0.25">
      <c r="A50" s="19"/>
      <c r="B50" s="110"/>
      <c r="C50" s="110"/>
      <c r="D50" s="110"/>
      <c r="E50" s="110"/>
      <c r="F50" s="110"/>
      <c r="G50" s="152"/>
      <c r="N50" s="471">
        <v>2040</v>
      </c>
      <c r="O50" s="472">
        <f>SUM(O34,O43)</f>
        <v>3439722.7352380957</v>
      </c>
      <c r="Q50" s="471">
        <v>2040</v>
      </c>
      <c r="R50" s="472">
        <f>SUM(R34,R43)</f>
        <v>2149826.7095238101</v>
      </c>
      <c r="V50" s="423"/>
      <c r="W50" s="423"/>
      <c r="X50" s="423"/>
      <c r="Y50" s="423"/>
      <c r="Z50" s="423"/>
      <c r="AA50" s="423"/>
      <c r="AB50" s="423"/>
      <c r="AC50" s="423"/>
    </row>
    <row r="51" spans="1:29" x14ac:dyDescent="0.25">
      <c r="A51" s="7" t="s">
        <v>81</v>
      </c>
      <c r="B51" s="698" t="s">
        <v>1555</v>
      </c>
      <c r="C51" s="698"/>
      <c r="D51" s="698"/>
      <c r="E51" s="698"/>
      <c r="F51" s="698"/>
      <c r="G51" s="698"/>
      <c r="V51" s="423"/>
      <c r="W51" s="423"/>
      <c r="X51" s="423"/>
      <c r="Y51" s="423"/>
      <c r="Z51" s="423"/>
      <c r="AA51" s="423"/>
      <c r="AB51" s="423"/>
      <c r="AC51" s="423"/>
    </row>
    <row r="52" spans="1:29" x14ac:dyDescent="0.25">
      <c r="B52" s="698"/>
      <c r="C52" s="698"/>
      <c r="D52" s="698"/>
      <c r="E52" s="698"/>
      <c r="F52" s="698"/>
      <c r="G52" s="698"/>
      <c r="V52" s="423"/>
      <c r="W52" s="423"/>
      <c r="X52" s="423"/>
      <c r="Y52" s="423"/>
      <c r="Z52" s="423"/>
      <c r="AA52" s="423"/>
      <c r="AB52" s="423"/>
      <c r="AC52" s="423"/>
    </row>
    <row r="53" spans="1:29" x14ac:dyDescent="0.25">
      <c r="B53" s="110"/>
      <c r="C53" s="110"/>
      <c r="D53" s="110"/>
      <c r="E53" s="110"/>
      <c r="F53" s="110"/>
      <c r="G53" s="110"/>
      <c r="V53" s="423"/>
      <c r="W53" s="423"/>
      <c r="X53" s="423"/>
      <c r="Y53" s="423"/>
      <c r="Z53" s="423"/>
      <c r="AA53" s="423"/>
      <c r="AB53" s="423"/>
      <c r="AC53" s="423"/>
    </row>
    <row r="54" spans="1:29" x14ac:dyDescent="0.25">
      <c r="B54" s="110"/>
      <c r="C54" s="110"/>
      <c r="D54" s="110"/>
      <c r="E54" s="110"/>
      <c r="F54" s="110"/>
      <c r="G54" s="110"/>
      <c r="V54" s="423"/>
      <c r="W54" s="423"/>
      <c r="X54" s="423"/>
      <c r="Y54" s="423"/>
      <c r="Z54" s="423"/>
      <c r="AA54" s="423"/>
      <c r="AB54" s="423"/>
      <c r="AC54" s="423"/>
    </row>
    <row r="55" spans="1:29" x14ac:dyDescent="0.25">
      <c r="B55" s="24"/>
      <c r="C55" s="24"/>
      <c r="D55" s="24"/>
      <c r="V55" s="423"/>
      <c r="W55" s="423"/>
      <c r="X55" s="423"/>
      <c r="Y55" s="423"/>
      <c r="Z55" s="423"/>
      <c r="AA55" s="423"/>
      <c r="AB55" s="423"/>
      <c r="AC55" s="423"/>
    </row>
    <row r="56" spans="1:29" x14ac:dyDescent="0.25">
      <c r="B56" s="24"/>
      <c r="C56" s="24"/>
      <c r="D56" s="24"/>
      <c r="V56" s="423"/>
      <c r="W56" s="423"/>
      <c r="X56" s="423"/>
      <c r="Y56" s="423"/>
      <c r="Z56" s="423"/>
      <c r="AA56" s="423"/>
      <c r="AB56" s="423"/>
      <c r="AC56" s="423"/>
    </row>
    <row r="57" spans="1:29" x14ac:dyDescent="0.25">
      <c r="B57" s="24"/>
      <c r="C57" s="24"/>
      <c r="D57" s="24"/>
      <c r="V57" s="423"/>
      <c r="W57" s="423"/>
      <c r="X57" s="423"/>
      <c r="Y57" s="423"/>
      <c r="Z57" s="423"/>
      <c r="AA57" s="423"/>
      <c r="AB57" s="423"/>
      <c r="AC57" s="423"/>
    </row>
    <row r="58" spans="1:29" x14ac:dyDescent="0.25">
      <c r="V58" s="423"/>
      <c r="W58" s="423"/>
      <c r="X58" s="423"/>
      <c r="Y58" s="423"/>
      <c r="Z58" s="423"/>
      <c r="AA58" s="423"/>
      <c r="AB58" s="423"/>
      <c r="AC58" s="423"/>
    </row>
    <row r="59" spans="1:29" x14ac:dyDescent="0.25">
      <c r="I59" s="11"/>
      <c r="J59" s="11"/>
      <c r="K59" s="11"/>
      <c r="L59" s="11"/>
      <c r="M59" s="11"/>
      <c r="N59" s="11"/>
      <c r="O59" s="11"/>
      <c r="P59" s="11"/>
      <c r="Q59" s="11"/>
      <c r="R59" s="11"/>
      <c r="S59" s="11"/>
      <c r="T59" s="11"/>
      <c r="U59" s="11"/>
      <c r="V59" s="423"/>
      <c r="W59" s="423"/>
      <c r="X59" s="423"/>
      <c r="Y59" s="423"/>
      <c r="Z59" s="423"/>
      <c r="AA59" s="423"/>
      <c r="AB59" s="423"/>
      <c r="AC59" s="423"/>
    </row>
    <row r="60" spans="1:29" x14ac:dyDescent="0.25">
      <c r="I60" s="11"/>
      <c r="J60" s="11"/>
      <c r="K60" s="11"/>
      <c r="L60" s="11"/>
      <c r="M60" s="11"/>
      <c r="N60" s="11"/>
      <c r="O60" s="11"/>
      <c r="P60" s="11"/>
      <c r="Q60" s="11"/>
      <c r="R60" s="11"/>
      <c r="S60" s="11"/>
      <c r="T60" s="11"/>
      <c r="U60" s="11"/>
      <c r="V60" s="423"/>
      <c r="W60" s="423"/>
      <c r="X60" s="423"/>
      <c r="Y60" s="423"/>
      <c r="Z60" s="423"/>
      <c r="AA60" s="423"/>
      <c r="AB60" s="423"/>
      <c r="AC60" s="423"/>
    </row>
    <row r="61" spans="1:29" x14ac:dyDescent="0.25">
      <c r="I61" s="11"/>
      <c r="J61" s="11"/>
      <c r="K61" s="11"/>
      <c r="L61" s="11"/>
      <c r="M61" s="11"/>
      <c r="N61" s="11"/>
      <c r="O61" s="11"/>
      <c r="P61" s="11"/>
      <c r="Q61" s="11"/>
      <c r="R61" s="11"/>
      <c r="S61" s="11"/>
      <c r="T61" s="11"/>
      <c r="U61" s="11"/>
      <c r="V61" s="423"/>
      <c r="W61" s="423"/>
      <c r="X61" s="423"/>
      <c r="Y61" s="423"/>
      <c r="Z61" s="423"/>
      <c r="AA61" s="423"/>
      <c r="AB61" s="423"/>
      <c r="AC61" s="423"/>
    </row>
    <row r="62" spans="1:29" x14ac:dyDescent="0.25">
      <c r="H62" s="11"/>
      <c r="I62" s="11"/>
      <c r="J62" s="11"/>
      <c r="K62" s="11"/>
      <c r="L62" s="11"/>
      <c r="M62" s="11"/>
      <c r="N62" s="11"/>
      <c r="O62" s="11"/>
      <c r="P62" s="11"/>
      <c r="Q62" s="11"/>
      <c r="R62" s="11"/>
      <c r="S62" s="11"/>
      <c r="T62" s="11"/>
      <c r="U62" s="11"/>
      <c r="V62" s="423"/>
      <c r="W62" s="423"/>
      <c r="X62" s="423"/>
      <c r="Y62" s="423"/>
      <c r="Z62" s="423"/>
      <c r="AA62" s="423"/>
      <c r="AB62" s="423"/>
      <c r="AC62" s="423"/>
    </row>
    <row r="63" spans="1:29" x14ac:dyDescent="0.25">
      <c r="H63" s="11"/>
      <c r="I63" s="11"/>
      <c r="J63" s="11"/>
      <c r="K63" s="11"/>
      <c r="L63" s="11"/>
      <c r="M63" s="11"/>
      <c r="N63" s="11"/>
      <c r="O63" s="11"/>
      <c r="P63" s="11"/>
      <c r="Q63" s="11"/>
      <c r="R63" s="11"/>
      <c r="S63" s="11"/>
      <c r="T63" s="11"/>
      <c r="U63" s="11"/>
      <c r="V63" s="423"/>
      <c r="W63" s="423"/>
      <c r="X63" s="423"/>
      <c r="Y63" s="423"/>
      <c r="Z63" s="423"/>
      <c r="AA63" s="423"/>
      <c r="AB63" s="423"/>
      <c r="AC63" s="423"/>
    </row>
    <row r="64" spans="1:29" x14ac:dyDescent="0.25">
      <c r="H64" s="11"/>
      <c r="I64" s="11"/>
      <c r="J64" s="11"/>
      <c r="K64" s="11"/>
      <c r="L64" s="11"/>
      <c r="M64" s="11"/>
      <c r="N64" s="11"/>
      <c r="O64" s="11"/>
      <c r="P64" s="11"/>
      <c r="Q64" s="11"/>
      <c r="R64" s="11"/>
      <c r="S64" s="11"/>
      <c r="T64" s="11"/>
      <c r="U64" s="11"/>
      <c r="V64" s="423"/>
      <c r="W64" s="423"/>
      <c r="X64" s="423"/>
      <c r="Y64" s="423"/>
      <c r="Z64" s="423"/>
      <c r="AA64" s="423"/>
      <c r="AB64" s="423"/>
      <c r="AC64" s="423"/>
    </row>
    <row r="65" spans="8:29" x14ac:dyDescent="0.25">
      <c r="H65" s="11"/>
      <c r="I65" s="11"/>
      <c r="J65" s="11"/>
      <c r="K65" s="11"/>
      <c r="L65" s="11"/>
      <c r="M65" s="11"/>
      <c r="N65" s="11"/>
      <c r="O65" s="11"/>
      <c r="P65" s="11"/>
      <c r="Q65" s="11"/>
      <c r="R65" s="11"/>
      <c r="S65" s="11"/>
      <c r="T65" s="11"/>
      <c r="U65" s="11"/>
      <c r="V65" s="423"/>
      <c r="W65" s="423"/>
      <c r="X65" s="423"/>
      <c r="Y65" s="423"/>
      <c r="Z65" s="423"/>
      <c r="AA65" s="423"/>
      <c r="AB65" s="423"/>
      <c r="AC65" s="423"/>
    </row>
    <row r="66" spans="8:29" x14ac:dyDescent="0.25">
      <c r="H66" s="11"/>
      <c r="I66" s="11"/>
      <c r="J66" s="11"/>
      <c r="K66" s="11"/>
      <c r="L66" s="11"/>
      <c r="M66" s="11"/>
      <c r="N66" s="11"/>
      <c r="O66" s="11"/>
      <c r="P66" s="11"/>
      <c r="Q66" s="11"/>
      <c r="R66" s="11"/>
      <c r="S66" s="11"/>
      <c r="T66" s="11"/>
      <c r="U66" s="11"/>
      <c r="V66" s="423"/>
      <c r="W66" s="423"/>
      <c r="X66" s="423"/>
      <c r="Y66" s="423"/>
      <c r="Z66" s="423"/>
      <c r="AA66" s="423"/>
      <c r="AB66" s="423"/>
      <c r="AC66" s="423"/>
    </row>
    <row r="67" spans="8:29" x14ac:dyDescent="0.25">
      <c r="H67" s="11"/>
      <c r="I67" s="11"/>
      <c r="J67" s="11"/>
      <c r="K67" s="11"/>
      <c r="L67" s="11"/>
      <c r="M67" s="11"/>
      <c r="N67" s="11"/>
      <c r="O67" s="11"/>
      <c r="P67" s="11"/>
      <c r="Q67" s="11"/>
      <c r="R67" s="11"/>
      <c r="S67" s="11"/>
      <c r="T67" s="11"/>
      <c r="U67" s="11"/>
      <c r="V67" s="423"/>
      <c r="W67" s="423"/>
      <c r="X67" s="423"/>
      <c r="Y67" s="423"/>
      <c r="Z67" s="423"/>
      <c r="AA67" s="423"/>
      <c r="AB67" s="423"/>
      <c r="AC67" s="423"/>
    </row>
    <row r="68" spans="8:29" x14ac:dyDescent="0.25">
      <c r="H68" s="11"/>
      <c r="I68" s="11"/>
      <c r="J68" s="11"/>
      <c r="K68" s="11"/>
      <c r="L68" s="11"/>
      <c r="M68" s="11"/>
      <c r="N68" s="11"/>
      <c r="O68" s="11"/>
      <c r="P68" s="11"/>
      <c r="Q68" s="11"/>
      <c r="R68" s="11"/>
      <c r="S68" s="11"/>
      <c r="T68" s="11"/>
      <c r="U68" s="11"/>
      <c r="V68" s="423"/>
      <c r="W68" s="423"/>
      <c r="X68" s="423"/>
      <c r="Y68" s="423"/>
      <c r="Z68" s="423"/>
      <c r="AA68" s="423"/>
      <c r="AB68" s="423"/>
      <c r="AC68" s="423"/>
    </row>
    <row r="69" spans="8:29" x14ac:dyDescent="0.25">
      <c r="H69" s="11"/>
      <c r="I69" s="11"/>
      <c r="J69" s="11"/>
      <c r="K69" s="11"/>
      <c r="L69" s="11"/>
      <c r="M69" s="11"/>
      <c r="N69" s="11"/>
      <c r="O69" s="11"/>
      <c r="P69" s="11"/>
      <c r="Q69" s="11"/>
      <c r="R69" s="11"/>
      <c r="S69" s="11"/>
      <c r="T69" s="11"/>
      <c r="U69" s="11"/>
      <c r="V69" s="423"/>
      <c r="W69" s="423"/>
      <c r="X69" s="423"/>
      <c r="Y69" s="423"/>
      <c r="Z69" s="423"/>
      <c r="AA69" s="423"/>
      <c r="AB69" s="423"/>
      <c r="AC69" s="423"/>
    </row>
    <row r="70" spans="8:29" x14ac:dyDescent="0.25">
      <c r="H70" s="11"/>
      <c r="I70" s="11"/>
      <c r="J70" s="11"/>
      <c r="K70" s="11"/>
      <c r="L70" s="11"/>
      <c r="M70" s="11"/>
      <c r="N70" s="11"/>
      <c r="O70" s="11"/>
      <c r="P70" s="11"/>
      <c r="Q70" s="11"/>
      <c r="R70" s="11"/>
      <c r="S70" s="11"/>
      <c r="T70" s="11"/>
      <c r="U70" s="11"/>
      <c r="V70" s="423"/>
      <c r="W70" s="423"/>
      <c r="X70" s="423"/>
      <c r="Y70" s="423"/>
      <c r="Z70" s="423"/>
      <c r="AA70" s="423"/>
      <c r="AB70" s="423"/>
      <c r="AC70" s="423"/>
    </row>
    <row r="71" spans="8:29" x14ac:dyDescent="0.25">
      <c r="H71" s="11"/>
      <c r="I71" s="11"/>
      <c r="J71" s="11"/>
      <c r="K71" s="11"/>
      <c r="L71" s="11"/>
      <c r="M71" s="11"/>
      <c r="N71" s="11"/>
      <c r="O71" s="11"/>
      <c r="P71" s="11"/>
      <c r="Q71" s="11"/>
      <c r="R71" s="11"/>
      <c r="S71" s="11"/>
      <c r="T71" s="11"/>
      <c r="U71" s="11"/>
      <c r="V71" s="423"/>
      <c r="W71" s="423"/>
      <c r="X71" s="423"/>
      <c r="Y71" s="423"/>
      <c r="Z71" s="423"/>
      <c r="AA71" s="423"/>
      <c r="AB71" s="423"/>
      <c r="AC71" s="423"/>
    </row>
    <row r="72" spans="8:29" x14ac:dyDescent="0.25">
      <c r="H72" s="11"/>
      <c r="I72" s="11"/>
      <c r="J72" s="11"/>
      <c r="K72" s="11"/>
      <c r="L72" s="11"/>
      <c r="M72" s="11"/>
      <c r="N72" s="11"/>
      <c r="O72" s="11"/>
      <c r="P72" s="11"/>
      <c r="Q72" s="11"/>
      <c r="R72" s="11"/>
      <c r="S72" s="11"/>
      <c r="T72" s="11"/>
      <c r="U72" s="11"/>
      <c r="V72" s="423"/>
      <c r="W72" s="423"/>
      <c r="X72" s="423"/>
      <c r="Y72" s="423"/>
      <c r="Z72" s="423"/>
      <c r="AA72" s="423"/>
      <c r="AB72" s="423"/>
      <c r="AC72" s="423"/>
    </row>
    <row r="73" spans="8:29" x14ac:dyDescent="0.25">
      <c r="H73" s="11"/>
      <c r="I73" s="11"/>
      <c r="J73" s="11"/>
      <c r="K73" s="11"/>
      <c r="L73" s="11"/>
      <c r="M73" s="11"/>
      <c r="N73" s="11"/>
      <c r="O73" s="11"/>
      <c r="P73" s="11"/>
      <c r="Q73" s="11"/>
      <c r="R73" s="11"/>
      <c r="S73" s="11"/>
      <c r="T73" s="11"/>
      <c r="U73" s="11"/>
      <c r="V73" s="423"/>
      <c r="W73" s="423"/>
      <c r="X73" s="423"/>
      <c r="Y73" s="423"/>
      <c r="Z73" s="423"/>
      <c r="AA73" s="423"/>
      <c r="AB73" s="423"/>
      <c r="AC73" s="423"/>
    </row>
    <row r="74" spans="8:29" x14ac:dyDescent="0.25">
      <c r="H74" s="11"/>
      <c r="I74" s="11"/>
      <c r="J74" s="11"/>
      <c r="K74" s="11"/>
      <c r="L74" s="11"/>
      <c r="M74" s="11"/>
      <c r="N74" s="11"/>
      <c r="O74" s="11"/>
      <c r="P74" s="11"/>
      <c r="Q74" s="11"/>
      <c r="R74" s="11"/>
      <c r="S74" s="11"/>
      <c r="T74" s="11"/>
      <c r="U74" s="11"/>
      <c r="V74" s="423"/>
      <c r="W74" s="423"/>
      <c r="X74" s="423"/>
      <c r="Y74" s="423"/>
      <c r="Z74" s="423"/>
      <c r="AA74" s="423"/>
      <c r="AB74" s="423"/>
      <c r="AC74" s="423"/>
    </row>
    <row r="75" spans="8:29" x14ac:dyDescent="0.25">
      <c r="H75" s="11"/>
      <c r="I75" s="11"/>
      <c r="J75" s="11"/>
      <c r="K75" s="11"/>
      <c r="L75" s="11"/>
      <c r="M75" s="11"/>
      <c r="N75" s="11"/>
      <c r="O75" s="11"/>
      <c r="P75" s="11"/>
      <c r="Q75" s="11"/>
      <c r="R75" s="11"/>
      <c r="S75" s="11"/>
      <c r="T75" s="11"/>
      <c r="U75" s="11"/>
      <c r="V75" s="423"/>
      <c r="W75" s="423"/>
      <c r="X75" s="423"/>
      <c r="Y75" s="423"/>
      <c r="Z75" s="423"/>
      <c r="AA75" s="423"/>
      <c r="AB75" s="423"/>
      <c r="AC75" s="423"/>
    </row>
    <row r="76" spans="8:29" x14ac:dyDescent="0.25">
      <c r="H76" s="11"/>
      <c r="I76" s="11"/>
      <c r="J76" s="11"/>
      <c r="K76" s="11"/>
      <c r="L76" s="11"/>
      <c r="M76" s="11"/>
      <c r="N76" s="11"/>
      <c r="O76" s="11"/>
      <c r="P76" s="11"/>
      <c r="Q76" s="11"/>
      <c r="R76" s="11"/>
      <c r="S76" s="11"/>
      <c r="T76" s="11"/>
      <c r="U76" s="11"/>
      <c r="V76" s="423"/>
      <c r="W76" s="423"/>
      <c r="X76" s="423"/>
      <c r="Y76" s="423"/>
      <c r="Z76" s="423"/>
      <c r="AA76" s="423"/>
      <c r="AB76" s="423"/>
      <c r="AC76" s="423"/>
    </row>
    <row r="77" spans="8:29" x14ac:dyDescent="0.25">
      <c r="H77" s="11"/>
      <c r="I77" s="11"/>
      <c r="J77" s="11"/>
      <c r="K77" s="11"/>
      <c r="L77" s="11"/>
      <c r="M77" s="11"/>
      <c r="N77" s="11"/>
      <c r="O77" s="11"/>
      <c r="P77" s="11"/>
      <c r="Q77" s="11"/>
      <c r="R77" s="11"/>
      <c r="S77" s="11"/>
      <c r="T77" s="11"/>
      <c r="U77" s="11"/>
      <c r="V77" s="423"/>
      <c r="W77" s="423"/>
      <c r="X77" s="423"/>
      <c r="Y77" s="423"/>
      <c r="Z77" s="423"/>
      <c r="AA77" s="423"/>
      <c r="AB77" s="423"/>
      <c r="AC77" s="423"/>
    </row>
    <row r="78" spans="8:29" x14ac:dyDescent="0.25">
      <c r="H78" s="11"/>
      <c r="I78" s="11"/>
      <c r="J78" s="11"/>
      <c r="K78" s="11"/>
      <c r="L78" s="11"/>
      <c r="M78" s="11"/>
      <c r="N78" s="11"/>
      <c r="O78" s="11"/>
      <c r="P78" s="11"/>
      <c r="Q78" s="11"/>
      <c r="R78" s="11"/>
      <c r="S78" s="11"/>
      <c r="T78" s="11"/>
      <c r="U78" s="11"/>
      <c r="V78" s="423"/>
      <c r="W78" s="423"/>
      <c r="X78" s="423"/>
      <c r="Y78" s="423"/>
      <c r="Z78" s="423"/>
      <c r="AA78" s="423"/>
      <c r="AB78" s="423"/>
      <c r="AC78" s="423"/>
    </row>
    <row r="79" spans="8:29" x14ac:dyDescent="0.25">
      <c r="H79" s="11"/>
      <c r="I79" s="11"/>
      <c r="J79" s="11"/>
      <c r="K79" s="11"/>
      <c r="L79" s="11"/>
      <c r="M79" s="11"/>
      <c r="N79" s="11"/>
      <c r="O79" s="11"/>
      <c r="P79" s="11"/>
      <c r="Q79" s="11"/>
      <c r="R79" s="11"/>
      <c r="S79" s="11"/>
      <c r="T79" s="11"/>
      <c r="U79" s="11"/>
      <c r="V79" s="423"/>
      <c r="W79" s="423"/>
      <c r="X79" s="423"/>
      <c r="Y79" s="423"/>
      <c r="Z79" s="423"/>
      <c r="AA79" s="423"/>
      <c r="AB79" s="423"/>
      <c r="AC79" s="423"/>
    </row>
    <row r="80" spans="8:29" x14ac:dyDescent="0.25">
      <c r="H80" s="11"/>
      <c r="I80" s="11"/>
      <c r="J80" s="11"/>
      <c r="K80" s="11"/>
      <c r="L80" s="11"/>
      <c r="M80" s="11"/>
      <c r="N80" s="11"/>
      <c r="O80" s="11"/>
      <c r="P80" s="11"/>
      <c r="Q80" s="11"/>
      <c r="R80" s="11"/>
      <c r="S80" s="11"/>
      <c r="T80" s="11"/>
      <c r="U80" s="11"/>
      <c r="V80" s="423"/>
      <c r="W80" s="423"/>
      <c r="X80" s="423"/>
      <c r="Y80" s="423"/>
      <c r="Z80" s="423"/>
      <c r="AA80" s="423"/>
      <c r="AB80" s="423"/>
      <c r="AC80" s="423"/>
    </row>
    <row r="81" spans="8:29" x14ac:dyDescent="0.25">
      <c r="H81" s="11"/>
      <c r="I81" s="11"/>
      <c r="J81" s="11"/>
      <c r="K81" s="11"/>
      <c r="L81" s="11"/>
      <c r="M81" s="11"/>
      <c r="N81" s="11"/>
      <c r="O81" s="11"/>
      <c r="P81" s="11"/>
      <c r="Q81" s="11"/>
      <c r="R81" s="11"/>
      <c r="S81" s="11"/>
      <c r="T81" s="11"/>
      <c r="U81" s="11"/>
      <c r="V81" s="423"/>
      <c r="W81" s="423"/>
      <c r="X81" s="423"/>
      <c r="Y81" s="423"/>
      <c r="Z81" s="423"/>
      <c r="AA81" s="423"/>
      <c r="AB81" s="423"/>
      <c r="AC81" s="423"/>
    </row>
    <row r="82" spans="8:29" x14ac:dyDescent="0.25">
      <c r="H82" s="11"/>
      <c r="I82" s="11"/>
      <c r="J82" s="11"/>
      <c r="K82" s="11"/>
      <c r="L82" s="11"/>
      <c r="M82" s="11"/>
      <c r="N82" s="11"/>
      <c r="O82" s="11"/>
      <c r="P82" s="11"/>
      <c r="Q82" s="11"/>
      <c r="R82" s="11"/>
      <c r="S82" s="11"/>
      <c r="T82" s="11"/>
      <c r="U82" s="11"/>
      <c r="V82" s="423"/>
      <c r="W82" s="423"/>
      <c r="X82" s="423"/>
      <c r="Y82" s="423"/>
      <c r="Z82" s="423"/>
      <c r="AA82" s="423"/>
      <c r="AB82" s="423"/>
      <c r="AC82" s="423"/>
    </row>
    <row r="83" spans="8:29" x14ac:dyDescent="0.25">
      <c r="H83" s="11"/>
      <c r="I83" s="11"/>
      <c r="J83" s="11"/>
      <c r="K83" s="11"/>
      <c r="L83" s="11"/>
      <c r="M83" s="11"/>
      <c r="N83" s="11"/>
      <c r="O83" s="11"/>
      <c r="P83" s="11"/>
      <c r="Q83" s="11"/>
      <c r="R83" s="11"/>
      <c r="S83" s="11"/>
      <c r="T83" s="11"/>
      <c r="U83" s="11"/>
      <c r="V83" s="423"/>
      <c r="W83" s="423"/>
      <c r="X83" s="423"/>
      <c r="Y83" s="423"/>
      <c r="Z83" s="423"/>
      <c r="AA83" s="423"/>
      <c r="AB83" s="423"/>
      <c r="AC83" s="423"/>
    </row>
    <row r="84" spans="8:29" x14ac:dyDescent="0.25">
      <c r="H84" s="11"/>
      <c r="I84" s="11"/>
      <c r="J84" s="11"/>
      <c r="K84" s="11"/>
      <c r="L84" s="11"/>
      <c r="M84" s="11"/>
      <c r="N84" s="11"/>
      <c r="O84" s="11"/>
      <c r="P84" s="11"/>
      <c r="Q84" s="11"/>
      <c r="R84" s="11"/>
      <c r="S84" s="11"/>
      <c r="T84" s="11"/>
      <c r="U84" s="11"/>
      <c r="V84" s="423"/>
      <c r="W84" s="423"/>
      <c r="X84" s="423"/>
      <c r="Y84" s="423"/>
      <c r="Z84" s="423"/>
      <c r="AA84" s="423"/>
      <c r="AB84" s="423"/>
      <c r="AC84" s="423"/>
    </row>
    <row r="85" spans="8:29" x14ac:dyDescent="0.25">
      <c r="H85" s="11"/>
      <c r="I85" s="11"/>
      <c r="J85" s="11"/>
      <c r="K85" s="11"/>
      <c r="L85" s="11"/>
      <c r="M85" s="11"/>
      <c r="N85" s="11"/>
      <c r="O85" s="11"/>
      <c r="P85" s="11"/>
      <c r="Q85" s="11"/>
      <c r="R85" s="11"/>
      <c r="S85" s="11"/>
      <c r="T85" s="11"/>
      <c r="U85" s="11"/>
      <c r="V85" s="423"/>
      <c r="W85" s="423"/>
      <c r="X85" s="423"/>
      <c r="Y85" s="423"/>
      <c r="Z85" s="423"/>
      <c r="AA85" s="423"/>
      <c r="AB85" s="423"/>
      <c r="AC85" s="423"/>
    </row>
    <row r="86" spans="8:29" x14ac:dyDescent="0.25">
      <c r="H86" s="11"/>
      <c r="I86" s="11"/>
      <c r="J86" s="11"/>
      <c r="K86" s="11"/>
      <c r="L86" s="11"/>
      <c r="M86" s="11"/>
      <c r="N86" s="11"/>
      <c r="O86" s="11"/>
      <c r="P86" s="11"/>
      <c r="Q86" s="11"/>
      <c r="R86" s="11"/>
      <c r="S86" s="11"/>
      <c r="T86" s="11"/>
      <c r="U86" s="11"/>
      <c r="V86" s="423"/>
      <c r="W86" s="423"/>
      <c r="X86" s="423"/>
      <c r="Y86" s="423"/>
      <c r="Z86" s="423"/>
      <c r="AA86" s="423"/>
      <c r="AB86" s="423"/>
      <c r="AC86" s="423"/>
    </row>
    <row r="87" spans="8:29" x14ac:dyDescent="0.25">
      <c r="H87" s="11"/>
      <c r="I87" s="11"/>
      <c r="J87" s="11"/>
      <c r="K87" s="11"/>
      <c r="L87" s="11"/>
      <c r="M87" s="11"/>
      <c r="N87" s="11"/>
      <c r="O87" s="11"/>
      <c r="P87" s="11"/>
      <c r="Q87" s="11"/>
      <c r="R87" s="11"/>
      <c r="S87" s="11"/>
      <c r="T87" s="11"/>
      <c r="U87" s="11"/>
      <c r="V87" s="423"/>
      <c r="W87" s="423"/>
      <c r="X87" s="423"/>
      <c r="Y87" s="423"/>
      <c r="Z87" s="423"/>
      <c r="AA87" s="423"/>
      <c r="AB87" s="423"/>
      <c r="AC87" s="423"/>
    </row>
    <row r="88" spans="8:29" x14ac:dyDescent="0.25">
      <c r="H88" s="11"/>
      <c r="I88" s="11"/>
      <c r="J88" s="11"/>
      <c r="K88" s="11"/>
      <c r="L88" s="11"/>
      <c r="M88" s="11"/>
      <c r="N88" s="11"/>
      <c r="O88" s="11"/>
      <c r="P88" s="11"/>
      <c r="Q88" s="11"/>
      <c r="R88" s="11"/>
      <c r="S88" s="11"/>
      <c r="T88" s="11"/>
      <c r="U88" s="11"/>
      <c r="V88" s="423"/>
      <c r="W88" s="423"/>
      <c r="X88" s="423"/>
      <c r="Y88" s="423"/>
      <c r="Z88" s="423"/>
      <c r="AA88" s="423"/>
      <c r="AB88" s="423"/>
      <c r="AC88" s="423"/>
    </row>
    <row r="89" spans="8:29" x14ac:dyDescent="0.25">
      <c r="H89" s="11"/>
      <c r="I89" s="11"/>
      <c r="J89" s="11"/>
      <c r="K89" s="11"/>
      <c r="L89" s="11"/>
      <c r="M89" s="11"/>
      <c r="N89" s="11"/>
      <c r="O89" s="11"/>
      <c r="P89" s="11"/>
      <c r="Q89" s="11"/>
      <c r="R89" s="11"/>
      <c r="S89" s="11"/>
      <c r="T89" s="11"/>
      <c r="U89" s="11"/>
      <c r="V89" s="423"/>
      <c r="W89" s="423"/>
      <c r="X89" s="423"/>
      <c r="Y89" s="423"/>
      <c r="Z89" s="423"/>
      <c r="AA89" s="423"/>
      <c r="AB89" s="423"/>
      <c r="AC89" s="423"/>
    </row>
    <row r="90" spans="8:29" x14ac:dyDescent="0.25">
      <c r="H90" s="11"/>
      <c r="I90" s="11"/>
      <c r="J90" s="11"/>
      <c r="K90" s="11"/>
      <c r="L90" s="11"/>
      <c r="M90" s="11"/>
      <c r="N90" s="11"/>
      <c r="O90" s="11"/>
      <c r="P90" s="11"/>
      <c r="Q90" s="11"/>
      <c r="R90" s="11"/>
      <c r="S90" s="11"/>
      <c r="T90" s="11"/>
      <c r="U90" s="11"/>
      <c r="V90" s="423"/>
      <c r="W90" s="423"/>
      <c r="X90" s="423"/>
      <c r="Y90" s="423"/>
      <c r="Z90" s="423"/>
      <c r="AA90" s="423"/>
      <c r="AB90" s="423"/>
      <c r="AC90" s="423"/>
    </row>
    <row r="91" spans="8:29" x14ac:dyDescent="0.25">
      <c r="H91" s="11"/>
      <c r="I91" s="11"/>
      <c r="J91" s="11"/>
      <c r="K91" s="11"/>
      <c r="L91" s="11"/>
      <c r="M91" s="11"/>
      <c r="N91" s="11"/>
      <c r="O91" s="11"/>
      <c r="P91" s="11"/>
      <c r="Q91" s="11"/>
      <c r="R91" s="11"/>
      <c r="S91" s="11"/>
      <c r="T91" s="11"/>
      <c r="U91" s="11"/>
      <c r="V91" s="423"/>
      <c r="W91" s="423"/>
      <c r="X91" s="423"/>
      <c r="Y91" s="423"/>
      <c r="Z91" s="423"/>
      <c r="AA91" s="423"/>
      <c r="AB91" s="423"/>
      <c r="AC91" s="423"/>
    </row>
    <row r="92" spans="8:29" x14ac:dyDescent="0.25">
      <c r="H92" s="11"/>
      <c r="I92" s="11"/>
      <c r="J92" s="11"/>
      <c r="K92" s="11"/>
      <c r="L92" s="11"/>
      <c r="M92" s="11"/>
      <c r="N92" s="11"/>
      <c r="O92" s="11"/>
      <c r="P92" s="11"/>
      <c r="Q92" s="11"/>
      <c r="R92" s="11"/>
      <c r="S92" s="11"/>
      <c r="T92" s="11"/>
      <c r="U92" s="11"/>
      <c r="V92" s="423"/>
      <c r="W92" s="423"/>
      <c r="X92" s="423"/>
      <c r="Y92" s="423"/>
      <c r="Z92" s="423"/>
      <c r="AA92" s="423"/>
      <c r="AB92" s="423"/>
      <c r="AC92" s="423"/>
    </row>
    <row r="93" spans="8:29" x14ac:dyDescent="0.25">
      <c r="H93" s="11"/>
      <c r="I93" s="11"/>
      <c r="J93" s="11"/>
      <c r="K93" s="11"/>
      <c r="L93" s="11"/>
      <c r="M93" s="11"/>
      <c r="N93" s="11"/>
      <c r="O93" s="11"/>
      <c r="P93" s="11"/>
      <c r="Q93" s="11"/>
      <c r="R93" s="11"/>
      <c r="S93" s="11"/>
      <c r="T93" s="11"/>
      <c r="U93" s="11"/>
      <c r="V93" s="423"/>
      <c r="W93" s="423"/>
      <c r="X93" s="423"/>
      <c r="Y93" s="423"/>
      <c r="Z93" s="423"/>
      <c r="AA93" s="423"/>
      <c r="AB93" s="423"/>
      <c r="AC93" s="423"/>
    </row>
    <row r="94" spans="8:29" x14ac:dyDescent="0.25">
      <c r="H94" s="11"/>
      <c r="I94" s="11"/>
      <c r="J94" s="11"/>
      <c r="K94" s="11"/>
      <c r="L94" s="11"/>
      <c r="M94" s="11"/>
      <c r="N94" s="11"/>
      <c r="O94" s="11"/>
      <c r="P94" s="11"/>
      <c r="Q94" s="11"/>
      <c r="R94" s="11"/>
      <c r="S94" s="11"/>
      <c r="T94" s="11"/>
      <c r="U94" s="11"/>
      <c r="V94" s="423"/>
      <c r="W94" s="423"/>
      <c r="X94" s="423"/>
      <c r="Y94" s="423"/>
      <c r="Z94" s="423"/>
      <c r="AA94" s="423"/>
      <c r="AB94" s="423"/>
      <c r="AC94" s="423"/>
    </row>
    <row r="95" spans="8:29" x14ac:dyDescent="0.25">
      <c r="H95" s="11"/>
      <c r="I95" s="11"/>
      <c r="J95" s="11"/>
      <c r="K95" s="11"/>
      <c r="L95" s="11"/>
      <c r="M95" s="11"/>
      <c r="N95" s="11"/>
      <c r="O95" s="11"/>
      <c r="P95" s="11"/>
      <c r="Q95" s="11"/>
      <c r="R95" s="11"/>
      <c r="S95" s="11"/>
      <c r="T95" s="11"/>
      <c r="U95" s="11"/>
      <c r="V95" s="423"/>
      <c r="W95" s="423"/>
      <c r="X95" s="423"/>
      <c r="Y95" s="423"/>
      <c r="Z95" s="423"/>
      <c r="AA95" s="423"/>
      <c r="AB95" s="423"/>
      <c r="AC95" s="423"/>
    </row>
    <row r="96" spans="8:29" x14ac:dyDescent="0.25">
      <c r="H96" s="11"/>
      <c r="I96" s="11"/>
      <c r="J96" s="11"/>
      <c r="K96" s="11"/>
      <c r="L96" s="11"/>
      <c r="M96" s="11"/>
      <c r="N96" s="11"/>
      <c r="O96" s="11"/>
      <c r="P96" s="11"/>
      <c r="Q96" s="11"/>
      <c r="R96" s="11"/>
      <c r="S96" s="11"/>
      <c r="T96" s="11"/>
      <c r="U96" s="11"/>
      <c r="V96" s="423"/>
      <c r="W96" s="423"/>
      <c r="X96" s="423"/>
      <c r="Y96" s="423"/>
      <c r="Z96" s="423"/>
      <c r="AA96" s="423"/>
      <c r="AB96" s="423"/>
      <c r="AC96" s="423"/>
    </row>
    <row r="97" spans="8:29" x14ac:dyDescent="0.25">
      <c r="H97" s="11"/>
      <c r="I97" s="11"/>
      <c r="J97" s="11"/>
      <c r="K97" s="11"/>
      <c r="L97" s="11"/>
      <c r="M97" s="11"/>
      <c r="N97" s="11"/>
      <c r="O97" s="11"/>
      <c r="P97" s="11"/>
      <c r="Q97" s="11"/>
      <c r="R97" s="11"/>
      <c r="S97" s="11"/>
      <c r="T97" s="11"/>
      <c r="U97" s="11"/>
      <c r="V97" s="423"/>
      <c r="W97" s="423"/>
      <c r="X97" s="423"/>
      <c r="Y97" s="423"/>
      <c r="Z97" s="423"/>
      <c r="AA97" s="423"/>
      <c r="AB97" s="423"/>
      <c r="AC97" s="423"/>
    </row>
    <row r="98" spans="8:29" x14ac:dyDescent="0.25">
      <c r="H98" s="11"/>
      <c r="I98" s="11"/>
      <c r="J98" s="11"/>
      <c r="K98" s="11"/>
      <c r="L98" s="11"/>
      <c r="M98" s="11"/>
      <c r="N98" s="11"/>
      <c r="O98" s="11"/>
      <c r="P98" s="11"/>
      <c r="Q98" s="11"/>
      <c r="R98" s="11"/>
      <c r="S98" s="11"/>
      <c r="T98" s="11"/>
      <c r="U98" s="11"/>
      <c r="V98" s="423"/>
      <c r="W98" s="423"/>
      <c r="X98" s="423"/>
      <c r="Y98" s="423"/>
      <c r="Z98" s="423"/>
      <c r="AA98" s="423"/>
      <c r="AB98" s="423"/>
      <c r="AC98" s="423"/>
    </row>
    <row r="99" spans="8:29" x14ac:dyDescent="0.25">
      <c r="H99" s="11"/>
      <c r="I99" s="11"/>
      <c r="J99" s="11"/>
      <c r="K99" s="11"/>
      <c r="L99" s="11"/>
      <c r="M99" s="11"/>
      <c r="N99" s="11"/>
      <c r="O99" s="11"/>
      <c r="P99" s="11"/>
      <c r="Q99" s="11"/>
      <c r="R99" s="11"/>
      <c r="S99" s="11"/>
      <c r="T99" s="11"/>
      <c r="U99" s="11"/>
      <c r="V99" s="423"/>
      <c r="W99" s="423"/>
      <c r="X99" s="423"/>
      <c r="Y99" s="423"/>
      <c r="Z99" s="423"/>
      <c r="AA99" s="423"/>
      <c r="AB99" s="423"/>
      <c r="AC99" s="423"/>
    </row>
    <row r="100" spans="8:29" x14ac:dyDescent="0.25">
      <c r="H100" s="11"/>
      <c r="I100" s="11"/>
      <c r="J100" s="11"/>
      <c r="K100" s="11"/>
      <c r="L100" s="11"/>
      <c r="M100" s="11"/>
      <c r="N100" s="11"/>
      <c r="O100" s="11"/>
      <c r="P100" s="11"/>
      <c r="Q100" s="11"/>
      <c r="R100" s="11"/>
      <c r="S100" s="11"/>
      <c r="T100" s="11"/>
      <c r="U100" s="11"/>
      <c r="V100" s="423"/>
      <c r="W100" s="423"/>
      <c r="X100" s="423"/>
      <c r="Y100" s="423"/>
      <c r="Z100" s="423"/>
      <c r="AA100" s="423"/>
      <c r="AB100" s="423"/>
      <c r="AC100" s="423"/>
    </row>
    <row r="101" spans="8:29" x14ac:dyDescent="0.25">
      <c r="H101" s="11"/>
      <c r="I101" s="11"/>
      <c r="J101" s="11"/>
      <c r="K101" s="11"/>
      <c r="L101" s="11"/>
      <c r="M101" s="11"/>
      <c r="N101" s="11"/>
      <c r="O101" s="11"/>
      <c r="P101" s="11"/>
      <c r="Q101" s="11"/>
      <c r="R101" s="11"/>
      <c r="S101" s="11"/>
      <c r="T101" s="11"/>
      <c r="U101" s="11"/>
      <c r="V101" s="423"/>
      <c r="W101" s="423"/>
      <c r="X101" s="423"/>
      <c r="Y101" s="423"/>
      <c r="Z101" s="423"/>
      <c r="AA101" s="423"/>
      <c r="AB101" s="423"/>
      <c r="AC101" s="423"/>
    </row>
    <row r="102" spans="8:29" x14ac:dyDescent="0.25">
      <c r="H102" s="11"/>
      <c r="I102" s="11"/>
      <c r="J102" s="11"/>
      <c r="K102" s="11"/>
      <c r="L102" s="11"/>
      <c r="M102" s="11"/>
      <c r="N102" s="11"/>
      <c r="O102" s="11"/>
      <c r="P102" s="11"/>
      <c r="Q102" s="11"/>
      <c r="R102" s="11"/>
      <c r="S102" s="11"/>
      <c r="T102" s="11"/>
      <c r="U102" s="11"/>
      <c r="V102" s="423"/>
      <c r="W102" s="423"/>
      <c r="X102" s="423"/>
      <c r="Y102" s="423"/>
      <c r="Z102" s="423"/>
      <c r="AA102" s="423"/>
      <c r="AB102" s="423"/>
      <c r="AC102" s="423"/>
    </row>
    <row r="103" spans="8:29" x14ac:dyDescent="0.25">
      <c r="H103" s="11"/>
      <c r="I103" s="11"/>
      <c r="J103" s="11"/>
      <c r="K103" s="11"/>
      <c r="L103" s="11"/>
      <c r="M103" s="11"/>
      <c r="N103" s="11"/>
      <c r="O103" s="11"/>
      <c r="P103" s="11"/>
      <c r="Q103" s="11"/>
      <c r="R103" s="11"/>
      <c r="S103" s="11"/>
      <c r="T103" s="11"/>
      <c r="U103" s="11"/>
      <c r="V103" s="423"/>
      <c r="W103" s="423"/>
      <c r="X103" s="423"/>
      <c r="Y103" s="423"/>
      <c r="Z103" s="423"/>
      <c r="AA103" s="423"/>
      <c r="AB103" s="423"/>
      <c r="AC103" s="423"/>
    </row>
    <row r="104" spans="8:29" x14ac:dyDescent="0.25">
      <c r="H104" s="11"/>
      <c r="I104" s="11"/>
      <c r="J104" s="11"/>
      <c r="K104" s="11"/>
      <c r="L104" s="11"/>
      <c r="M104" s="11"/>
      <c r="N104" s="11"/>
      <c r="O104" s="11"/>
      <c r="P104" s="11"/>
      <c r="Q104" s="11"/>
      <c r="R104" s="11"/>
      <c r="S104" s="11"/>
      <c r="T104" s="11"/>
      <c r="U104" s="11"/>
      <c r="V104" s="423"/>
      <c r="W104" s="423"/>
      <c r="X104" s="423"/>
      <c r="Y104" s="423"/>
      <c r="Z104" s="423"/>
      <c r="AA104" s="423"/>
      <c r="AB104" s="423"/>
      <c r="AC104" s="423"/>
    </row>
    <row r="105" spans="8:29" x14ac:dyDescent="0.25">
      <c r="H105" s="11"/>
      <c r="I105" s="11"/>
      <c r="J105" s="11"/>
      <c r="K105" s="11"/>
      <c r="L105" s="11"/>
      <c r="M105" s="11"/>
      <c r="N105" s="11"/>
      <c r="O105" s="11"/>
      <c r="P105" s="11"/>
      <c r="Q105" s="11"/>
      <c r="R105" s="11"/>
      <c r="S105" s="11"/>
      <c r="T105" s="11"/>
      <c r="U105" s="11"/>
      <c r="V105" s="423"/>
      <c r="W105" s="423"/>
      <c r="X105" s="423"/>
      <c r="Y105" s="423"/>
      <c r="Z105" s="423"/>
      <c r="AA105" s="423"/>
      <c r="AB105" s="423"/>
      <c r="AC105" s="423"/>
    </row>
    <row r="106" spans="8:29" x14ac:dyDescent="0.25">
      <c r="H106" s="11"/>
      <c r="I106" s="11"/>
      <c r="J106" s="11"/>
      <c r="K106" s="11"/>
      <c r="L106" s="11"/>
      <c r="M106" s="11"/>
      <c r="N106" s="11"/>
      <c r="O106" s="11"/>
      <c r="P106" s="11"/>
      <c r="Q106" s="11"/>
      <c r="R106" s="11"/>
      <c r="S106" s="11"/>
      <c r="T106" s="11"/>
      <c r="U106" s="11"/>
      <c r="V106" s="423"/>
      <c r="W106" s="423"/>
      <c r="X106" s="423"/>
      <c r="Y106" s="423"/>
      <c r="Z106" s="423"/>
      <c r="AA106" s="423"/>
      <c r="AB106" s="423"/>
      <c r="AC106" s="423"/>
    </row>
    <row r="107" spans="8:29" x14ac:dyDescent="0.25">
      <c r="H107" s="11"/>
      <c r="I107" s="11"/>
      <c r="J107" s="11"/>
      <c r="K107" s="11"/>
      <c r="L107" s="11"/>
      <c r="M107" s="11"/>
      <c r="N107" s="11"/>
      <c r="O107" s="11"/>
      <c r="P107" s="11"/>
      <c r="Q107" s="11"/>
      <c r="R107" s="11"/>
      <c r="S107" s="11"/>
      <c r="T107" s="11"/>
      <c r="U107" s="11"/>
      <c r="V107" s="423"/>
      <c r="W107" s="423"/>
      <c r="X107" s="423"/>
      <c r="Y107" s="423"/>
      <c r="Z107" s="423"/>
      <c r="AA107" s="423"/>
      <c r="AB107" s="423"/>
      <c r="AC107" s="423"/>
    </row>
    <row r="108" spans="8:29" x14ac:dyDescent="0.25">
      <c r="H108" s="11"/>
      <c r="I108" s="11"/>
      <c r="J108" s="11"/>
      <c r="K108" s="11"/>
      <c r="L108" s="11"/>
      <c r="M108" s="11"/>
      <c r="N108" s="11"/>
      <c r="O108" s="11"/>
      <c r="P108" s="11"/>
      <c r="Q108" s="11"/>
      <c r="R108" s="11"/>
      <c r="S108" s="11"/>
      <c r="T108" s="11"/>
      <c r="U108" s="11"/>
      <c r="V108" s="423"/>
      <c r="W108" s="423"/>
      <c r="X108" s="423"/>
      <c r="Y108" s="423"/>
      <c r="Z108" s="423"/>
      <c r="AA108" s="423"/>
      <c r="AB108" s="423"/>
      <c r="AC108" s="423"/>
    </row>
    <row r="109" spans="8:29" x14ac:dyDescent="0.25">
      <c r="H109" s="11"/>
      <c r="I109" s="11"/>
      <c r="J109" s="11"/>
      <c r="K109" s="11"/>
      <c r="L109" s="11"/>
      <c r="M109" s="11"/>
      <c r="N109" s="11"/>
      <c r="O109" s="11"/>
      <c r="P109" s="11"/>
      <c r="Q109" s="11"/>
      <c r="R109" s="11"/>
      <c r="S109" s="11"/>
      <c r="T109" s="11"/>
      <c r="U109" s="11"/>
      <c r="V109" s="423"/>
      <c r="W109" s="423"/>
      <c r="X109" s="423"/>
      <c r="Y109" s="423"/>
      <c r="Z109" s="423"/>
      <c r="AA109" s="423"/>
      <c r="AB109" s="423"/>
      <c r="AC109" s="423"/>
    </row>
    <row r="110" spans="8:29" x14ac:dyDescent="0.25">
      <c r="H110" s="11"/>
      <c r="I110" s="11"/>
      <c r="J110" s="11"/>
      <c r="K110" s="11"/>
      <c r="L110" s="11"/>
      <c r="M110" s="11"/>
      <c r="N110" s="11"/>
      <c r="O110" s="11"/>
      <c r="P110" s="11"/>
      <c r="Q110" s="11"/>
      <c r="R110" s="11"/>
      <c r="S110" s="11"/>
      <c r="T110" s="11"/>
      <c r="U110" s="11"/>
      <c r="V110" s="423"/>
      <c r="W110" s="423"/>
      <c r="X110" s="423"/>
      <c r="Y110" s="423"/>
      <c r="Z110" s="423"/>
      <c r="AA110" s="423"/>
      <c r="AB110" s="423"/>
      <c r="AC110" s="423"/>
    </row>
    <row r="111" spans="8:29" x14ac:dyDescent="0.25">
      <c r="H111" s="11"/>
      <c r="I111" s="11"/>
      <c r="J111" s="11"/>
      <c r="K111" s="11"/>
      <c r="L111" s="11"/>
      <c r="M111" s="11"/>
      <c r="N111" s="11"/>
      <c r="O111" s="11"/>
      <c r="P111" s="11"/>
      <c r="Q111" s="11"/>
      <c r="R111" s="11"/>
      <c r="S111" s="11"/>
      <c r="T111" s="11"/>
      <c r="U111" s="11"/>
      <c r="V111" s="423"/>
      <c r="W111" s="423"/>
      <c r="X111" s="423"/>
      <c r="Y111" s="423"/>
      <c r="Z111" s="423"/>
      <c r="AA111" s="423"/>
      <c r="AB111" s="423"/>
      <c r="AC111" s="423"/>
    </row>
    <row r="112" spans="8:29" x14ac:dyDescent="0.25">
      <c r="H112" s="11"/>
      <c r="I112" s="11"/>
      <c r="J112" s="11"/>
      <c r="K112" s="11"/>
      <c r="L112" s="11"/>
      <c r="M112" s="11"/>
      <c r="N112" s="11"/>
      <c r="O112" s="11"/>
      <c r="P112" s="11"/>
      <c r="Q112" s="11"/>
      <c r="R112" s="11"/>
      <c r="S112" s="11"/>
      <c r="T112" s="11"/>
      <c r="U112" s="11"/>
      <c r="V112" s="423"/>
      <c r="W112" s="423"/>
      <c r="X112" s="423"/>
      <c r="Y112" s="423"/>
      <c r="Z112" s="423"/>
      <c r="AA112" s="423"/>
      <c r="AB112" s="423"/>
      <c r="AC112" s="423"/>
    </row>
    <row r="113" spans="8:29" x14ac:dyDescent="0.25">
      <c r="H113" s="11"/>
      <c r="I113" s="11"/>
      <c r="J113" s="11"/>
      <c r="K113" s="11"/>
      <c r="L113" s="11"/>
      <c r="M113" s="11"/>
      <c r="N113" s="11"/>
      <c r="O113" s="11"/>
      <c r="P113" s="11"/>
      <c r="Q113" s="11"/>
      <c r="R113" s="11"/>
      <c r="S113" s="11"/>
      <c r="T113" s="11"/>
      <c r="U113" s="11"/>
      <c r="V113" s="423"/>
      <c r="W113" s="423"/>
      <c r="X113" s="423"/>
      <c r="Y113" s="423"/>
      <c r="Z113" s="423"/>
      <c r="AA113" s="423"/>
      <c r="AB113" s="423"/>
      <c r="AC113" s="423"/>
    </row>
    <row r="114" spans="8:29" x14ac:dyDescent="0.25">
      <c r="H114" s="11"/>
      <c r="I114" s="11"/>
      <c r="J114" s="11"/>
      <c r="K114" s="11"/>
      <c r="L114" s="11"/>
      <c r="M114" s="11"/>
      <c r="N114" s="11"/>
      <c r="O114" s="11"/>
      <c r="P114" s="11"/>
      <c r="Q114" s="11"/>
      <c r="R114" s="11"/>
      <c r="S114" s="11"/>
      <c r="T114" s="11"/>
      <c r="U114" s="11"/>
      <c r="V114" s="423"/>
      <c r="W114" s="423"/>
      <c r="X114" s="423"/>
      <c r="Y114" s="423"/>
      <c r="Z114" s="423"/>
      <c r="AA114" s="423"/>
      <c r="AB114" s="423"/>
      <c r="AC114" s="423"/>
    </row>
    <row r="115" spans="8:29" x14ac:dyDescent="0.25">
      <c r="H115" s="11"/>
      <c r="V115" s="423"/>
      <c r="W115" s="423"/>
      <c r="X115" s="423"/>
      <c r="Y115" s="423"/>
      <c r="Z115" s="423"/>
      <c r="AA115" s="423"/>
      <c r="AB115" s="423"/>
      <c r="AC115" s="423"/>
    </row>
    <row r="116" spans="8:29" x14ac:dyDescent="0.25">
      <c r="H116" s="11"/>
      <c r="V116" s="423"/>
      <c r="W116" s="423"/>
      <c r="X116" s="423"/>
      <c r="Y116" s="423"/>
      <c r="Z116" s="423"/>
      <c r="AA116" s="423"/>
      <c r="AB116" s="423"/>
      <c r="AC116" s="423"/>
    </row>
    <row r="117" spans="8:29" x14ac:dyDescent="0.25">
      <c r="H117" s="11"/>
      <c r="V117" s="423"/>
      <c r="W117" s="423"/>
      <c r="X117" s="423"/>
      <c r="Y117" s="423"/>
      <c r="Z117" s="423"/>
      <c r="AA117" s="423"/>
      <c r="AB117" s="423"/>
      <c r="AC117" s="423"/>
    </row>
  </sheetData>
  <mergeCells count="43">
    <mergeCell ref="N45:O45"/>
    <mergeCell ref="N48:O48"/>
    <mergeCell ref="Q44:R44"/>
    <mergeCell ref="Q48:R48"/>
    <mergeCell ref="Q45:R45"/>
    <mergeCell ref="N5:O5"/>
    <mergeCell ref="N10:O10"/>
    <mergeCell ref="N13:O13"/>
    <mergeCell ref="N16:O16"/>
    <mergeCell ref="Q5:R5"/>
    <mergeCell ref="Q10:R10"/>
    <mergeCell ref="Q13:R13"/>
    <mergeCell ref="Q16:R16"/>
    <mergeCell ref="N21:O21"/>
    <mergeCell ref="Q21:R21"/>
    <mergeCell ref="N26:O26"/>
    <mergeCell ref="Q26:R26"/>
    <mergeCell ref="K13:L13"/>
    <mergeCell ref="H4:H5"/>
    <mergeCell ref="K5:L5"/>
    <mergeCell ref="K9:L9"/>
    <mergeCell ref="G4:G5"/>
    <mergeCell ref="B4:B5"/>
    <mergeCell ref="C4:C5"/>
    <mergeCell ref="D4:D5"/>
    <mergeCell ref="E4:E5"/>
    <mergeCell ref="F4:F5"/>
    <mergeCell ref="B29:G34"/>
    <mergeCell ref="B51:G52"/>
    <mergeCell ref="B44:G49"/>
    <mergeCell ref="B39:G42"/>
    <mergeCell ref="Q29:R29"/>
    <mergeCell ref="N29:O29"/>
    <mergeCell ref="N32:O32"/>
    <mergeCell ref="Q32:R32"/>
    <mergeCell ref="B36:G37"/>
    <mergeCell ref="N35:O35"/>
    <mergeCell ref="Q35:R35"/>
    <mergeCell ref="N38:O38"/>
    <mergeCell ref="Q38:R38"/>
    <mergeCell ref="N41:O41"/>
    <mergeCell ref="Q41:R41"/>
    <mergeCell ref="N44:O44"/>
  </mergeCells>
  <pageMargins left="0.25" right="0.25" top="0.75" bottom="0.75" header="0.3" footer="0.3"/>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B677-884D-4C04-80E1-0D68BC631329}">
  <sheetPr>
    <tabColor rgb="FF00B050"/>
    <pageSetUpPr fitToPage="1"/>
  </sheetPr>
  <dimension ref="A1:Q58"/>
  <sheetViews>
    <sheetView view="pageBreakPreview" topLeftCell="A2" zoomScale="55" zoomScaleNormal="55" zoomScaleSheetLayoutView="55" workbookViewId="0">
      <selection activeCell="C12" sqref="C11:D12"/>
    </sheetView>
  </sheetViews>
  <sheetFormatPr defaultRowHeight="15" x14ac:dyDescent="0.25"/>
  <cols>
    <col min="1" max="1" width="3.7109375" style="376" customWidth="1"/>
    <col min="2" max="8" width="20.7109375" style="376" customWidth="1"/>
    <col min="9" max="9" width="5.7109375" style="376" customWidth="1"/>
    <col min="10" max="10" width="49" style="376" customWidth="1"/>
    <col min="11" max="11" width="7.42578125" style="376" bestFit="1" customWidth="1"/>
    <col min="12" max="12" width="10.7109375" style="376" customWidth="1"/>
    <col min="13" max="14" width="24.85546875" style="376" customWidth="1"/>
    <col min="15" max="15" width="9.85546875" style="376" customWidth="1"/>
    <col min="16" max="17" width="24.85546875" style="376" customWidth="1"/>
    <col min="18" max="16384" width="9.140625" style="376"/>
  </cols>
  <sheetData>
    <row r="1" spans="1:17" x14ac:dyDescent="0.25">
      <c r="A1" s="19"/>
      <c r="B1" s="377">
        <v>1</v>
      </c>
      <c r="C1" s="377">
        <v>2</v>
      </c>
      <c r="D1" s="377">
        <v>3</v>
      </c>
      <c r="E1" s="377">
        <v>4</v>
      </c>
      <c r="F1" s="377">
        <v>5</v>
      </c>
      <c r="G1" s="377">
        <v>6</v>
      </c>
      <c r="H1" s="377">
        <v>7</v>
      </c>
    </row>
    <row r="2" spans="1:17" x14ac:dyDescent="0.25">
      <c r="B2" s="6" t="s">
        <v>1689</v>
      </c>
    </row>
    <row r="3" spans="1:17" ht="15.75" customHeight="1" thickBot="1" x14ac:dyDescent="0.3">
      <c r="K3" s="82"/>
    </row>
    <row r="4" spans="1:17" ht="35.1" customHeight="1" thickBot="1" x14ac:dyDescent="0.3">
      <c r="B4" s="715" t="s">
        <v>0</v>
      </c>
      <c r="C4" s="715" t="s">
        <v>1496</v>
      </c>
      <c r="D4" s="718" t="s">
        <v>492</v>
      </c>
      <c r="E4" s="715" t="s">
        <v>1498</v>
      </c>
      <c r="F4" s="715" t="s">
        <v>1497</v>
      </c>
      <c r="G4" s="713" t="s">
        <v>1499</v>
      </c>
      <c r="H4" s="721" t="s">
        <v>1</v>
      </c>
      <c r="K4" s="90"/>
      <c r="L4" s="19"/>
      <c r="M4" s="22"/>
      <c r="N4" s="19"/>
      <c r="O4" s="19"/>
    </row>
    <row r="5" spans="1:17" ht="43.5" customHeight="1" thickBot="1" x14ac:dyDescent="0.3">
      <c r="B5" s="716"/>
      <c r="C5" s="716"/>
      <c r="D5" s="719"/>
      <c r="E5" s="716"/>
      <c r="F5" s="716"/>
      <c r="G5" s="714"/>
      <c r="H5" s="722"/>
      <c r="J5" s="730" t="s">
        <v>1564</v>
      </c>
      <c r="K5" s="730"/>
      <c r="M5" s="731" t="s">
        <v>1545</v>
      </c>
      <c r="N5" s="732"/>
      <c r="O5" s="423"/>
      <c r="P5" s="731" t="s">
        <v>1544</v>
      </c>
      <c r="Q5" s="732"/>
    </row>
    <row r="6" spans="1:17" x14ac:dyDescent="0.25">
      <c r="B6" s="1">
        <f>Assumptions!$D$7</f>
        <v>2025</v>
      </c>
      <c r="C6" s="395">
        <f t="shared" ref="C6:C10" si="0">TREND(TREND($N$14:$N$15,$M$14:$M$15,$B6))</f>
        <v>22600952.517857194</v>
      </c>
      <c r="D6" s="395">
        <f t="shared" ref="D6:D10" si="1">TREND(TREND($Q$14:$Q$15,$P$14:$P$15,$B6))</f>
        <v>15569545.067857146</v>
      </c>
      <c r="E6" s="409">
        <f t="shared" ref="E6:E25" si="2">C6*$K$14</f>
        <v>11949123.596191097</v>
      </c>
      <c r="F6" s="409">
        <f t="shared" ref="F6:F25" si="3">D6*$K$14</f>
        <v>8231618.4773760727</v>
      </c>
      <c r="G6" s="410">
        <f>(E6-F6)</f>
        <v>3717505.1188150244</v>
      </c>
      <c r="H6" s="409">
        <f>G6*(1+0.07)^-(B6-Assumptions!$D$4)</f>
        <v>2477130.6279204721</v>
      </c>
      <c r="I6" s="19"/>
      <c r="J6" s="94" t="s">
        <v>30</v>
      </c>
      <c r="K6" s="381">
        <f>Assumptions!D23</f>
        <v>0.43</v>
      </c>
      <c r="M6" s="443" t="s">
        <v>1491</v>
      </c>
      <c r="N6" s="447">
        <v>2020</v>
      </c>
      <c r="O6" s="423"/>
      <c r="P6" s="443" t="s">
        <v>1491</v>
      </c>
      <c r="Q6" s="447">
        <v>2020</v>
      </c>
    </row>
    <row r="7" spans="1:17" x14ac:dyDescent="0.25">
      <c r="B7" s="2">
        <f>B6+1</f>
        <v>2026</v>
      </c>
      <c r="C7" s="395">
        <f t="shared" si="0"/>
        <v>23029066.388571501</v>
      </c>
      <c r="D7" s="395">
        <f t="shared" si="1"/>
        <v>15864467.95657146</v>
      </c>
      <c r="E7" s="397">
        <f t="shared" si="2"/>
        <v>12175467.399637751</v>
      </c>
      <c r="F7" s="397">
        <f t="shared" si="3"/>
        <v>8387544.2086393302</v>
      </c>
      <c r="G7" s="398">
        <f t="shared" ref="G7:G25" si="4">(E7-F7)</f>
        <v>3787923.1909984211</v>
      </c>
      <c r="H7" s="397">
        <f>G7*(1+0.07)^-(B7-Assumptions!$D$4)</f>
        <v>2358928.1894729235</v>
      </c>
      <c r="I7" s="19"/>
      <c r="J7" s="94" t="s">
        <v>31</v>
      </c>
      <c r="K7" s="96">
        <f>Assumptions!D24</f>
        <v>0.93</v>
      </c>
      <c r="M7" s="443" t="s">
        <v>1488</v>
      </c>
      <c r="N7" s="448">
        <f>'Data from Needs Book'!B42</f>
        <v>12456.854285714286</v>
      </c>
      <c r="O7" s="423"/>
      <c r="P7" s="443" t="s">
        <v>1488</v>
      </c>
      <c r="Q7" s="448">
        <f>'Data from Needs Book'!B42</f>
        <v>12456.854285714286</v>
      </c>
    </row>
    <row r="8" spans="1:17" x14ac:dyDescent="0.25">
      <c r="B8" s="2">
        <f t="shared" ref="B8:B25" si="5">B7+1</f>
        <v>2027</v>
      </c>
      <c r="C8" s="395">
        <f t="shared" si="0"/>
        <v>23457180.259285808</v>
      </c>
      <c r="D8" s="395">
        <f t="shared" si="1"/>
        <v>16159390.845285773</v>
      </c>
      <c r="E8" s="397">
        <f t="shared" si="2"/>
        <v>12401811.203084406</v>
      </c>
      <c r="F8" s="397">
        <f t="shared" si="3"/>
        <v>8543469.9399025869</v>
      </c>
      <c r="G8" s="398">
        <f t="shared" si="4"/>
        <v>3858341.2631818186</v>
      </c>
      <c r="H8" s="397">
        <f>G8*(1+0.07)^-(B8-Assumptions!$D$4)</f>
        <v>2245589.7436907897</v>
      </c>
      <c r="J8" s="74"/>
      <c r="K8" s="91"/>
      <c r="L8" s="89"/>
      <c r="M8" s="443" t="s">
        <v>1489</v>
      </c>
      <c r="N8" s="448">
        <f>'Data from Needs Book'!B50</f>
        <v>17669.808571428573</v>
      </c>
      <c r="O8" s="423"/>
      <c r="P8" s="443" t="s">
        <v>1489</v>
      </c>
      <c r="Q8" s="448">
        <f>'Data from Needs Book'!B50</f>
        <v>17669.808571428573</v>
      </c>
    </row>
    <row r="9" spans="1:17" ht="14.25" customHeight="1" x14ac:dyDescent="0.25">
      <c r="B9" s="2">
        <f t="shared" si="5"/>
        <v>2028</v>
      </c>
      <c r="C9" s="395">
        <f t="shared" si="0"/>
        <v>23885294.130000114</v>
      </c>
      <c r="D9" s="395">
        <f t="shared" si="1"/>
        <v>16454313.734000087</v>
      </c>
      <c r="E9" s="397">
        <f t="shared" si="2"/>
        <v>12628155.00653106</v>
      </c>
      <c r="F9" s="397">
        <f t="shared" si="3"/>
        <v>8699395.6711658444</v>
      </c>
      <c r="G9" s="398">
        <f t="shared" si="4"/>
        <v>3928759.3353652153</v>
      </c>
      <c r="H9" s="397">
        <f>G9*(1+0.07)^-(B9-Assumptions!$D$4)</f>
        <v>2136984.7689976115</v>
      </c>
      <c r="J9" s="730" t="s">
        <v>1565</v>
      </c>
      <c r="K9" s="730"/>
      <c r="M9" s="446" t="s">
        <v>1490</v>
      </c>
      <c r="N9" s="449">
        <f>(N8-N7)/(N7*20)</f>
        <v>2.0924039754131925E-2</v>
      </c>
      <c r="O9" s="423"/>
      <c r="P9" s="446" t="s">
        <v>1490</v>
      </c>
      <c r="Q9" s="449">
        <f>(Q8-Q7)/(Q7*20)</f>
        <v>2.0924039754131925E-2</v>
      </c>
    </row>
    <row r="10" spans="1:17" ht="15.75" thickBot="1" x14ac:dyDescent="0.3">
      <c r="B10" s="2">
        <f t="shared" si="5"/>
        <v>2029</v>
      </c>
      <c r="C10" s="395">
        <f t="shared" si="0"/>
        <v>24313408.000714302</v>
      </c>
      <c r="D10" s="395">
        <f t="shared" si="1"/>
        <v>16749236.622714281</v>
      </c>
      <c r="E10" s="397">
        <f t="shared" si="2"/>
        <v>12854498.809977651</v>
      </c>
      <c r="F10" s="397">
        <f t="shared" si="3"/>
        <v>8855321.4024290387</v>
      </c>
      <c r="G10" s="398">
        <f t="shared" si="4"/>
        <v>3999177.407548612</v>
      </c>
      <c r="H10" s="397">
        <f>G10*(1+0.07)^-(B10-Assumptions!$D$4)</f>
        <v>2032979.0042484927</v>
      </c>
      <c r="J10" s="94" t="s">
        <v>33</v>
      </c>
      <c r="K10" s="93">
        <f>1-K11</f>
        <v>0.80259999999999998</v>
      </c>
      <c r="M10" s="733" t="s">
        <v>1552</v>
      </c>
      <c r="N10" s="734"/>
      <c r="O10" s="423"/>
      <c r="P10" s="733" t="s">
        <v>1552</v>
      </c>
      <c r="Q10" s="734"/>
    </row>
    <row r="11" spans="1:17" ht="15.75" thickTop="1" x14ac:dyDescent="0.25">
      <c r="B11" s="2">
        <f t="shared" si="5"/>
        <v>2030</v>
      </c>
      <c r="C11" s="395">
        <f t="shared" ref="C11:C25" si="6">TREND(TREND($N$46:$N$47,$M$46:$M$47,$B11))</f>
        <v>140751768.86857128</v>
      </c>
      <c r="D11" s="395">
        <f t="shared" ref="D11:D25" si="7">TREND(TREND($Q$46:$Q$47,$P$46:$P$47,$B11))</f>
        <v>120958551.37142849</v>
      </c>
      <c r="E11" s="397">
        <f t="shared" si="2"/>
        <v>74415460.200813636</v>
      </c>
      <c r="F11" s="397">
        <f t="shared" si="3"/>
        <v>63950786.110074237</v>
      </c>
      <c r="G11" s="398">
        <f t="shared" si="4"/>
        <v>10464674.090739399</v>
      </c>
      <c r="H11" s="397">
        <f>G11*(1+0.07)^-(B11-Assumptions!$D$4)</f>
        <v>4971691.2770541068</v>
      </c>
      <c r="J11" s="94" t="s">
        <v>34</v>
      </c>
      <c r="K11" s="93">
        <f>Assumptions!D15</f>
        <v>0.19739999999999999</v>
      </c>
      <c r="M11" s="442" t="s">
        <v>1487</v>
      </c>
      <c r="N11" s="450">
        <v>9</v>
      </c>
      <c r="O11" s="423"/>
      <c r="P11" s="442" t="s">
        <v>1487</v>
      </c>
      <c r="Q11" s="450">
        <v>6.2</v>
      </c>
    </row>
    <row r="12" spans="1:17" x14ac:dyDescent="0.25">
      <c r="B12" s="2">
        <f t="shared" si="5"/>
        <v>2031</v>
      </c>
      <c r="C12" s="395">
        <f t="shared" si="6"/>
        <v>143187261.11085701</v>
      </c>
      <c r="D12" s="395">
        <f t="shared" si="7"/>
        <v>123051552.51714277</v>
      </c>
      <c r="E12" s="397">
        <f t="shared" si="2"/>
        <v>75703104.949310094</v>
      </c>
      <c r="F12" s="397">
        <f t="shared" si="3"/>
        <v>65057355.815813377</v>
      </c>
      <c r="G12" s="398">
        <f t="shared" si="4"/>
        <v>10645749.133496717</v>
      </c>
      <c r="H12" s="397">
        <f>G12*(1+0.07)^-(B12-Assumptions!$D$4)</f>
        <v>4726839.9303492373</v>
      </c>
      <c r="J12" s="74"/>
      <c r="K12" s="77"/>
      <c r="M12" s="443" t="s">
        <v>1542</v>
      </c>
      <c r="N12" s="386">
        <v>12</v>
      </c>
      <c r="O12" s="423"/>
      <c r="P12" s="443" t="s">
        <v>1542</v>
      </c>
      <c r="Q12" s="386">
        <v>6</v>
      </c>
    </row>
    <row r="13" spans="1:17" ht="15" customHeight="1" x14ac:dyDescent="0.25">
      <c r="B13" s="2">
        <f t="shared" si="5"/>
        <v>2032</v>
      </c>
      <c r="C13" s="395">
        <f t="shared" si="6"/>
        <v>145622753.35314274</v>
      </c>
      <c r="D13" s="395">
        <f t="shared" si="7"/>
        <v>125144553.66285706</v>
      </c>
      <c r="E13" s="397">
        <f t="shared" si="2"/>
        <v>76990749.697806552</v>
      </c>
      <c r="F13" s="397">
        <f t="shared" si="3"/>
        <v>66163925.521552518</v>
      </c>
      <c r="G13" s="398">
        <f t="shared" si="4"/>
        <v>10826824.176254034</v>
      </c>
      <c r="H13" s="397">
        <f>G13*(1+0.07)^-(B13-Assumptions!$D$4)</f>
        <v>4492747.1166855264</v>
      </c>
      <c r="J13" s="424" t="s">
        <v>1566</v>
      </c>
      <c r="K13" s="63"/>
      <c r="M13" s="735" t="s">
        <v>1550</v>
      </c>
      <c r="N13" s="736"/>
      <c r="O13" s="423"/>
      <c r="P13" s="735" t="s">
        <v>1550</v>
      </c>
      <c r="Q13" s="736"/>
    </row>
    <row r="14" spans="1:17" x14ac:dyDescent="0.25">
      <c r="B14" s="2">
        <f t="shared" si="5"/>
        <v>2033</v>
      </c>
      <c r="C14" s="395">
        <f t="shared" si="6"/>
        <v>148058245.59542847</v>
      </c>
      <c r="D14" s="395">
        <f t="shared" si="7"/>
        <v>127237554.80857134</v>
      </c>
      <c r="E14" s="397">
        <f t="shared" si="2"/>
        <v>78278394.446303025</v>
      </c>
      <c r="F14" s="397">
        <f t="shared" si="3"/>
        <v>67270495.227291659</v>
      </c>
      <c r="G14" s="398">
        <f t="shared" si="4"/>
        <v>11007899.219011366</v>
      </c>
      <c r="H14" s="397">
        <f>G14*(1+0.07)^-(B14-Assumptions!$D$4)</f>
        <v>4269053.1045137532</v>
      </c>
      <c r="J14" s="62" t="s">
        <v>35</v>
      </c>
      <c r="K14" s="382">
        <f>Assumptions!$D$26</f>
        <v>0.52869999999999995</v>
      </c>
      <c r="M14" s="452">
        <v>2020</v>
      </c>
      <c r="N14" s="453">
        <f>N7*N11*365/2</f>
        <v>20460383.164285716</v>
      </c>
      <c r="O14" s="423"/>
      <c r="P14" s="452">
        <v>2020</v>
      </c>
      <c r="Q14" s="453">
        <f>Q7*Q11*365/2</f>
        <v>14094930.624285717</v>
      </c>
    </row>
    <row r="15" spans="1:17" x14ac:dyDescent="0.25">
      <c r="B15" s="2">
        <f t="shared" si="5"/>
        <v>2034</v>
      </c>
      <c r="C15" s="395">
        <f t="shared" si="6"/>
        <v>150493737.8377142</v>
      </c>
      <c r="D15" s="395">
        <f t="shared" si="7"/>
        <v>129330555.95428562</v>
      </c>
      <c r="E15" s="397">
        <f t="shared" si="2"/>
        <v>79566039.194799483</v>
      </c>
      <c r="F15" s="397">
        <f t="shared" si="3"/>
        <v>68377064.933030799</v>
      </c>
      <c r="G15" s="398">
        <f t="shared" si="4"/>
        <v>11188974.261768684</v>
      </c>
      <c r="H15" s="397">
        <f>G15*(1+0.07)^-(B15-Assumptions!$D$4)</f>
        <v>4055399.1850588694</v>
      </c>
      <c r="K15" s="74"/>
      <c r="L15" s="77"/>
      <c r="M15" s="452">
        <v>2040</v>
      </c>
      <c r="N15" s="453">
        <f>N8*N11*365/2</f>
        <v>29022660.578571435</v>
      </c>
      <c r="O15" s="423"/>
      <c r="P15" s="452">
        <v>2040</v>
      </c>
      <c r="Q15" s="453">
        <f>Q8*Q11*365/2</f>
        <v>19993388.398571432</v>
      </c>
    </row>
    <row r="16" spans="1:17" x14ac:dyDescent="0.25">
      <c r="B16" s="2">
        <f t="shared" si="5"/>
        <v>2035</v>
      </c>
      <c r="C16" s="395">
        <f t="shared" si="6"/>
        <v>152929230.07999992</v>
      </c>
      <c r="D16" s="395">
        <f t="shared" si="7"/>
        <v>131423557.0999999</v>
      </c>
      <c r="E16" s="397">
        <f t="shared" si="2"/>
        <v>80853683.943295956</v>
      </c>
      <c r="F16" s="397">
        <f t="shared" si="3"/>
        <v>69483634.63876994</v>
      </c>
      <c r="G16" s="398">
        <f t="shared" si="4"/>
        <v>11370049.304526016</v>
      </c>
      <c r="H16" s="397">
        <f>G16*(1+0.07)^-(B16-Assumptions!$D$4)</f>
        <v>3851429.0780961076</v>
      </c>
      <c r="K16" s="74"/>
      <c r="L16" s="77"/>
      <c r="M16" s="737" t="s">
        <v>1549</v>
      </c>
      <c r="N16" s="738"/>
      <c r="O16" s="423"/>
      <c r="P16" s="737" t="s">
        <v>1549</v>
      </c>
      <c r="Q16" s="738"/>
    </row>
    <row r="17" spans="1:17" x14ac:dyDescent="0.25">
      <c r="B17" s="2">
        <f t="shared" si="5"/>
        <v>2036</v>
      </c>
      <c r="C17" s="395">
        <f t="shared" si="6"/>
        <v>155364722.32228565</v>
      </c>
      <c r="D17" s="395">
        <f t="shared" si="7"/>
        <v>133516558.24571419</v>
      </c>
      <c r="E17" s="397">
        <f t="shared" si="2"/>
        <v>82141328.691792414</v>
      </c>
      <c r="F17" s="397">
        <f t="shared" si="3"/>
        <v>70590204.34450908</v>
      </c>
      <c r="G17" s="398">
        <f t="shared" si="4"/>
        <v>11551124.347283334</v>
      </c>
      <c r="H17" s="397">
        <f>G17*(1+0.07)^-(B17-Assumptions!$D$4)</f>
        <v>3656790.1494163638</v>
      </c>
      <c r="K17" s="19"/>
      <c r="L17" s="19"/>
      <c r="M17" s="444">
        <v>2020</v>
      </c>
      <c r="N17" s="448">
        <f>N7*N12*365/60/2</f>
        <v>454675.18142857135</v>
      </c>
      <c r="O17" s="423"/>
      <c r="P17" s="444">
        <v>2020</v>
      </c>
      <c r="Q17" s="448">
        <f>Q7*Q12*365/60/2</f>
        <v>227337.59071428567</v>
      </c>
    </row>
    <row r="18" spans="1:17" ht="15.75" thickBot="1" x14ac:dyDescent="0.3">
      <c r="B18" s="2">
        <f t="shared" si="5"/>
        <v>2037</v>
      </c>
      <c r="C18" s="395">
        <f t="shared" si="6"/>
        <v>157800214.56457138</v>
      </c>
      <c r="D18" s="395">
        <f t="shared" si="7"/>
        <v>135609559.39142847</v>
      </c>
      <c r="E18" s="397">
        <f t="shared" si="2"/>
        <v>83428973.440288886</v>
      </c>
      <c r="F18" s="397">
        <f t="shared" si="3"/>
        <v>71696774.050248221</v>
      </c>
      <c r="G18" s="398">
        <f t="shared" si="4"/>
        <v>11732199.390040666</v>
      </c>
      <c r="H18" s="397">
        <f>G18*(1+0.07)^-(B18-Assumptions!$D$4)</f>
        <v>3471134.4586032978</v>
      </c>
      <c r="K18" s="19"/>
      <c r="L18" s="19"/>
      <c r="M18" s="445">
        <v>2040</v>
      </c>
      <c r="N18" s="456">
        <f>N8*N12*365/60/2</f>
        <v>644948.01285714295</v>
      </c>
      <c r="O18" s="423"/>
      <c r="P18" s="445">
        <v>2040</v>
      </c>
      <c r="Q18" s="456">
        <f>Q8*Q12*365/60/2</f>
        <v>322474.00642857148</v>
      </c>
    </row>
    <row r="19" spans="1:17" x14ac:dyDescent="0.25">
      <c r="B19" s="2">
        <f t="shared" si="5"/>
        <v>2038</v>
      </c>
      <c r="C19" s="395">
        <f t="shared" si="6"/>
        <v>160235706.80685711</v>
      </c>
      <c r="D19" s="395">
        <f t="shared" si="7"/>
        <v>137702560.53714275</v>
      </c>
      <c r="E19" s="397">
        <f t="shared" si="2"/>
        <v>84716618.188785344</v>
      </c>
      <c r="F19" s="397">
        <f t="shared" si="3"/>
        <v>72803343.755987361</v>
      </c>
      <c r="G19" s="398">
        <f t="shared" si="4"/>
        <v>11913274.432797983</v>
      </c>
      <c r="H19" s="397">
        <f>G19*(1+0.07)^-(B19-Assumptions!$D$4)</f>
        <v>3294119.6541136247</v>
      </c>
      <c r="K19" s="19"/>
      <c r="L19" s="19"/>
      <c r="M19" s="74" t="s">
        <v>1553</v>
      </c>
      <c r="N19" s="423"/>
      <c r="O19" s="423"/>
      <c r="P19" s="74" t="s">
        <v>1553</v>
      </c>
      <c r="Q19" s="423"/>
    </row>
    <row r="20" spans="1:17" ht="14.25" customHeight="1" thickBot="1" x14ac:dyDescent="0.3">
      <c r="B20" s="2">
        <f t="shared" si="5"/>
        <v>2039</v>
      </c>
      <c r="C20" s="395">
        <f t="shared" si="6"/>
        <v>162671199.04914284</v>
      </c>
      <c r="D20" s="395">
        <f t="shared" si="7"/>
        <v>139795561.68285704</v>
      </c>
      <c r="E20" s="397">
        <f t="shared" si="2"/>
        <v>86004262.937281802</v>
      </c>
      <c r="F20" s="397">
        <f t="shared" si="3"/>
        <v>73909913.461726502</v>
      </c>
      <c r="G20" s="398">
        <f t="shared" si="4"/>
        <v>12094349.475555301</v>
      </c>
      <c r="H20" s="397">
        <f>G20*(1+0.07)^-(B20-Assumptions!$D$4)</f>
        <v>3125409.731155437</v>
      </c>
      <c r="K20" s="19"/>
      <c r="L20" s="19"/>
      <c r="M20" s="423"/>
      <c r="N20" s="423"/>
      <c r="O20" s="423"/>
      <c r="P20" s="423"/>
      <c r="Q20" s="423"/>
    </row>
    <row r="21" spans="1:17" x14ac:dyDescent="0.25">
      <c r="B21" s="2">
        <f t="shared" si="5"/>
        <v>2040</v>
      </c>
      <c r="C21" s="395">
        <f t="shared" si="6"/>
        <v>165106691.29142857</v>
      </c>
      <c r="D21" s="395">
        <f t="shared" si="7"/>
        <v>141888562.82857132</v>
      </c>
      <c r="E21" s="397">
        <f t="shared" si="2"/>
        <v>87291907.685778275</v>
      </c>
      <c r="F21" s="397">
        <f t="shared" si="3"/>
        <v>75016483.167465642</v>
      </c>
      <c r="G21" s="398">
        <f t="shared" si="4"/>
        <v>12275424.518312633</v>
      </c>
      <c r="H21" s="397">
        <f>G21*(1+0.07)^-(B21-Assumptions!$D$4)</f>
        <v>2964675.6664852947</v>
      </c>
      <c r="K21" s="19"/>
      <c r="L21" s="19"/>
      <c r="M21" s="731" t="s">
        <v>1548</v>
      </c>
      <c r="N21" s="732"/>
      <c r="O21" s="423"/>
      <c r="P21" s="731" t="s">
        <v>1543</v>
      </c>
      <c r="Q21" s="732"/>
    </row>
    <row r="22" spans="1:17" x14ac:dyDescent="0.25">
      <c r="B22" s="2">
        <f t="shared" si="5"/>
        <v>2041</v>
      </c>
      <c r="C22" s="395">
        <f t="shared" si="6"/>
        <v>167542183.53371429</v>
      </c>
      <c r="D22" s="395">
        <f t="shared" si="7"/>
        <v>143981563.9742856</v>
      </c>
      <c r="E22" s="397">
        <f t="shared" si="2"/>
        <v>88579552.434274733</v>
      </c>
      <c r="F22" s="397">
        <f t="shared" si="3"/>
        <v>76123052.873204798</v>
      </c>
      <c r="G22" s="398">
        <f t="shared" si="4"/>
        <v>12456499.561069936</v>
      </c>
      <c r="H22" s="397">
        <f>G22*(1+0.07)^-(B22-Assumptions!$D$4)</f>
        <v>2811595.942984615</v>
      </c>
      <c r="K22" s="19"/>
      <c r="L22" s="19"/>
      <c r="M22" s="443" t="s">
        <v>1491</v>
      </c>
      <c r="N22" s="447">
        <v>2020</v>
      </c>
      <c r="O22" s="423"/>
      <c r="P22" s="443" t="s">
        <v>1491</v>
      </c>
      <c r="Q22" s="447">
        <v>2020</v>
      </c>
    </row>
    <row r="23" spans="1:17" x14ac:dyDescent="0.25">
      <c r="B23" s="2">
        <f t="shared" si="5"/>
        <v>2042</v>
      </c>
      <c r="C23" s="395">
        <f t="shared" si="6"/>
        <v>169977675.77600002</v>
      </c>
      <c r="D23" s="395">
        <f t="shared" si="7"/>
        <v>146074565.11999989</v>
      </c>
      <c r="E23" s="397">
        <f t="shared" si="2"/>
        <v>89867197.182771206</v>
      </c>
      <c r="F23" s="397">
        <f t="shared" si="3"/>
        <v>77229622.578943938</v>
      </c>
      <c r="G23" s="398">
        <f t="shared" si="4"/>
        <v>12637574.603827268</v>
      </c>
      <c r="H23" s="397">
        <f>G23*(1+0.07)^-(B23-Assumptions!$D$4)</f>
        <v>2665856.975719966</v>
      </c>
      <c r="K23" s="19"/>
      <c r="L23" s="19"/>
      <c r="M23" s="443" t="s">
        <v>1488</v>
      </c>
      <c r="N23" s="448">
        <f>N7</f>
        <v>12456.854285714286</v>
      </c>
      <c r="O23" s="423"/>
      <c r="P23" s="443" t="s">
        <v>1488</v>
      </c>
      <c r="Q23" s="448">
        <f>Q7</f>
        <v>12456.854285714286</v>
      </c>
    </row>
    <row r="24" spans="1:17" x14ac:dyDescent="0.25">
      <c r="B24" s="2">
        <f t="shared" si="5"/>
        <v>2043</v>
      </c>
      <c r="C24" s="395">
        <f t="shared" si="6"/>
        <v>172413168.01828575</v>
      </c>
      <c r="D24" s="395">
        <f t="shared" si="7"/>
        <v>148167566.26571417</v>
      </c>
      <c r="E24" s="397">
        <f t="shared" si="2"/>
        <v>91154841.931267664</v>
      </c>
      <c r="F24" s="397">
        <f t="shared" si="3"/>
        <v>78336192.284683079</v>
      </c>
      <c r="G24" s="398">
        <f t="shared" si="4"/>
        <v>12818649.646584585</v>
      </c>
      <c r="H24" s="397">
        <f>G24*(1+0.07)^-(B24-Assumptions!$D$4)</f>
        <v>2527153.450131984</v>
      </c>
      <c r="K24" s="19"/>
      <c r="L24" s="19"/>
      <c r="M24" s="443" t="s">
        <v>1489</v>
      </c>
      <c r="N24" s="448">
        <f>N8</f>
        <v>17669.808571428573</v>
      </c>
      <c r="O24" s="423"/>
      <c r="P24" s="443" t="s">
        <v>1489</v>
      </c>
      <c r="Q24" s="448">
        <f>Q8</f>
        <v>17669.808571428573</v>
      </c>
    </row>
    <row r="25" spans="1:17" ht="15" customHeight="1" thickBot="1" x14ac:dyDescent="0.3">
      <c r="B25" s="3">
        <f t="shared" si="5"/>
        <v>2044</v>
      </c>
      <c r="C25" s="437">
        <f t="shared" si="6"/>
        <v>174848660.26057148</v>
      </c>
      <c r="D25" s="437">
        <f t="shared" si="7"/>
        <v>150260567.41142845</v>
      </c>
      <c r="E25" s="462">
        <f t="shared" si="2"/>
        <v>92442486.679764137</v>
      </c>
      <c r="F25" s="462">
        <f t="shared" si="3"/>
        <v>79442761.990422219</v>
      </c>
      <c r="G25" s="463">
        <f t="shared" si="4"/>
        <v>12999724.689341918</v>
      </c>
      <c r="H25" s="462">
        <f>G25*(1+0.07)^-(B25-Assumptions!$D$4)</f>
        <v>2395188.5820267997</v>
      </c>
      <c r="K25" s="19"/>
      <c r="L25" s="19"/>
      <c r="M25" s="446" t="s">
        <v>1490</v>
      </c>
      <c r="N25" s="449">
        <f>(N24-N23)/(N23*20)</f>
        <v>2.0924039754131925E-2</v>
      </c>
      <c r="O25" s="423"/>
      <c r="P25" s="443" t="s">
        <v>1490</v>
      </c>
      <c r="Q25" s="451">
        <f>(Q24-Q23)/(Q23*20)</f>
        <v>2.0924039754131925E-2</v>
      </c>
    </row>
    <row r="26" spans="1:17" ht="15" customHeight="1" thickBot="1" x14ac:dyDescent="0.3">
      <c r="B26" s="4"/>
      <c r="C26" s="72"/>
      <c r="D26" s="72"/>
      <c r="E26" s="72"/>
      <c r="F26" s="72"/>
      <c r="G26" s="95" t="s">
        <v>2</v>
      </c>
      <c r="H26" s="375">
        <f>SUM(H6:H25)</f>
        <v>64530696.636725292</v>
      </c>
      <c r="M26" s="733" t="s">
        <v>1547</v>
      </c>
      <c r="N26" s="734"/>
      <c r="O26" s="423"/>
      <c r="P26" s="733" t="s">
        <v>1547</v>
      </c>
      <c r="Q26" s="734"/>
    </row>
    <row r="27" spans="1:17" x14ac:dyDescent="0.25">
      <c r="G27" s="377"/>
      <c r="H27" s="377"/>
      <c r="I27" s="31"/>
      <c r="J27" s="25"/>
      <c r="M27" s="442" t="s">
        <v>1487</v>
      </c>
      <c r="N27" s="450">
        <v>31.3</v>
      </c>
      <c r="O27" s="423"/>
      <c r="P27" s="442" t="s">
        <v>1487</v>
      </c>
      <c r="Q27" s="450">
        <v>26.9</v>
      </c>
    </row>
    <row r="28" spans="1:17" x14ac:dyDescent="0.25">
      <c r="A28" s="19"/>
      <c r="B28" s="20" t="s">
        <v>3</v>
      </c>
      <c r="C28" s="19"/>
      <c r="D28" s="19"/>
      <c r="E28" s="19"/>
      <c r="F28" s="19"/>
      <c r="I28" s="25"/>
      <c r="J28" s="25"/>
      <c r="M28" s="443" t="s">
        <v>1542</v>
      </c>
      <c r="N28" s="386">
        <v>40</v>
      </c>
      <c r="O28" s="423"/>
      <c r="P28" s="443" t="s">
        <v>1542</v>
      </c>
      <c r="Q28" s="386">
        <v>24</v>
      </c>
    </row>
    <row r="29" spans="1:17" ht="15" customHeight="1" x14ac:dyDescent="0.25">
      <c r="A29" s="88" t="s">
        <v>13</v>
      </c>
      <c r="B29" s="698" t="s">
        <v>1691</v>
      </c>
      <c r="C29" s="698"/>
      <c r="D29" s="698"/>
      <c r="E29" s="698"/>
      <c r="F29" s="698"/>
      <c r="G29" s="698"/>
      <c r="I29" s="25"/>
      <c r="J29" s="37"/>
      <c r="M29" s="735" t="s">
        <v>1550</v>
      </c>
      <c r="N29" s="736"/>
      <c r="O29" s="423"/>
      <c r="P29" s="735" t="s">
        <v>1550</v>
      </c>
      <c r="Q29" s="736"/>
    </row>
    <row r="30" spans="1:17" x14ac:dyDescent="0.25">
      <c r="A30" s="19"/>
      <c r="B30" s="698"/>
      <c r="C30" s="698"/>
      <c r="D30" s="698"/>
      <c r="E30" s="698"/>
      <c r="F30" s="698"/>
      <c r="G30" s="698"/>
      <c r="H30" s="19"/>
      <c r="I30" s="48"/>
      <c r="J30" s="49"/>
      <c r="M30" s="444">
        <v>2020</v>
      </c>
      <c r="N30" s="384">
        <f>N23*N27*365/2</f>
        <v>71156665.893571422</v>
      </c>
      <c r="O30" s="423"/>
      <c r="P30" s="444">
        <v>2020</v>
      </c>
      <c r="Q30" s="384">
        <f>Q23*Q27*365/2</f>
        <v>61153811.90214286</v>
      </c>
    </row>
    <row r="31" spans="1:17" x14ac:dyDescent="0.25">
      <c r="A31" s="19"/>
      <c r="B31" s="698"/>
      <c r="C31" s="698"/>
      <c r="D31" s="698"/>
      <c r="E31" s="698"/>
      <c r="F31" s="698"/>
      <c r="G31" s="698"/>
      <c r="H31" s="19"/>
      <c r="I31" s="48"/>
      <c r="J31" s="48"/>
      <c r="M31" s="444">
        <v>2040</v>
      </c>
      <c r="N31" s="384">
        <f>N24*N27*365/2</f>
        <v>100934364.01214287</v>
      </c>
      <c r="O31" s="423"/>
      <c r="P31" s="444">
        <v>2040</v>
      </c>
      <c r="Q31" s="384">
        <f>Q24*Q27*365/2</f>
        <v>86745507.729285717</v>
      </c>
    </row>
    <row r="32" spans="1:17" x14ac:dyDescent="0.25">
      <c r="A32" s="19"/>
      <c r="B32" s="698"/>
      <c r="C32" s="698"/>
      <c r="D32" s="698"/>
      <c r="E32" s="698"/>
      <c r="F32" s="698"/>
      <c r="G32" s="698"/>
      <c r="H32" s="19"/>
      <c r="I32" s="48"/>
      <c r="J32" s="48"/>
      <c r="M32" s="739" t="s">
        <v>1549</v>
      </c>
      <c r="N32" s="740"/>
      <c r="O32" s="423"/>
      <c r="P32" s="739" t="s">
        <v>1549</v>
      </c>
      <c r="Q32" s="740"/>
    </row>
    <row r="33" spans="1:17" ht="15" customHeight="1" x14ac:dyDescent="0.25">
      <c r="A33" s="19"/>
      <c r="B33" s="698"/>
      <c r="C33" s="698"/>
      <c r="D33" s="698"/>
      <c r="E33" s="698"/>
      <c r="F33" s="698"/>
      <c r="G33" s="698"/>
      <c r="H33" s="19"/>
      <c r="I33" s="48"/>
      <c r="J33" s="48"/>
      <c r="M33" s="444">
        <v>2020</v>
      </c>
      <c r="N33" s="384">
        <f>N23*N28*365/60/2</f>
        <v>1515583.9380952381</v>
      </c>
      <c r="O33" s="423"/>
      <c r="P33" s="444">
        <v>2020</v>
      </c>
      <c r="Q33" s="384">
        <f>Q23*Q28*365/60/2</f>
        <v>909350.3628571427</v>
      </c>
    </row>
    <row r="34" spans="1:17" ht="15" customHeight="1" x14ac:dyDescent="0.25">
      <c r="A34" s="19"/>
      <c r="B34" s="698"/>
      <c r="C34" s="698"/>
      <c r="D34" s="698"/>
      <c r="E34" s="698"/>
      <c r="F34" s="698"/>
      <c r="G34" s="698"/>
      <c r="H34" s="19"/>
      <c r="I34" s="48"/>
      <c r="J34" s="48"/>
      <c r="M34" s="444">
        <v>2040</v>
      </c>
      <c r="N34" s="384">
        <f>N24*N28*365/60/2</f>
        <v>2149826.7095238096</v>
      </c>
      <c r="O34" s="423"/>
      <c r="P34" s="444">
        <v>2040</v>
      </c>
      <c r="Q34" s="384">
        <f>Q24*Q28*365/60/2</f>
        <v>1289896.0257142859</v>
      </c>
    </row>
    <row r="35" spans="1:17" ht="15" customHeight="1" thickBot="1" x14ac:dyDescent="0.3">
      <c r="A35" s="19"/>
      <c r="B35" s="698"/>
      <c r="C35" s="698"/>
      <c r="D35" s="698"/>
      <c r="E35" s="698"/>
      <c r="F35" s="698"/>
      <c r="G35" s="698"/>
      <c r="H35" s="19"/>
      <c r="I35" s="48"/>
      <c r="J35" s="48"/>
      <c r="M35" s="741" t="s">
        <v>1546</v>
      </c>
      <c r="N35" s="742"/>
      <c r="O35" s="423"/>
      <c r="P35" s="733" t="s">
        <v>1546</v>
      </c>
      <c r="Q35" s="734"/>
    </row>
    <row r="36" spans="1:17" ht="15.75" customHeight="1" thickTop="1" x14ac:dyDescent="0.25">
      <c r="A36" s="19"/>
      <c r="B36" s="110"/>
      <c r="C36" s="110"/>
      <c r="D36" s="110"/>
      <c r="E36" s="110"/>
      <c r="F36" s="110"/>
      <c r="G36" s="423"/>
      <c r="J36" s="26"/>
      <c r="M36" s="442" t="s">
        <v>1487</v>
      </c>
      <c r="N36" s="450">
        <v>19.899999999999999</v>
      </c>
      <c r="O36" s="423"/>
      <c r="P36" s="442" t="s">
        <v>1487</v>
      </c>
      <c r="Q36" s="450">
        <v>17.100000000000001</v>
      </c>
    </row>
    <row r="37" spans="1:17" x14ac:dyDescent="0.25">
      <c r="A37" s="88" t="s">
        <v>12</v>
      </c>
      <c r="B37" s="698" t="s">
        <v>1554</v>
      </c>
      <c r="C37" s="698"/>
      <c r="D37" s="698"/>
      <c r="E37" s="698"/>
      <c r="F37" s="698"/>
      <c r="G37" s="698"/>
      <c r="J37" s="26"/>
      <c r="M37" s="443" t="s">
        <v>1542</v>
      </c>
      <c r="N37" s="386">
        <v>24</v>
      </c>
      <c r="O37" s="423"/>
      <c r="P37" s="443" t="s">
        <v>1542</v>
      </c>
      <c r="Q37" s="386">
        <v>16</v>
      </c>
    </row>
    <row r="38" spans="1:17" x14ac:dyDescent="0.25">
      <c r="A38" s="88"/>
      <c r="B38" s="698"/>
      <c r="C38" s="698"/>
      <c r="D38" s="698"/>
      <c r="E38" s="698"/>
      <c r="F38" s="698"/>
      <c r="G38" s="698"/>
      <c r="J38" s="26"/>
      <c r="M38" s="735" t="s">
        <v>1550</v>
      </c>
      <c r="N38" s="736"/>
      <c r="O38" s="423"/>
      <c r="P38" s="735" t="s">
        <v>1550</v>
      </c>
      <c r="Q38" s="736"/>
    </row>
    <row r="39" spans="1:17" ht="15" customHeight="1" x14ac:dyDescent="0.25">
      <c r="A39" s="88"/>
      <c r="B39" s="422"/>
      <c r="C39" s="422"/>
      <c r="D39" s="422"/>
      <c r="E39" s="422"/>
      <c r="F39" s="422"/>
      <c r="G39" s="422"/>
      <c r="J39" s="26"/>
      <c r="M39" s="444">
        <v>2020</v>
      </c>
      <c r="N39" s="384">
        <f>N23*N36*365/2</f>
        <v>45240180.552142859</v>
      </c>
      <c r="O39" s="423"/>
      <c r="P39" s="444">
        <v>2020</v>
      </c>
      <c r="Q39" s="384">
        <f>Q23*Q36*365/2</f>
        <v>38874728.012142859</v>
      </c>
    </row>
    <row r="40" spans="1:17" ht="15" customHeight="1" x14ac:dyDescent="0.25">
      <c r="A40" s="88" t="s">
        <v>14</v>
      </c>
      <c r="B40" s="698" t="s">
        <v>1690</v>
      </c>
      <c r="C40" s="698"/>
      <c r="D40" s="698"/>
      <c r="E40" s="698"/>
      <c r="F40" s="698"/>
      <c r="G40" s="698"/>
      <c r="K40" s="26"/>
      <c r="L40" s="26"/>
      <c r="M40" s="444">
        <v>2040</v>
      </c>
      <c r="N40" s="384">
        <f>N24*N36*365/2</f>
        <v>64172327.279285714</v>
      </c>
      <c r="O40" s="423"/>
      <c r="P40" s="444">
        <v>2040</v>
      </c>
      <c r="Q40" s="384">
        <f>Q24*Q36*365/2</f>
        <v>55143055.099285729</v>
      </c>
    </row>
    <row r="41" spans="1:17" ht="15" customHeight="1" x14ac:dyDescent="0.25">
      <c r="A41" s="19"/>
      <c r="B41" s="698"/>
      <c r="C41" s="698"/>
      <c r="D41" s="698"/>
      <c r="E41" s="698"/>
      <c r="F41" s="698"/>
      <c r="G41" s="698"/>
      <c r="M41" s="739" t="s">
        <v>1549</v>
      </c>
      <c r="N41" s="740"/>
      <c r="O41" s="423"/>
      <c r="P41" s="739" t="s">
        <v>1549</v>
      </c>
      <c r="Q41" s="740"/>
    </row>
    <row r="42" spans="1:17" ht="15" customHeight="1" x14ac:dyDescent="0.25">
      <c r="A42" s="19"/>
      <c r="B42" s="698"/>
      <c r="C42" s="698"/>
      <c r="D42" s="698"/>
      <c r="E42" s="698"/>
      <c r="F42" s="698"/>
      <c r="G42" s="698"/>
      <c r="M42" s="444">
        <v>2020</v>
      </c>
      <c r="N42" s="384">
        <f>N23*N37*365/60/2</f>
        <v>909350.3628571427</v>
      </c>
      <c r="O42" s="423"/>
      <c r="P42" s="444">
        <v>2020</v>
      </c>
      <c r="Q42" s="384">
        <f>Q23*Q37*365/60/2</f>
        <v>606233.57523809525</v>
      </c>
    </row>
    <row r="43" spans="1:17" x14ac:dyDescent="0.25">
      <c r="A43" s="19"/>
      <c r="B43" s="698"/>
      <c r="C43" s="698"/>
      <c r="D43" s="698"/>
      <c r="E43" s="698"/>
      <c r="F43" s="698"/>
      <c r="G43" s="698"/>
      <c r="I43" s="19"/>
      <c r="M43" s="444">
        <v>2040</v>
      </c>
      <c r="N43" s="384">
        <f>N24*N37*365/60/2</f>
        <v>1289896.0257142859</v>
      </c>
      <c r="O43" s="423"/>
      <c r="P43" s="444">
        <v>2040</v>
      </c>
      <c r="Q43" s="384">
        <f>Q24*Q37*365/60/2</f>
        <v>859930.68380952394</v>
      </c>
    </row>
    <row r="44" spans="1:17" ht="15.75" thickBot="1" x14ac:dyDescent="0.3">
      <c r="A44" s="19"/>
      <c r="B44" s="110"/>
      <c r="C44" s="110"/>
      <c r="D44" s="110"/>
      <c r="E44" s="110"/>
      <c r="F44" s="110"/>
      <c r="G44" s="423"/>
      <c r="M44" s="741" t="s">
        <v>1551</v>
      </c>
      <c r="N44" s="742"/>
      <c r="O44" s="423"/>
      <c r="P44" s="741" t="s">
        <v>1551</v>
      </c>
      <c r="Q44" s="742"/>
    </row>
    <row r="45" spans="1:17" ht="15.75" thickTop="1" x14ac:dyDescent="0.25">
      <c r="A45" s="88" t="s">
        <v>15</v>
      </c>
      <c r="B45" s="698" t="s">
        <v>1637</v>
      </c>
      <c r="C45" s="698"/>
      <c r="D45" s="698"/>
      <c r="E45" s="698"/>
      <c r="F45" s="698"/>
      <c r="G45" s="698"/>
      <c r="M45" s="735" t="s">
        <v>1550</v>
      </c>
      <c r="N45" s="736"/>
      <c r="O45" s="423"/>
      <c r="P45" s="735" t="s">
        <v>1550</v>
      </c>
      <c r="Q45" s="736"/>
    </row>
    <row r="46" spans="1:17" x14ac:dyDescent="0.25">
      <c r="A46" s="19"/>
      <c r="B46" s="698"/>
      <c r="C46" s="698"/>
      <c r="D46" s="698"/>
      <c r="E46" s="698"/>
      <c r="F46" s="698"/>
      <c r="G46" s="698"/>
      <c r="M46" s="452">
        <v>2020</v>
      </c>
      <c r="N46" s="453">
        <f>SUM(N30,N39)</f>
        <v>116396846.44571428</v>
      </c>
      <c r="O46" s="423"/>
      <c r="P46" s="452">
        <v>2020</v>
      </c>
      <c r="Q46" s="453">
        <f>SUM(Q30,Q39)</f>
        <v>100028539.91428572</v>
      </c>
    </row>
    <row r="47" spans="1:17" ht="15.75" thickBot="1" x14ac:dyDescent="0.3">
      <c r="A47" s="19"/>
      <c r="B47" s="698"/>
      <c r="C47" s="698"/>
      <c r="D47" s="698"/>
      <c r="E47" s="698"/>
      <c r="F47" s="698"/>
      <c r="G47" s="698"/>
      <c r="M47" s="454">
        <v>2040</v>
      </c>
      <c r="N47" s="455">
        <f>SUM(N31,N40)</f>
        <v>165106691.29142857</v>
      </c>
      <c r="O47" s="423"/>
      <c r="P47" s="454">
        <v>2040</v>
      </c>
      <c r="Q47" s="455">
        <f>SUM(Q31,Q40)</f>
        <v>141888562.82857144</v>
      </c>
    </row>
    <row r="48" spans="1:17" ht="15" customHeight="1" x14ac:dyDescent="0.25">
      <c r="A48" s="19"/>
      <c r="B48" s="698"/>
      <c r="C48" s="698"/>
      <c r="D48" s="698"/>
      <c r="E48" s="698"/>
      <c r="F48" s="698"/>
      <c r="G48" s="698"/>
      <c r="H48" s="19"/>
      <c r="M48" s="737" t="s">
        <v>1549</v>
      </c>
      <c r="N48" s="738"/>
      <c r="O48" s="423"/>
      <c r="P48" s="737" t="s">
        <v>1549</v>
      </c>
      <c r="Q48" s="738"/>
    </row>
    <row r="49" spans="1:17" x14ac:dyDescent="0.25">
      <c r="A49" s="19"/>
      <c r="B49" s="698"/>
      <c r="C49" s="698"/>
      <c r="D49" s="698"/>
      <c r="E49" s="698"/>
      <c r="F49" s="698"/>
      <c r="G49" s="698"/>
      <c r="H49" s="19"/>
      <c r="M49" s="444">
        <v>2020</v>
      </c>
      <c r="N49" s="448">
        <f>SUM(N33,N42)</f>
        <v>2424934.3009523805</v>
      </c>
      <c r="O49" s="423"/>
      <c r="P49" s="444">
        <v>2020</v>
      </c>
      <c r="Q49" s="448">
        <f>SUM(Q33,Q42)</f>
        <v>1515583.9380952381</v>
      </c>
    </row>
    <row r="50" spans="1:17" ht="15.75" thickBot="1" x14ac:dyDescent="0.3">
      <c r="A50" s="19"/>
      <c r="B50" s="698"/>
      <c r="C50" s="698"/>
      <c r="D50" s="698"/>
      <c r="E50" s="698"/>
      <c r="F50" s="698"/>
      <c r="G50" s="698"/>
      <c r="H50" s="19"/>
      <c r="M50" s="445">
        <v>2040</v>
      </c>
      <c r="N50" s="456">
        <f>SUM(N34,N43)</f>
        <v>3439722.7352380957</v>
      </c>
      <c r="O50" s="423"/>
      <c r="P50" s="445">
        <v>2040</v>
      </c>
      <c r="Q50" s="456">
        <f>SUM(Q34,Q43)</f>
        <v>2149826.7095238101</v>
      </c>
    </row>
    <row r="51" spans="1:17" x14ac:dyDescent="0.25">
      <c r="A51" s="19"/>
      <c r="B51" s="110"/>
      <c r="C51" s="110"/>
      <c r="D51" s="110"/>
      <c r="E51" s="110"/>
      <c r="F51" s="110"/>
      <c r="G51" s="423"/>
    </row>
    <row r="52" spans="1:17" x14ac:dyDescent="0.25">
      <c r="A52" s="7"/>
      <c r="B52" s="110"/>
      <c r="C52" s="110"/>
      <c r="D52" s="110"/>
      <c r="E52" s="110"/>
      <c r="F52" s="110"/>
      <c r="G52" s="110"/>
    </row>
    <row r="53" spans="1:17" x14ac:dyDescent="0.25">
      <c r="B53" s="110"/>
      <c r="C53" s="110"/>
      <c r="D53" s="110"/>
      <c r="E53" s="110"/>
      <c r="F53" s="110"/>
      <c r="G53" s="110"/>
    </row>
    <row r="54" spans="1:17" x14ac:dyDescent="0.25">
      <c r="B54" s="110"/>
      <c r="C54" s="110"/>
      <c r="D54" s="110"/>
      <c r="E54" s="110"/>
      <c r="F54" s="110"/>
      <c r="G54" s="110"/>
    </row>
    <row r="55" spans="1:17" x14ac:dyDescent="0.25">
      <c r="B55" s="110"/>
      <c r="C55" s="110"/>
      <c r="D55" s="110"/>
      <c r="E55" s="110"/>
      <c r="F55" s="110"/>
      <c r="G55" s="110"/>
    </row>
    <row r="56" spans="1:17" x14ac:dyDescent="0.25">
      <c r="B56" s="110"/>
      <c r="C56" s="110"/>
      <c r="D56" s="110"/>
    </row>
    <row r="57" spans="1:17" x14ac:dyDescent="0.25">
      <c r="B57" s="110"/>
      <c r="C57" s="110"/>
      <c r="D57" s="110"/>
    </row>
    <row r="58" spans="1:17" x14ac:dyDescent="0.25">
      <c r="B58" s="110"/>
      <c r="C58" s="110"/>
      <c r="D58" s="110"/>
    </row>
  </sheetData>
  <mergeCells count="41">
    <mergeCell ref="P48:Q48"/>
    <mergeCell ref="M41:N41"/>
    <mergeCell ref="P41:Q41"/>
    <mergeCell ref="M44:N44"/>
    <mergeCell ref="P44:Q44"/>
    <mergeCell ref="M45:N45"/>
    <mergeCell ref="P45:Q45"/>
    <mergeCell ref="M21:N21"/>
    <mergeCell ref="P21:Q21"/>
    <mergeCell ref="B37:G38"/>
    <mergeCell ref="B40:G43"/>
    <mergeCell ref="B45:G50"/>
    <mergeCell ref="M26:N26"/>
    <mergeCell ref="P26:Q26"/>
    <mergeCell ref="M29:N29"/>
    <mergeCell ref="P29:Q29"/>
    <mergeCell ref="M32:N32"/>
    <mergeCell ref="P32:Q32"/>
    <mergeCell ref="M35:N35"/>
    <mergeCell ref="P35:Q35"/>
    <mergeCell ref="M38:N38"/>
    <mergeCell ref="P38:Q38"/>
    <mergeCell ref="M48:N48"/>
    <mergeCell ref="M10:N10"/>
    <mergeCell ref="P10:Q10"/>
    <mergeCell ref="M13:N13"/>
    <mergeCell ref="P13:Q13"/>
    <mergeCell ref="M16:N16"/>
    <mergeCell ref="P16:Q16"/>
    <mergeCell ref="H4:H5"/>
    <mergeCell ref="J5:K5"/>
    <mergeCell ref="J9:K9"/>
    <mergeCell ref="M5:N5"/>
    <mergeCell ref="P5:Q5"/>
    <mergeCell ref="B29:G35"/>
    <mergeCell ref="G4:G5"/>
    <mergeCell ref="B4:B5"/>
    <mergeCell ref="C4:C5"/>
    <mergeCell ref="D4:D5"/>
    <mergeCell ref="E4:E5"/>
    <mergeCell ref="F4:F5"/>
  </mergeCells>
  <pageMargins left="0.25" right="0.25" top="0.75" bottom="0.75" header="0.3" footer="0.3"/>
  <pageSetup scale="3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5C9B6-CB80-42AA-AE42-D0A4814D166D}">
  <sheetPr>
    <tabColor rgb="FF00B050"/>
    <pageSetUpPr fitToPage="1"/>
  </sheetPr>
  <dimension ref="A1:AZ77"/>
  <sheetViews>
    <sheetView view="pageBreakPreview" zoomScale="85" zoomScaleNormal="40" zoomScaleSheetLayoutView="85" workbookViewId="0">
      <selection activeCell="B51" sqref="B51:G52"/>
    </sheetView>
  </sheetViews>
  <sheetFormatPr defaultRowHeight="15" x14ac:dyDescent="0.25"/>
  <cols>
    <col min="1" max="1" width="3.7109375" style="379" customWidth="1"/>
    <col min="2" max="8" width="20.7109375" style="379" customWidth="1"/>
    <col min="9" max="10" width="5.7109375" style="379" customWidth="1"/>
    <col min="11" max="11" width="44" style="379" customWidth="1"/>
    <col min="12" max="13" width="21.85546875" style="379" customWidth="1"/>
    <col min="14" max="15" width="10.85546875" style="379" customWidth="1"/>
    <col min="16" max="16" width="12.5703125" style="379" customWidth="1"/>
    <col min="17" max="17" width="18" style="379" bestFit="1" customWidth="1"/>
    <col min="18" max="18" width="22.7109375" style="379" bestFit="1" customWidth="1"/>
    <col min="19" max="19" width="34.140625" style="379" bestFit="1" customWidth="1"/>
    <col min="20" max="21" width="16" style="379" bestFit="1" customWidth="1"/>
    <col min="22" max="34" width="9.140625" style="379"/>
    <col min="35" max="35" width="21.7109375" style="379" customWidth="1"/>
    <col min="36" max="36" width="14.85546875" style="379" customWidth="1"/>
    <col min="37" max="46" width="9.140625" style="379"/>
    <col min="47" max="47" width="10.85546875" style="379" bestFit="1" customWidth="1"/>
    <col min="48" max="48" width="27.28515625" style="379" customWidth="1"/>
    <col min="49" max="49" width="11" style="379" bestFit="1" customWidth="1"/>
    <col min="50" max="50" width="11.5703125" style="379" bestFit="1" customWidth="1"/>
    <col min="51" max="16384" width="9.140625" style="379"/>
  </cols>
  <sheetData>
    <row r="1" spans="1:52" x14ac:dyDescent="0.25">
      <c r="A1" s="19"/>
      <c r="B1" s="380">
        <v>1</v>
      </c>
      <c r="C1" s="380">
        <v>2</v>
      </c>
      <c r="D1" s="380">
        <v>3</v>
      </c>
      <c r="E1" s="380">
        <v>4</v>
      </c>
      <c r="F1" s="380">
        <v>5</v>
      </c>
      <c r="G1" s="380">
        <v>6</v>
      </c>
      <c r="H1" s="380">
        <v>7</v>
      </c>
    </row>
    <row r="2" spans="1:52" x14ac:dyDescent="0.25">
      <c r="B2" s="6" t="s">
        <v>1635</v>
      </c>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row>
    <row r="3" spans="1:52" ht="15.75" customHeight="1" thickBot="1" x14ac:dyDescent="0.3">
      <c r="K3" s="82"/>
      <c r="U3" s="55"/>
      <c r="V3" s="55"/>
      <c r="W3" s="55"/>
      <c r="X3" s="55"/>
      <c r="Y3" s="55"/>
      <c r="Z3" s="55"/>
      <c r="AA3" s="55"/>
      <c r="AB3" s="55"/>
      <c r="AC3" s="55"/>
      <c r="AD3" s="55"/>
      <c r="AE3" s="55"/>
      <c r="AF3" s="55"/>
      <c r="AG3" s="55"/>
      <c r="AH3" s="746" t="s">
        <v>604</v>
      </c>
      <c r="AI3" s="746" t="s">
        <v>605</v>
      </c>
      <c r="AJ3" s="744" t="s">
        <v>606</v>
      </c>
      <c r="AK3" s="745" t="s">
        <v>607</v>
      </c>
      <c r="AL3" s="745"/>
      <c r="AM3" s="745"/>
      <c r="AN3" s="745"/>
      <c r="AO3" s="745"/>
      <c r="AP3" s="152"/>
      <c r="AQ3" s="745" t="s">
        <v>608</v>
      </c>
      <c r="AR3" s="745"/>
      <c r="AS3" s="745"/>
      <c r="AT3" s="745"/>
      <c r="AU3" s="745"/>
      <c r="AV3" s="434" t="s">
        <v>609</v>
      </c>
      <c r="AW3" s="744" t="s">
        <v>610</v>
      </c>
      <c r="AX3" s="744"/>
      <c r="AY3" s="55"/>
    </row>
    <row r="4" spans="1:52" ht="35.1" customHeight="1" x14ac:dyDescent="0.25">
      <c r="B4" s="715" t="s">
        <v>0</v>
      </c>
      <c r="C4" s="715" t="s">
        <v>1496</v>
      </c>
      <c r="D4" s="718" t="s">
        <v>492</v>
      </c>
      <c r="E4" s="715" t="s">
        <v>1498</v>
      </c>
      <c r="F4" s="715" t="s">
        <v>1497</v>
      </c>
      <c r="G4" s="713" t="s">
        <v>1499</v>
      </c>
      <c r="H4" s="721" t="s">
        <v>1</v>
      </c>
      <c r="K4" s="90"/>
      <c r="L4" s="19"/>
      <c r="M4" s="22"/>
      <c r="N4" s="19"/>
      <c r="O4" s="19"/>
      <c r="U4" s="55"/>
      <c r="V4" s="55"/>
      <c r="W4" s="55"/>
      <c r="X4" s="55"/>
      <c r="Y4" s="55"/>
      <c r="Z4" s="55"/>
      <c r="AA4" s="55"/>
      <c r="AB4" s="55"/>
      <c r="AC4" s="55"/>
      <c r="AD4" s="55"/>
      <c r="AE4" s="55"/>
      <c r="AF4" s="55"/>
      <c r="AG4" s="55"/>
      <c r="AH4" s="746"/>
      <c r="AI4" s="746"/>
      <c r="AJ4" s="744"/>
      <c r="AK4" s="745" t="s">
        <v>611</v>
      </c>
      <c r="AL4" s="745"/>
      <c r="AM4" s="745"/>
      <c r="AN4" s="745"/>
      <c r="AO4" s="745"/>
      <c r="AP4" s="152"/>
      <c r="AQ4" s="745" t="s">
        <v>611</v>
      </c>
      <c r="AR4" s="745"/>
      <c r="AS4" s="745"/>
      <c r="AT4" s="745"/>
      <c r="AU4" s="745"/>
      <c r="AV4" s="435" t="s">
        <v>612</v>
      </c>
      <c r="AW4" s="435" t="s">
        <v>612</v>
      </c>
      <c r="AX4" s="435" t="s">
        <v>613</v>
      </c>
      <c r="AY4" s="55"/>
    </row>
    <row r="5" spans="1:52" ht="43.5" customHeight="1" thickBot="1" x14ac:dyDescent="0.3">
      <c r="B5" s="716"/>
      <c r="C5" s="716"/>
      <c r="D5" s="719"/>
      <c r="E5" s="716"/>
      <c r="F5" s="716"/>
      <c r="G5" s="714"/>
      <c r="H5" s="722"/>
      <c r="K5" s="439" t="s">
        <v>1537</v>
      </c>
      <c r="L5" s="51" t="s">
        <v>1693</v>
      </c>
      <c r="M5" s="441" t="s">
        <v>1694</v>
      </c>
      <c r="N5" s="19"/>
      <c r="O5" s="19"/>
      <c r="U5" s="55"/>
      <c r="V5" s="55"/>
      <c r="W5" s="55"/>
      <c r="X5" s="55"/>
      <c r="Y5" s="55"/>
      <c r="Z5" s="55"/>
      <c r="AA5" s="55"/>
      <c r="AB5" s="55"/>
      <c r="AC5" s="55"/>
      <c r="AD5" s="55"/>
      <c r="AE5" s="55"/>
      <c r="AF5" s="55"/>
      <c r="AG5" s="55"/>
      <c r="AH5" s="746"/>
      <c r="AI5" s="746"/>
      <c r="AJ5" s="744"/>
      <c r="AK5" s="144">
        <v>2</v>
      </c>
      <c r="AL5" s="144">
        <v>3</v>
      </c>
      <c r="AM5" s="144">
        <v>4</v>
      </c>
      <c r="AN5" s="144">
        <v>5</v>
      </c>
      <c r="AO5" s="144">
        <v>6</v>
      </c>
      <c r="AP5" s="152"/>
      <c r="AQ5" s="144">
        <v>2</v>
      </c>
      <c r="AR5" s="144">
        <v>3</v>
      </c>
      <c r="AS5" s="144">
        <v>4</v>
      </c>
      <c r="AT5" s="144">
        <v>5</v>
      </c>
      <c r="AU5" s="144">
        <v>6</v>
      </c>
      <c r="AV5" s="435" t="s">
        <v>614</v>
      </c>
      <c r="AW5" s="435"/>
      <c r="AX5" s="435"/>
      <c r="AY5" s="55"/>
    </row>
    <row r="6" spans="1:52" x14ac:dyDescent="0.25">
      <c r="B6" s="1">
        <v>2023</v>
      </c>
      <c r="C6" s="407">
        <f>TREND($L$26:$L$27,$K$26:$K$27,B6)</f>
        <v>36241207.96071434</v>
      </c>
      <c r="D6" s="408">
        <v>0</v>
      </c>
      <c r="E6" s="409">
        <f>C6*$L$15</f>
        <v>2201236.4325722167</v>
      </c>
      <c r="F6" s="409">
        <f t="shared" ref="F6:F25" si="0">D6*$M$15</f>
        <v>0</v>
      </c>
      <c r="G6" s="410">
        <f>(E6-F6)</f>
        <v>2201236.4325722167</v>
      </c>
      <c r="H6" s="409">
        <f>G6*(1+0.07)^-(B6-Assumptions!$D$4)</f>
        <v>1679312.7349939193</v>
      </c>
      <c r="I6" s="19"/>
      <c r="K6" s="94" t="s">
        <v>1534</v>
      </c>
      <c r="L6" s="381">
        <f>AX11</f>
        <v>5.661666666666669E-2</v>
      </c>
      <c r="M6" s="381">
        <f>L6</f>
        <v>5.661666666666669E-2</v>
      </c>
      <c r="N6" s="19"/>
      <c r="O6" s="19"/>
      <c r="U6" s="55"/>
      <c r="V6" s="55"/>
      <c r="W6" s="55"/>
      <c r="X6" s="55"/>
      <c r="Y6" s="55"/>
      <c r="Z6" s="55"/>
      <c r="AA6" s="55"/>
      <c r="AB6" s="55"/>
      <c r="AC6" s="55"/>
      <c r="AD6" s="55"/>
      <c r="AE6" s="55"/>
      <c r="AF6" s="55"/>
      <c r="AG6" s="55"/>
      <c r="AH6" s="747" t="s">
        <v>615</v>
      </c>
      <c r="AI6" s="162" t="s">
        <v>616</v>
      </c>
      <c r="AJ6" s="162">
        <v>21.3</v>
      </c>
      <c r="AK6" s="146">
        <v>1.02</v>
      </c>
      <c r="AL6" s="146">
        <v>1.03</v>
      </c>
      <c r="AM6" s="146">
        <v>1.07</v>
      </c>
      <c r="AN6" s="146">
        <v>1.1399999999999999</v>
      </c>
      <c r="AO6" s="146">
        <v>1.21</v>
      </c>
      <c r="AP6" s="152"/>
      <c r="AQ6" s="330">
        <f t="shared" ref="AQ6:AU10" si="1">$AJ6*AK6</f>
        <v>21.726000000000003</v>
      </c>
      <c r="AR6" s="330">
        <f t="shared" si="1"/>
        <v>21.939</v>
      </c>
      <c r="AS6" s="331">
        <f t="shared" si="1"/>
        <v>22.791</v>
      </c>
      <c r="AT6" s="331">
        <f t="shared" si="1"/>
        <v>24.282</v>
      </c>
      <c r="AU6" s="331">
        <f t="shared" si="1"/>
        <v>25.773</v>
      </c>
      <c r="AV6" s="332">
        <f>AVERAGE(AS6:AU6)</f>
        <v>24.282</v>
      </c>
      <c r="AW6" s="332">
        <f>AV6-AJ6</f>
        <v>2.9819999999999993</v>
      </c>
      <c r="AX6" s="333">
        <f>AW6/100</f>
        <v>2.9819999999999992E-2</v>
      </c>
      <c r="AY6" s="55"/>
    </row>
    <row r="7" spans="1:52" x14ac:dyDescent="0.25">
      <c r="B7" s="2">
        <f t="shared" ref="B7:B25" si="2">B6+1</f>
        <v>2024</v>
      </c>
      <c r="C7" s="395">
        <f>TREND($L$38:$L$39,$K$38:$K$39,B7)</f>
        <v>68982164.680000305</v>
      </c>
      <c r="D7" s="396">
        <f>$D$6+($L$69*$D$6*(B7-$B$6))</f>
        <v>0</v>
      </c>
      <c r="E7" s="397">
        <f>C7*$L$15</f>
        <v>4189872.8722264161</v>
      </c>
      <c r="F7" s="397">
        <f t="shared" si="0"/>
        <v>0</v>
      </c>
      <c r="G7" s="398">
        <f t="shared" ref="G7:G25" si="3">(E7-F7)</f>
        <v>4189872.8722264161</v>
      </c>
      <c r="H7" s="397">
        <f>G7*(1+0.07)^-(B7-Assumptions!$D$4)</f>
        <v>2987321.4516909765</v>
      </c>
      <c r="I7" s="19"/>
      <c r="K7" s="94" t="s">
        <v>1535</v>
      </c>
      <c r="L7" s="381">
        <f>AX12</f>
        <v>7.7499999999999999E-2</v>
      </c>
      <c r="M7" s="381">
        <f>L7</f>
        <v>7.7499999999999999E-2</v>
      </c>
      <c r="N7" s="19"/>
      <c r="O7" s="19"/>
      <c r="U7" s="55"/>
      <c r="V7" s="55"/>
      <c r="W7" s="55"/>
      <c r="X7" s="55"/>
      <c r="Y7" s="55"/>
      <c r="Z7" s="55"/>
      <c r="AA7" s="55"/>
      <c r="AB7" s="55"/>
      <c r="AC7" s="55"/>
      <c r="AD7" s="55"/>
      <c r="AE7" s="55"/>
      <c r="AF7" s="55"/>
      <c r="AG7" s="55"/>
      <c r="AH7" s="747"/>
      <c r="AI7" s="162" t="s">
        <v>617</v>
      </c>
      <c r="AJ7" s="162">
        <v>26.5</v>
      </c>
      <c r="AK7" s="146">
        <v>1.01</v>
      </c>
      <c r="AL7" s="146">
        <v>1.01</v>
      </c>
      <c r="AM7" s="146">
        <v>1.04</v>
      </c>
      <c r="AN7" s="146">
        <v>1.1000000000000001</v>
      </c>
      <c r="AO7" s="146">
        <v>1.1599999999999999</v>
      </c>
      <c r="AP7" s="152"/>
      <c r="AQ7" s="330">
        <f t="shared" si="1"/>
        <v>26.765000000000001</v>
      </c>
      <c r="AR7" s="330">
        <f t="shared" si="1"/>
        <v>26.765000000000001</v>
      </c>
      <c r="AS7" s="331">
        <f t="shared" si="1"/>
        <v>27.560000000000002</v>
      </c>
      <c r="AT7" s="331">
        <f t="shared" si="1"/>
        <v>29.150000000000002</v>
      </c>
      <c r="AU7" s="331">
        <f t="shared" si="1"/>
        <v>30.74</v>
      </c>
      <c r="AV7" s="332">
        <f>AVERAGE(AS7:AU7)</f>
        <v>29.150000000000002</v>
      </c>
      <c r="AW7" s="332">
        <f>AV7-AJ7</f>
        <v>2.6500000000000021</v>
      </c>
      <c r="AX7" s="333">
        <f>AW7/100</f>
        <v>2.650000000000002E-2</v>
      </c>
      <c r="AY7" s="55"/>
    </row>
    <row r="8" spans="1:52" x14ac:dyDescent="0.25">
      <c r="B8" s="2">
        <f t="shared" si="2"/>
        <v>2025</v>
      </c>
      <c r="C8" s="395">
        <f>TREND($L$50:$L$51,$K$50:$K$51,B8)</f>
        <v>82367915.842856884</v>
      </c>
      <c r="D8" s="396">
        <f>$D$6+($L$69*$D$6*(B8-$B$6))</f>
        <v>0</v>
      </c>
      <c r="E8" s="397">
        <f t="shared" ref="E8:E25" si="4">C8*$M$15</f>
        <v>5002903.2538010655</v>
      </c>
      <c r="F8" s="397">
        <f t="shared" si="0"/>
        <v>0</v>
      </c>
      <c r="G8" s="398">
        <f t="shared" si="3"/>
        <v>5002903.2538010655</v>
      </c>
      <c r="H8" s="397">
        <f>G8*(1+0.07)^-(B8-Assumptions!$D$4)</f>
        <v>3333645.6796766683</v>
      </c>
      <c r="J8" s="89"/>
      <c r="K8" s="74" t="s">
        <v>1692</v>
      </c>
      <c r="L8" s="91"/>
      <c r="M8" s="23"/>
      <c r="N8" s="19"/>
      <c r="O8" s="19"/>
      <c r="U8" s="55"/>
      <c r="V8" s="55"/>
      <c r="W8" s="55"/>
      <c r="X8" s="55"/>
      <c r="Y8" s="55"/>
      <c r="Z8" s="55"/>
      <c r="AA8" s="55"/>
      <c r="AB8" s="55"/>
      <c r="AC8" s="55"/>
      <c r="AD8" s="55"/>
      <c r="AE8" s="55"/>
      <c r="AF8" s="55"/>
      <c r="AG8" s="55"/>
      <c r="AH8" s="747"/>
      <c r="AI8" s="162" t="s">
        <v>618</v>
      </c>
      <c r="AJ8" s="162">
        <v>28.2</v>
      </c>
      <c r="AK8" s="146">
        <v>1.01</v>
      </c>
      <c r="AL8" s="146">
        <v>1.03</v>
      </c>
      <c r="AM8" s="146">
        <v>1.08</v>
      </c>
      <c r="AN8" s="146">
        <v>1.18</v>
      </c>
      <c r="AO8" s="146">
        <v>1.29</v>
      </c>
      <c r="AP8" s="152"/>
      <c r="AQ8" s="330">
        <f t="shared" si="1"/>
        <v>28.481999999999999</v>
      </c>
      <c r="AR8" s="330">
        <f t="shared" si="1"/>
        <v>29.045999999999999</v>
      </c>
      <c r="AS8" s="331">
        <f t="shared" si="1"/>
        <v>30.456</v>
      </c>
      <c r="AT8" s="331">
        <f t="shared" si="1"/>
        <v>33.275999999999996</v>
      </c>
      <c r="AU8" s="331">
        <f t="shared" si="1"/>
        <v>36.378</v>
      </c>
      <c r="AV8" s="332">
        <f>AVERAGE(AS8:AU8)</f>
        <v>33.369999999999997</v>
      </c>
      <c r="AW8" s="332">
        <f>AV8-AJ8</f>
        <v>5.1699999999999982</v>
      </c>
      <c r="AX8" s="333">
        <f>AW8/100</f>
        <v>5.1699999999999982E-2</v>
      </c>
      <c r="AY8" s="55"/>
    </row>
    <row r="9" spans="1:52" ht="14.25" customHeight="1" x14ac:dyDescent="0.25">
      <c r="B9" s="2">
        <f t="shared" si="2"/>
        <v>2026</v>
      </c>
      <c r="C9" s="395">
        <f>TREND($L$50:$L$51,$K$50:$K$51,B9)</f>
        <v>83928153.060571194</v>
      </c>
      <c r="D9" s="396">
        <f>$D$6+($L$69*$D$6*(B9-$B$6))</f>
        <v>0</v>
      </c>
      <c r="E9" s="397">
        <f t="shared" si="4"/>
        <v>5097669.7144226544</v>
      </c>
      <c r="F9" s="397">
        <f t="shared" si="0"/>
        <v>0</v>
      </c>
      <c r="G9" s="398">
        <f t="shared" si="3"/>
        <v>5097669.7144226544</v>
      </c>
      <c r="H9" s="397">
        <f>G9*(1+0.07)^-(B9-Assumptions!$D$4)</f>
        <v>3174572.4988696054</v>
      </c>
      <c r="J9" s="89"/>
      <c r="K9" s="74"/>
      <c r="L9" s="91"/>
      <c r="M9" s="23"/>
      <c r="N9" s="19"/>
      <c r="O9" s="19"/>
      <c r="U9" s="55"/>
      <c r="V9" s="55"/>
      <c r="W9" s="55"/>
      <c r="X9" s="55"/>
      <c r="Y9" s="55"/>
      <c r="Z9" s="55"/>
      <c r="AA9" s="55"/>
      <c r="AB9" s="55"/>
      <c r="AC9" s="55"/>
      <c r="AD9" s="55"/>
      <c r="AE9" s="55"/>
      <c r="AF9" s="55"/>
      <c r="AG9" s="55"/>
      <c r="AH9" s="747"/>
      <c r="AI9" s="162" t="s">
        <v>619</v>
      </c>
      <c r="AJ9" s="162">
        <v>48.1</v>
      </c>
      <c r="AK9" s="146">
        <v>1.01</v>
      </c>
      <c r="AL9" s="146">
        <v>1.01</v>
      </c>
      <c r="AM9" s="146">
        <v>1.04</v>
      </c>
      <c r="AN9" s="146">
        <v>1.1000000000000001</v>
      </c>
      <c r="AO9" s="146">
        <v>1.17</v>
      </c>
      <c r="AP9" s="152"/>
      <c r="AQ9" s="330">
        <f t="shared" si="1"/>
        <v>48.581000000000003</v>
      </c>
      <c r="AR9" s="330">
        <f t="shared" si="1"/>
        <v>48.581000000000003</v>
      </c>
      <c r="AS9" s="331">
        <f t="shared" si="1"/>
        <v>50.024000000000001</v>
      </c>
      <c r="AT9" s="331">
        <f t="shared" si="1"/>
        <v>52.910000000000004</v>
      </c>
      <c r="AU9" s="331">
        <f t="shared" si="1"/>
        <v>56.277000000000001</v>
      </c>
      <c r="AV9" s="332">
        <f>AVERAGE(AS9:AU9)</f>
        <v>53.070333333333338</v>
      </c>
      <c r="AW9" s="332">
        <f>AV9-AJ9</f>
        <v>4.9703333333333362</v>
      </c>
      <c r="AX9" s="333">
        <f>AW9/100</f>
        <v>4.9703333333333363E-2</v>
      </c>
      <c r="AY9" s="55"/>
    </row>
    <row r="10" spans="1:52" ht="15.75" thickBot="1" x14ac:dyDescent="0.3">
      <c r="B10" s="2">
        <f t="shared" si="2"/>
        <v>2027</v>
      </c>
      <c r="C10" s="395">
        <f>TREND($L$50:$L$51,$K$50:$K$51,B10)</f>
        <v>85488390.278285503</v>
      </c>
      <c r="D10" s="396">
        <f>$D$6+($L$69*$D$6*(B10-$B$6))</f>
        <v>0</v>
      </c>
      <c r="E10" s="397">
        <f t="shared" si="4"/>
        <v>5192436.1750442432</v>
      </c>
      <c r="F10" s="397">
        <f t="shared" si="0"/>
        <v>0</v>
      </c>
      <c r="G10" s="398">
        <f t="shared" si="3"/>
        <v>5192436.1750442432</v>
      </c>
      <c r="H10" s="397">
        <f>G10*(1+0.07)^-(B10-Assumptions!$D$4)</f>
        <v>3022045.1287486129</v>
      </c>
      <c r="K10" s="730" t="s">
        <v>1565</v>
      </c>
      <c r="L10" s="730"/>
      <c r="M10" s="22"/>
      <c r="N10" s="19"/>
      <c r="O10" s="19"/>
      <c r="U10" s="55"/>
      <c r="V10" s="55"/>
      <c r="W10" s="55"/>
      <c r="X10" s="55"/>
      <c r="Y10" s="55"/>
      <c r="Z10" s="55"/>
      <c r="AA10" s="55"/>
      <c r="AB10" s="55"/>
      <c r="AC10" s="55"/>
      <c r="AD10" s="55"/>
      <c r="AE10" s="55"/>
      <c r="AF10" s="55"/>
      <c r="AG10" s="55"/>
      <c r="AH10" s="747"/>
      <c r="AI10" s="473" t="s">
        <v>620</v>
      </c>
      <c r="AJ10" s="473">
        <v>130</v>
      </c>
      <c r="AK10" s="630">
        <v>1.01</v>
      </c>
      <c r="AL10" s="630">
        <v>1.02</v>
      </c>
      <c r="AM10" s="630">
        <v>1.04</v>
      </c>
      <c r="AN10" s="630">
        <v>1.08</v>
      </c>
      <c r="AO10" s="630">
        <v>1.1299999999999999</v>
      </c>
      <c r="AP10" s="152"/>
      <c r="AQ10" s="631">
        <f t="shared" si="1"/>
        <v>131.30000000000001</v>
      </c>
      <c r="AR10" s="631">
        <f t="shared" si="1"/>
        <v>132.6</v>
      </c>
      <c r="AS10" s="632">
        <f t="shared" si="1"/>
        <v>135.20000000000002</v>
      </c>
      <c r="AT10" s="632">
        <f t="shared" si="1"/>
        <v>140.4</v>
      </c>
      <c r="AU10" s="632">
        <f t="shared" si="1"/>
        <v>146.89999999999998</v>
      </c>
      <c r="AV10" s="633">
        <f>AVERAGE(AS10:AU10)</f>
        <v>140.83333333333334</v>
      </c>
      <c r="AW10" s="633">
        <f>AV10-AJ10</f>
        <v>10.833333333333343</v>
      </c>
      <c r="AX10" s="634">
        <f>AW10/100</f>
        <v>0.10833333333333343</v>
      </c>
      <c r="AY10" s="55"/>
    </row>
    <row r="11" spans="1:52" x14ac:dyDescent="0.25">
      <c r="B11" s="2">
        <f t="shared" si="2"/>
        <v>2028</v>
      </c>
      <c r="C11" s="395">
        <f>TREND($L$50:$L$51,$K$50:$K$51,B11)</f>
        <v>87048627.495999813</v>
      </c>
      <c r="D11" s="415">
        <v>0</v>
      </c>
      <c r="E11" s="416">
        <f t="shared" si="4"/>
        <v>5287202.6356658321</v>
      </c>
      <c r="F11" s="416">
        <f t="shared" si="0"/>
        <v>0</v>
      </c>
      <c r="G11" s="417">
        <f t="shared" si="3"/>
        <v>5287202.6356658321</v>
      </c>
      <c r="H11" s="416">
        <f>G11*(1+0.07)^-(B11-Assumptions!$D$4)</f>
        <v>2875887.9174184878</v>
      </c>
      <c r="K11" s="94" t="s">
        <v>33</v>
      </c>
      <c r="L11" s="93">
        <f>1-L24</f>
        <v>0.80262593238971824</v>
      </c>
      <c r="M11" s="93">
        <f>1-M12</f>
        <v>0.80262593238971824</v>
      </c>
      <c r="N11" s="19"/>
      <c r="O11" s="19"/>
      <c r="U11" s="55"/>
      <c r="V11" s="55"/>
      <c r="W11" s="55"/>
      <c r="X11" s="55"/>
      <c r="Y11" s="55"/>
      <c r="Z11" s="55"/>
      <c r="AA11" s="55"/>
      <c r="AB11" s="55"/>
      <c r="AC11" s="55"/>
      <c r="AD11" s="55"/>
      <c r="AE11" s="55"/>
      <c r="AF11" s="55"/>
      <c r="AG11" s="626"/>
      <c r="AH11" s="629"/>
      <c r="AI11" s="635" t="s">
        <v>1697</v>
      </c>
      <c r="AJ11" s="636">
        <f>'Operating Cost-Detour'!K6*100</f>
        <v>43</v>
      </c>
      <c r="AK11" s="637">
        <f>AVERAGE(AK6:AK9)</f>
        <v>1.0125</v>
      </c>
      <c r="AL11" s="637">
        <f t="shared" ref="AL11:AO11" si="5">AVERAGE(AL6:AL9)</f>
        <v>1.02</v>
      </c>
      <c r="AM11" s="637">
        <f t="shared" si="5"/>
        <v>1.0575000000000001</v>
      </c>
      <c r="AN11" s="637">
        <f t="shared" si="5"/>
        <v>1.1299999999999999</v>
      </c>
      <c r="AO11" s="637">
        <f t="shared" si="5"/>
        <v>1.2075</v>
      </c>
      <c r="AP11" s="638"/>
      <c r="AQ11" s="639">
        <f t="shared" ref="AQ11:AQ12" si="6">$AJ11*AK11</f>
        <v>43.537500000000001</v>
      </c>
      <c r="AR11" s="639">
        <f t="shared" ref="AR11:AR12" si="7">$AJ11*AL11</f>
        <v>43.86</v>
      </c>
      <c r="AS11" s="640">
        <f t="shared" ref="AS11:AS12" si="8">$AJ11*AM11</f>
        <v>45.472500000000004</v>
      </c>
      <c r="AT11" s="640">
        <f t="shared" ref="AT11:AT12" si="9">$AJ11*AN11</f>
        <v>48.589999999999996</v>
      </c>
      <c r="AU11" s="640">
        <f t="shared" ref="AU11:AU12" si="10">$AJ11*AO11</f>
        <v>51.922499999999999</v>
      </c>
      <c r="AV11" s="641">
        <f t="shared" ref="AV11:AV12" si="11">AVERAGE(AS11:AU11)</f>
        <v>48.661666666666669</v>
      </c>
      <c r="AW11" s="641">
        <f t="shared" ref="AW11:AW12" si="12">AV11-AJ11</f>
        <v>5.6616666666666688</v>
      </c>
      <c r="AX11" s="649">
        <f t="shared" ref="AX11:AX12" si="13">AW11/100</f>
        <v>5.661666666666669E-2</v>
      </c>
      <c r="AY11" s="626"/>
      <c r="AZ11" s="626"/>
    </row>
    <row r="12" spans="1:52" ht="15.75" thickBot="1" x14ac:dyDescent="0.3">
      <c r="B12" s="2">
        <f t="shared" si="2"/>
        <v>2029</v>
      </c>
      <c r="C12" s="395">
        <f>TREND($L$50:$L$51,$K$50:$K$51,B12)</f>
        <v>88608864.713714123</v>
      </c>
      <c r="D12" s="418">
        <f t="shared" ref="D12:D25" si="14">$D$11+($L$69*$D$11*(B12-$B$11))</f>
        <v>0</v>
      </c>
      <c r="E12" s="416">
        <f t="shared" si="4"/>
        <v>5381969.096287421</v>
      </c>
      <c r="F12" s="416">
        <f t="shared" si="0"/>
        <v>0</v>
      </c>
      <c r="G12" s="417">
        <f t="shared" si="3"/>
        <v>5381969.096287421</v>
      </c>
      <c r="H12" s="416">
        <f>G12*(1+0.07)^-(B12-Assumptions!$D$4)</f>
        <v>2735920.1803886374</v>
      </c>
      <c r="K12" s="94" t="s">
        <v>34</v>
      </c>
      <c r="L12" s="93">
        <f>L24</f>
        <v>0.19737406761028178</v>
      </c>
      <c r="M12" s="93">
        <f>L48</f>
        <v>0.19737406761028178</v>
      </c>
      <c r="N12" s="19"/>
      <c r="O12" s="19"/>
      <c r="U12" s="55"/>
      <c r="V12" s="55"/>
      <c r="W12" s="55"/>
      <c r="X12" s="55"/>
      <c r="Y12" s="55"/>
      <c r="Z12" s="55"/>
      <c r="AA12" s="55"/>
      <c r="AB12" s="55"/>
      <c r="AC12" s="55"/>
      <c r="AD12" s="55"/>
      <c r="AE12" s="55"/>
      <c r="AF12" s="55"/>
      <c r="AG12" s="626"/>
      <c r="AH12" s="629"/>
      <c r="AI12" s="642" t="s">
        <v>1696</v>
      </c>
      <c r="AJ12" s="643">
        <f>'Operating Cost-Detour'!K7*100</f>
        <v>93</v>
      </c>
      <c r="AK12" s="644">
        <f>AK10</f>
        <v>1.01</v>
      </c>
      <c r="AL12" s="644">
        <f t="shared" ref="AL12:AO12" si="15">AL10</f>
        <v>1.02</v>
      </c>
      <c r="AM12" s="644">
        <f t="shared" si="15"/>
        <v>1.04</v>
      </c>
      <c r="AN12" s="644">
        <f t="shared" si="15"/>
        <v>1.08</v>
      </c>
      <c r="AO12" s="644">
        <f t="shared" si="15"/>
        <v>1.1299999999999999</v>
      </c>
      <c r="AP12" s="645"/>
      <c r="AQ12" s="646">
        <f t="shared" si="6"/>
        <v>93.93</v>
      </c>
      <c r="AR12" s="646">
        <f t="shared" si="7"/>
        <v>94.86</v>
      </c>
      <c r="AS12" s="647">
        <f t="shared" si="8"/>
        <v>96.72</v>
      </c>
      <c r="AT12" s="647">
        <f t="shared" si="9"/>
        <v>100.44000000000001</v>
      </c>
      <c r="AU12" s="647">
        <f t="shared" si="10"/>
        <v>105.08999999999999</v>
      </c>
      <c r="AV12" s="648">
        <f t="shared" si="11"/>
        <v>100.75</v>
      </c>
      <c r="AW12" s="648">
        <f t="shared" si="12"/>
        <v>7.75</v>
      </c>
      <c r="AX12" s="650">
        <f t="shared" si="13"/>
        <v>7.7499999999999999E-2</v>
      </c>
      <c r="AY12" s="626"/>
      <c r="AZ12" s="626"/>
    </row>
    <row r="13" spans="1:52" ht="15" customHeight="1" x14ac:dyDescent="0.25">
      <c r="B13" s="2">
        <f t="shared" si="2"/>
        <v>2030</v>
      </c>
      <c r="C13" s="395">
        <v>0</v>
      </c>
      <c r="D13" s="418">
        <f t="shared" si="14"/>
        <v>0</v>
      </c>
      <c r="E13" s="416">
        <f t="shared" si="4"/>
        <v>0</v>
      </c>
      <c r="F13" s="416">
        <f t="shared" si="0"/>
        <v>0</v>
      </c>
      <c r="G13" s="417">
        <f t="shared" si="3"/>
        <v>0</v>
      </c>
      <c r="H13" s="416">
        <f>G13*(1+0.07)^-(B13-Assumptions!$D$4)</f>
        <v>0</v>
      </c>
      <c r="K13" s="74"/>
      <c r="L13" s="77"/>
      <c r="M13" s="22"/>
      <c r="N13" s="19"/>
      <c r="O13" s="19"/>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row>
    <row r="14" spans="1:52" x14ac:dyDescent="0.25">
      <c r="B14" s="2">
        <f t="shared" si="2"/>
        <v>2031</v>
      </c>
      <c r="C14" s="395">
        <v>0</v>
      </c>
      <c r="D14" s="418">
        <f t="shared" si="14"/>
        <v>0</v>
      </c>
      <c r="E14" s="416">
        <f t="shared" si="4"/>
        <v>0</v>
      </c>
      <c r="F14" s="416">
        <f t="shared" si="0"/>
        <v>0</v>
      </c>
      <c r="G14" s="417">
        <f t="shared" si="3"/>
        <v>0</v>
      </c>
      <c r="H14" s="416">
        <f>G14*(1+0.07)^-(B14-Assumptions!$D$4)</f>
        <v>0</v>
      </c>
      <c r="K14" s="424" t="s">
        <v>1566</v>
      </c>
      <c r="L14" s="63"/>
      <c r="M14" s="22"/>
      <c r="N14" s="19"/>
      <c r="O14" s="19"/>
      <c r="U14" s="55"/>
      <c r="V14" s="55"/>
      <c r="W14" s="55"/>
      <c r="X14" s="55"/>
      <c r="Y14" s="55"/>
      <c r="Z14" s="55"/>
      <c r="AA14" s="55"/>
      <c r="AB14" s="55"/>
      <c r="AC14" s="55"/>
      <c r="AD14" s="55"/>
      <c r="AE14" s="55"/>
      <c r="AF14" s="55"/>
      <c r="AG14" s="55"/>
      <c r="AH14" s="55"/>
      <c r="AI14" s="152" t="s">
        <v>621</v>
      </c>
      <c r="AJ14" s="152">
        <v>63.4</v>
      </c>
      <c r="AK14" s="152" t="s">
        <v>622</v>
      </c>
      <c r="AL14" s="152"/>
      <c r="AM14" s="152"/>
      <c r="AN14" s="152"/>
      <c r="AO14" s="152"/>
      <c r="AP14" s="152"/>
      <c r="AQ14" s="152"/>
      <c r="AR14" s="152"/>
      <c r="AS14" s="152"/>
      <c r="AT14" s="55"/>
      <c r="AU14" s="55"/>
      <c r="AV14" s="55"/>
      <c r="AW14" s="55"/>
      <c r="AX14" s="55"/>
      <c r="AY14" s="55"/>
    </row>
    <row r="15" spans="1:52" x14ac:dyDescent="0.25">
      <c r="B15" s="2">
        <f t="shared" si="2"/>
        <v>2032</v>
      </c>
      <c r="C15" s="395">
        <v>0</v>
      </c>
      <c r="D15" s="418">
        <f t="shared" si="14"/>
        <v>0</v>
      </c>
      <c r="E15" s="416">
        <f t="shared" si="4"/>
        <v>0</v>
      </c>
      <c r="F15" s="416">
        <f t="shared" si="0"/>
        <v>0</v>
      </c>
      <c r="G15" s="417">
        <f t="shared" si="3"/>
        <v>0</v>
      </c>
      <c r="H15" s="416">
        <f>G15*(1+0.07)^-(B15-Assumptions!$D$4)</f>
        <v>0</v>
      </c>
      <c r="K15" s="438" t="s">
        <v>1536</v>
      </c>
      <c r="L15" s="530">
        <f>(M6*M11)+(M7*M12)</f>
        <v>6.0738495111928074E-2</v>
      </c>
      <c r="M15" s="530">
        <f>(M6*M11)+(M7*M12)</f>
        <v>6.0738495111928074E-2</v>
      </c>
      <c r="N15" s="19"/>
      <c r="O15" s="19"/>
      <c r="U15" s="55"/>
      <c r="V15" s="55"/>
      <c r="W15" s="55"/>
      <c r="X15" s="55"/>
      <c r="Y15" s="55"/>
      <c r="Z15" s="55"/>
      <c r="AA15" s="55"/>
      <c r="AB15" s="55"/>
      <c r="AC15" s="55"/>
      <c r="AD15" s="55"/>
      <c r="AE15" s="55"/>
      <c r="AF15" s="55"/>
      <c r="AG15" s="55"/>
      <c r="AH15" s="55"/>
      <c r="AI15" s="152" t="s">
        <v>623</v>
      </c>
      <c r="AJ15" s="152">
        <f>AJ14*3</f>
        <v>190.2</v>
      </c>
      <c r="AK15" s="152" t="s">
        <v>622</v>
      </c>
      <c r="AL15" s="152" t="s">
        <v>624</v>
      </c>
      <c r="AM15" s="152"/>
      <c r="AN15" s="152"/>
      <c r="AO15" s="152"/>
      <c r="AP15" s="152"/>
      <c r="AQ15" s="152"/>
      <c r="AR15" s="152"/>
      <c r="AS15" s="152"/>
      <c r="AT15" s="55"/>
      <c r="AU15" s="55"/>
      <c r="AV15" s="55"/>
      <c r="AW15" s="55"/>
      <c r="AX15" s="55"/>
      <c r="AY15" s="55"/>
    </row>
    <row r="16" spans="1:52" x14ac:dyDescent="0.25">
      <c r="B16" s="2">
        <f t="shared" si="2"/>
        <v>2033</v>
      </c>
      <c r="C16" s="395">
        <v>0</v>
      </c>
      <c r="D16" s="418">
        <f t="shared" si="14"/>
        <v>0</v>
      </c>
      <c r="E16" s="416">
        <f t="shared" si="4"/>
        <v>0</v>
      </c>
      <c r="F16" s="416">
        <f t="shared" si="0"/>
        <v>0</v>
      </c>
      <c r="G16" s="417">
        <f t="shared" si="3"/>
        <v>0</v>
      </c>
      <c r="H16" s="416">
        <f>G16*(1+0.07)^-(B16-Assumptions!$D$4)</f>
        <v>0</v>
      </c>
      <c r="K16" s="74"/>
      <c r="L16" s="77"/>
      <c r="M16" s="22"/>
      <c r="N16" s="19"/>
      <c r="O16" s="19"/>
      <c r="U16" s="55"/>
      <c r="V16" s="55"/>
      <c r="W16" s="55"/>
      <c r="X16" s="55"/>
      <c r="Y16" s="55"/>
      <c r="Z16" s="55"/>
      <c r="AA16" s="55"/>
      <c r="AB16" s="55"/>
      <c r="AC16" s="55"/>
      <c r="AD16" s="55"/>
      <c r="AE16" s="55"/>
      <c r="AF16" s="55"/>
      <c r="AG16" s="55"/>
      <c r="AH16" s="55"/>
      <c r="AI16" s="152" t="s">
        <v>625</v>
      </c>
      <c r="AJ16" s="152">
        <f>AJ14*4</f>
        <v>253.6</v>
      </c>
      <c r="AK16" s="152" t="s">
        <v>622</v>
      </c>
      <c r="AL16" s="152" t="s">
        <v>626</v>
      </c>
      <c r="AM16" s="152"/>
      <c r="AN16" s="152"/>
      <c r="AO16" s="152"/>
      <c r="AP16" s="152"/>
      <c r="AQ16" s="152"/>
      <c r="AR16" s="152"/>
      <c r="AS16" s="152"/>
      <c r="AT16" s="55"/>
      <c r="AU16" s="55"/>
      <c r="AV16" s="55"/>
      <c r="AW16" s="55"/>
      <c r="AX16" s="55"/>
      <c r="AY16" s="55"/>
    </row>
    <row r="17" spans="1:51" x14ac:dyDescent="0.25">
      <c r="B17" s="2">
        <f t="shared" si="2"/>
        <v>2034</v>
      </c>
      <c r="C17" s="395">
        <v>0</v>
      </c>
      <c r="D17" s="418">
        <f t="shared" si="14"/>
        <v>0</v>
      </c>
      <c r="E17" s="416">
        <f t="shared" si="4"/>
        <v>0</v>
      </c>
      <c r="F17" s="416">
        <f t="shared" si="0"/>
        <v>0</v>
      </c>
      <c r="G17" s="417">
        <f t="shared" si="3"/>
        <v>0</v>
      </c>
      <c r="H17" s="416">
        <f>G17*(1+0.07)^-(B17-Assumptions!$D$4)</f>
        <v>0</v>
      </c>
      <c r="K17" s="429" t="s">
        <v>1707</v>
      </c>
      <c r="L17" s="77"/>
      <c r="M17" s="23"/>
      <c r="N17" s="19"/>
      <c r="O17" s="19"/>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row>
    <row r="18" spans="1:51" x14ac:dyDescent="0.25">
      <c r="B18" s="2">
        <f t="shared" si="2"/>
        <v>2035</v>
      </c>
      <c r="C18" s="395">
        <v>0</v>
      </c>
      <c r="D18" s="418">
        <f t="shared" si="14"/>
        <v>0</v>
      </c>
      <c r="E18" s="416">
        <f t="shared" si="4"/>
        <v>0</v>
      </c>
      <c r="F18" s="416">
        <f t="shared" si="0"/>
        <v>0</v>
      </c>
      <c r="G18" s="417">
        <f t="shared" si="3"/>
        <v>0</v>
      </c>
      <c r="H18" s="416">
        <f>G18*(1+0.07)^-(B18-Assumptions!$D$4)</f>
        <v>0</v>
      </c>
      <c r="K18" s="50" t="s">
        <v>1491</v>
      </c>
      <c r="L18" s="50">
        <v>2020</v>
      </c>
      <c r="M18" s="23"/>
      <c r="N18" s="19"/>
      <c r="O18" s="19"/>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152"/>
      <c r="AT18" s="334"/>
      <c r="AU18" s="152"/>
      <c r="AV18" s="152"/>
      <c r="AW18" s="55"/>
      <c r="AX18" s="55"/>
      <c r="AY18" s="55"/>
    </row>
    <row r="19" spans="1:51" x14ac:dyDescent="0.25">
      <c r="B19" s="2">
        <f t="shared" si="2"/>
        <v>2036</v>
      </c>
      <c r="C19" s="395">
        <v>0</v>
      </c>
      <c r="D19" s="418">
        <f t="shared" si="14"/>
        <v>0</v>
      </c>
      <c r="E19" s="416">
        <f t="shared" si="4"/>
        <v>0</v>
      </c>
      <c r="F19" s="416">
        <f t="shared" si="0"/>
        <v>0</v>
      </c>
      <c r="G19" s="417">
        <f t="shared" si="3"/>
        <v>0</v>
      </c>
      <c r="H19" s="416">
        <f>G19*(1+0.07)^-(B19-Assumptions!$D$4)</f>
        <v>0</v>
      </c>
      <c r="K19" s="50" t="s">
        <v>488</v>
      </c>
      <c r="L19" s="50" t="s">
        <v>1597</v>
      </c>
      <c r="M19" s="75"/>
      <c r="N19" s="19"/>
      <c r="O19" s="19"/>
      <c r="U19" s="55"/>
      <c r="V19" s="55"/>
      <c r="W19" s="55"/>
      <c r="X19" s="55"/>
      <c r="Y19" s="55"/>
      <c r="Z19" s="55"/>
      <c r="AA19" s="55"/>
      <c r="AB19" s="55"/>
      <c r="AC19" s="55"/>
      <c r="AD19" s="55"/>
      <c r="AE19" s="55"/>
      <c r="AF19" s="55"/>
      <c r="AG19" s="55"/>
      <c r="AH19" s="55"/>
      <c r="AI19" s="152" t="s">
        <v>1641</v>
      </c>
      <c r="AJ19" s="55"/>
      <c r="AK19" s="55"/>
      <c r="AL19" s="55"/>
      <c r="AM19" s="55"/>
      <c r="AN19" s="55"/>
      <c r="AO19" s="55"/>
      <c r="AP19" s="55"/>
      <c r="AQ19" s="55"/>
      <c r="AR19" s="55"/>
      <c r="AS19" s="152"/>
      <c r="AT19" s="334"/>
      <c r="AU19" s="152"/>
      <c r="AV19" s="152"/>
      <c r="AW19" s="55"/>
      <c r="AX19" s="55"/>
      <c r="AY19" s="55"/>
    </row>
    <row r="20" spans="1:51" ht="14.25" customHeight="1" x14ac:dyDescent="0.25">
      <c r="B20" s="2">
        <f t="shared" si="2"/>
        <v>2037</v>
      </c>
      <c r="C20" s="395">
        <v>0</v>
      </c>
      <c r="D20" s="418">
        <f t="shared" si="14"/>
        <v>0</v>
      </c>
      <c r="E20" s="416">
        <f t="shared" si="4"/>
        <v>0</v>
      </c>
      <c r="F20" s="416">
        <f t="shared" si="0"/>
        <v>0</v>
      </c>
      <c r="G20" s="417">
        <f t="shared" si="3"/>
        <v>0</v>
      </c>
      <c r="H20" s="416">
        <f>G20*(1+0.07)^-(B20-Assumptions!$D$4)</f>
        <v>0</v>
      </c>
      <c r="K20" s="50">
        <v>2020</v>
      </c>
      <c r="L20" s="467">
        <f>'Data from Needs Book'!B42</f>
        <v>12456.854285714286</v>
      </c>
      <c r="M20" s="76"/>
      <c r="N20" s="428"/>
      <c r="O20" s="428"/>
      <c r="U20" s="55"/>
      <c r="V20" s="55"/>
      <c r="W20" s="55"/>
      <c r="X20" s="55"/>
      <c r="Y20" s="55"/>
      <c r="Z20" s="55"/>
      <c r="AA20" s="55"/>
      <c r="AB20" s="55"/>
      <c r="AC20" s="55"/>
      <c r="AD20" s="55"/>
      <c r="AE20" s="55"/>
      <c r="AF20" s="55"/>
      <c r="AG20" s="55"/>
      <c r="AH20" s="55"/>
      <c r="AI20" s="152"/>
      <c r="AJ20" s="55"/>
      <c r="AK20" s="55"/>
      <c r="AL20" s="55"/>
      <c r="AM20" s="55"/>
      <c r="AN20" s="55"/>
      <c r="AO20" s="55"/>
      <c r="AP20" s="55"/>
      <c r="AQ20" s="55"/>
      <c r="AR20" s="55"/>
      <c r="AS20" s="152"/>
      <c r="AT20" s="152"/>
      <c r="AU20" s="152"/>
      <c r="AV20" s="152"/>
      <c r="AW20" s="55"/>
      <c r="AX20" s="55"/>
      <c r="AY20" s="55"/>
    </row>
    <row r="21" spans="1:51" x14ac:dyDescent="0.25">
      <c r="B21" s="2">
        <f t="shared" si="2"/>
        <v>2038</v>
      </c>
      <c r="C21" s="395">
        <v>0</v>
      </c>
      <c r="D21" s="418">
        <f t="shared" si="14"/>
        <v>0</v>
      </c>
      <c r="E21" s="416">
        <f t="shared" si="4"/>
        <v>0</v>
      </c>
      <c r="F21" s="416">
        <f t="shared" si="0"/>
        <v>0</v>
      </c>
      <c r="G21" s="417">
        <f t="shared" si="3"/>
        <v>0</v>
      </c>
      <c r="H21" s="416">
        <f>G21*(1+0.07)^-(B21-Assumptions!$D$4)</f>
        <v>0</v>
      </c>
      <c r="K21" s="50">
        <v>2040</v>
      </c>
      <c r="L21" s="467">
        <f>'Data from Needs Book'!B50</f>
        <v>17669.808571428573</v>
      </c>
      <c r="M21" s="423"/>
      <c r="N21" s="428"/>
      <c r="O21" s="428"/>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152"/>
      <c r="AT21" s="335"/>
      <c r="AU21" s="336"/>
      <c r="AV21" s="336"/>
      <c r="AW21" s="55"/>
      <c r="AX21" s="55"/>
      <c r="AY21" s="55"/>
    </row>
    <row r="22" spans="1:51" x14ac:dyDescent="0.25">
      <c r="B22" s="2">
        <f t="shared" si="2"/>
        <v>2039</v>
      </c>
      <c r="C22" s="395">
        <v>0</v>
      </c>
      <c r="D22" s="418">
        <f t="shared" si="14"/>
        <v>0</v>
      </c>
      <c r="E22" s="416">
        <f t="shared" si="4"/>
        <v>0</v>
      </c>
      <c r="F22" s="416">
        <f t="shared" si="0"/>
        <v>0</v>
      </c>
      <c r="G22" s="417">
        <f t="shared" si="3"/>
        <v>0</v>
      </c>
      <c r="H22" s="416">
        <f>G22*(1+0.07)^-(B22-Assumptions!$D$4)</f>
        <v>0</v>
      </c>
      <c r="K22" s="50" t="s">
        <v>1709</v>
      </c>
      <c r="L22" s="467">
        <f>SUM('Data from Needs Book'!B41:E41)</f>
        <v>15</v>
      </c>
      <c r="M22" s="423"/>
      <c r="N22" s="428"/>
      <c r="O22" s="428"/>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152"/>
      <c r="AT22" s="335"/>
      <c r="AU22" s="337"/>
      <c r="AV22" s="337"/>
      <c r="AW22" s="55"/>
      <c r="AX22" s="55"/>
      <c r="AY22" s="55"/>
    </row>
    <row r="23" spans="1:51" x14ac:dyDescent="0.25">
      <c r="B23" s="2">
        <f t="shared" si="2"/>
        <v>2040</v>
      </c>
      <c r="C23" s="395">
        <v>0</v>
      </c>
      <c r="D23" s="418">
        <f t="shared" si="14"/>
        <v>0</v>
      </c>
      <c r="E23" s="416">
        <f t="shared" si="4"/>
        <v>0</v>
      </c>
      <c r="F23" s="416">
        <f t="shared" si="0"/>
        <v>0</v>
      </c>
      <c r="G23" s="417">
        <f t="shared" si="3"/>
        <v>0</v>
      </c>
      <c r="H23" s="416">
        <f>G23*(1+0.07)^-(B23-Assumptions!$D$4)</f>
        <v>0</v>
      </c>
      <c r="K23" s="50" t="s">
        <v>1490</v>
      </c>
      <c r="L23" s="468">
        <f>(L21-L20)/(L20*20)</f>
        <v>2.0924039754131925E-2</v>
      </c>
      <c r="M23" s="423"/>
      <c r="N23" s="428"/>
      <c r="O23" s="428"/>
      <c r="U23" s="6" t="s">
        <v>601</v>
      </c>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152"/>
      <c r="AT23" s="335"/>
      <c r="AU23" s="337"/>
      <c r="AV23" s="337"/>
      <c r="AW23" s="55"/>
      <c r="AX23" s="55"/>
      <c r="AY23" s="55"/>
    </row>
    <row r="24" spans="1:51" x14ac:dyDescent="0.25">
      <c r="B24" s="2">
        <f t="shared" si="2"/>
        <v>2041</v>
      </c>
      <c r="C24" s="395">
        <v>0</v>
      </c>
      <c r="D24" s="418">
        <f t="shared" si="14"/>
        <v>0</v>
      </c>
      <c r="E24" s="416">
        <f t="shared" si="4"/>
        <v>0</v>
      </c>
      <c r="F24" s="416">
        <f t="shared" si="0"/>
        <v>0</v>
      </c>
      <c r="G24" s="417">
        <f t="shared" si="3"/>
        <v>0</v>
      </c>
      <c r="H24" s="416">
        <f>G24*(1+0.07)^-(B24-Assumptions!$D$4)</f>
        <v>0</v>
      </c>
      <c r="K24" s="50" t="s">
        <v>1533</v>
      </c>
      <c r="L24" s="468">
        <f>'Data from Needs Book'!B45</f>
        <v>0.19737406761028178</v>
      </c>
      <c r="M24" s="423"/>
      <c r="N24" s="428"/>
      <c r="O24" s="428"/>
      <c r="U24" s="6" t="s">
        <v>602</v>
      </c>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row>
    <row r="25" spans="1:51" ht="15" customHeight="1" thickBot="1" x14ac:dyDescent="0.3">
      <c r="B25" s="3">
        <f t="shared" si="2"/>
        <v>2042</v>
      </c>
      <c r="C25" s="437">
        <v>0</v>
      </c>
      <c r="D25" s="419">
        <f t="shared" si="14"/>
        <v>0</v>
      </c>
      <c r="E25" s="420">
        <f t="shared" si="4"/>
        <v>0</v>
      </c>
      <c r="F25" s="420">
        <f t="shared" si="0"/>
        <v>0</v>
      </c>
      <c r="G25" s="421">
        <f t="shared" si="3"/>
        <v>0</v>
      </c>
      <c r="H25" s="420">
        <f>G25*(1+0.07)^-(B25-Assumptions!$D$4)</f>
        <v>0</v>
      </c>
      <c r="K25" s="50" t="s">
        <v>488</v>
      </c>
      <c r="L25" s="435" t="s">
        <v>1634</v>
      </c>
      <c r="M25" s="423"/>
      <c r="N25" s="428"/>
      <c r="O25" s="428"/>
      <c r="U25" s="743" t="s">
        <v>1695</v>
      </c>
      <c r="V25" s="743"/>
      <c r="W25" s="743"/>
      <c r="X25" s="743"/>
      <c r="Y25" s="743"/>
      <c r="Z25" s="743"/>
      <c r="AA25" s="743"/>
      <c r="AB25" s="743"/>
      <c r="AC25" s="743"/>
      <c r="AD25" s="743"/>
      <c r="AE25" s="743"/>
      <c r="AF25" s="55"/>
      <c r="AG25" s="55"/>
      <c r="AH25" s="55"/>
      <c r="AI25" s="55"/>
      <c r="AJ25" s="55"/>
      <c r="AK25" s="55"/>
      <c r="AL25" s="55"/>
      <c r="AM25" s="55"/>
      <c r="AN25" s="55"/>
      <c r="AO25" s="55"/>
      <c r="AP25" s="55"/>
      <c r="AQ25" s="55"/>
      <c r="AR25" s="55"/>
      <c r="AS25" s="55"/>
      <c r="AT25" s="55"/>
      <c r="AU25" s="55"/>
      <c r="AV25" s="55"/>
      <c r="AW25" s="55"/>
      <c r="AX25" s="55"/>
      <c r="AY25" s="55"/>
    </row>
    <row r="26" spans="1:51" ht="15" customHeight="1" thickBot="1" x14ac:dyDescent="0.3">
      <c r="B26" s="4"/>
      <c r="C26" s="72"/>
      <c r="D26" s="72"/>
      <c r="E26" s="72"/>
      <c r="F26" s="72"/>
      <c r="G26" s="95" t="s">
        <v>2</v>
      </c>
      <c r="H26" s="375">
        <f>SUM(H6:H25)</f>
        <v>19808705.591786906</v>
      </c>
      <c r="K26" s="50">
        <v>2020</v>
      </c>
      <c r="L26" s="385">
        <f>L20/2*L22*365</f>
        <v>34100638.607142858</v>
      </c>
      <c r="M26" s="423"/>
      <c r="N26" s="428"/>
      <c r="O26" s="428"/>
      <c r="U26" s="743"/>
      <c r="V26" s="743"/>
      <c r="W26" s="743"/>
      <c r="X26" s="743"/>
      <c r="Y26" s="743"/>
      <c r="Z26" s="743"/>
      <c r="AA26" s="743"/>
      <c r="AB26" s="743"/>
      <c r="AC26" s="743"/>
      <c r="AD26" s="743"/>
      <c r="AE26" s="743"/>
      <c r="AF26" s="55"/>
      <c r="AG26" s="55"/>
      <c r="AH26" s="55"/>
      <c r="AI26" s="55"/>
      <c r="AJ26" s="55"/>
      <c r="AK26" s="55"/>
      <c r="AL26" s="55"/>
      <c r="AM26" s="55"/>
      <c r="AN26" s="55"/>
      <c r="AO26" s="55"/>
      <c r="AP26" s="55"/>
      <c r="AQ26" s="55"/>
      <c r="AR26" s="55"/>
      <c r="AS26" s="55"/>
      <c r="AT26" s="55"/>
      <c r="AU26" s="55"/>
      <c r="AV26" s="55"/>
      <c r="AW26" s="55"/>
      <c r="AX26" s="55"/>
      <c r="AY26" s="55"/>
    </row>
    <row r="27" spans="1:51" x14ac:dyDescent="0.25">
      <c r="G27" s="380"/>
      <c r="H27" s="380"/>
      <c r="I27" s="31"/>
      <c r="K27" s="50">
        <v>2040</v>
      </c>
      <c r="L27" s="385">
        <f>L21/2*L22*365</f>
        <v>48371100.964285716</v>
      </c>
      <c r="M27" s="423"/>
      <c r="N27" s="428"/>
      <c r="O27" s="428"/>
      <c r="U27" s="329" t="s">
        <v>603</v>
      </c>
      <c r="V27" s="55"/>
      <c r="W27" s="55"/>
      <c r="X27" s="55"/>
      <c r="Y27" s="55" t="s">
        <v>1642</v>
      </c>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row>
    <row r="28" spans="1:51" x14ac:dyDescent="0.25">
      <c r="A28" s="19"/>
      <c r="B28" s="20" t="s">
        <v>3</v>
      </c>
      <c r="C28" s="19"/>
      <c r="D28" s="19"/>
      <c r="E28" s="19"/>
      <c r="F28" s="19"/>
      <c r="G28" s="19"/>
      <c r="I28" s="25"/>
      <c r="J28" s="25"/>
      <c r="K28" s="22"/>
      <c r="L28" s="423"/>
      <c r="M28" s="423"/>
      <c r="N28" s="428"/>
      <c r="O28" s="428"/>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row>
    <row r="29" spans="1:51" ht="15" customHeight="1" x14ac:dyDescent="0.25">
      <c r="A29" s="88" t="s">
        <v>13</v>
      </c>
      <c r="B29" s="698" t="s">
        <v>1698</v>
      </c>
      <c r="C29" s="698"/>
      <c r="D29" s="698"/>
      <c r="E29" s="698"/>
      <c r="F29" s="698"/>
      <c r="G29" s="698"/>
      <c r="I29" s="25"/>
      <c r="J29" s="25"/>
      <c r="K29" s="656" t="s">
        <v>1708</v>
      </c>
      <c r="L29" s="77"/>
      <c r="M29" s="423"/>
      <c r="N29" s="428"/>
      <c r="O29" s="428"/>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row>
    <row r="30" spans="1:51" x14ac:dyDescent="0.25">
      <c r="A30" s="19"/>
      <c r="B30" s="698"/>
      <c r="C30" s="698"/>
      <c r="D30" s="698"/>
      <c r="E30" s="698"/>
      <c r="F30" s="698"/>
      <c r="G30" s="698"/>
      <c r="H30" s="19"/>
      <c r="I30" s="48"/>
      <c r="J30" s="37"/>
      <c r="K30" s="655" t="s">
        <v>1491</v>
      </c>
      <c r="L30" s="655">
        <v>2020</v>
      </c>
      <c r="M30" s="423"/>
      <c r="N30" s="428"/>
      <c r="O30" s="428"/>
      <c r="U30" s="55"/>
      <c r="V30" s="55"/>
      <c r="W30" s="55"/>
      <c r="X30" s="55"/>
      <c r="Y30" s="55"/>
      <c r="Z30" s="55"/>
      <c r="AA30" s="55"/>
      <c r="AB30" s="55"/>
      <c r="AC30" s="55"/>
      <c r="AD30" s="55"/>
      <c r="AE30" s="55"/>
      <c r="AF30" s="55"/>
      <c r="AG30" s="55"/>
      <c r="AH30" s="152"/>
      <c r="AI30" s="329"/>
      <c r="AJ30" s="55"/>
      <c r="AK30" s="55"/>
      <c r="AL30" s="55"/>
      <c r="AM30" s="55"/>
      <c r="AN30" s="55"/>
      <c r="AO30" s="55"/>
      <c r="AP30" s="55"/>
      <c r="AQ30" s="55"/>
      <c r="AR30" s="55"/>
      <c r="AS30" s="55"/>
      <c r="AT30" s="55"/>
      <c r="AU30" s="55"/>
      <c r="AV30" s="55"/>
      <c r="AW30" s="55"/>
      <c r="AX30" s="55"/>
      <c r="AY30" s="55"/>
    </row>
    <row r="31" spans="1:51" x14ac:dyDescent="0.25">
      <c r="A31" s="19"/>
      <c r="B31" s="698"/>
      <c r="C31" s="698"/>
      <c r="D31" s="698"/>
      <c r="E31" s="698"/>
      <c r="F31" s="698"/>
      <c r="G31" s="698"/>
      <c r="H31" s="19"/>
      <c r="I31" s="48"/>
      <c r="J31" s="49"/>
      <c r="K31" s="655" t="s">
        <v>488</v>
      </c>
      <c r="L31" s="655" t="s">
        <v>1597</v>
      </c>
      <c r="M31" s="423"/>
      <c r="N31" s="428"/>
      <c r="O31" s="428"/>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row>
    <row r="32" spans="1:51" x14ac:dyDescent="0.25">
      <c r="A32" s="19"/>
      <c r="B32" s="698"/>
      <c r="C32" s="698"/>
      <c r="D32" s="698"/>
      <c r="E32" s="698"/>
      <c r="F32" s="698"/>
      <c r="G32" s="698"/>
      <c r="H32" s="19"/>
      <c r="J32" s="48"/>
      <c r="K32" s="655">
        <v>2020</v>
      </c>
      <c r="L32" s="467">
        <f>'Data from Needs Book'!B42</f>
        <v>12456.854285714286</v>
      </c>
      <c r="M32" s="423"/>
      <c r="N32" s="428"/>
      <c r="O32" s="428"/>
      <c r="U32" s="73"/>
      <c r="V32" s="73"/>
      <c r="W32" s="73"/>
      <c r="X32" s="73"/>
      <c r="Y32" s="73"/>
      <c r="Z32" s="73"/>
      <c r="AA32" s="73"/>
      <c r="AB32" s="73"/>
      <c r="AC32" s="73"/>
      <c r="AD32" s="73"/>
      <c r="AE32" s="73"/>
      <c r="AF32" s="73"/>
      <c r="AG32" s="55"/>
      <c r="AH32" s="55"/>
      <c r="AI32" s="55"/>
      <c r="AJ32" s="55"/>
      <c r="AK32" s="55"/>
      <c r="AL32" s="55"/>
      <c r="AM32" s="55"/>
      <c r="AN32" s="55"/>
      <c r="AO32" s="55"/>
      <c r="AP32" s="55"/>
      <c r="AQ32" s="55"/>
      <c r="AR32" s="55"/>
      <c r="AS32" s="55"/>
      <c r="AT32" s="55"/>
      <c r="AU32" s="55"/>
      <c r="AV32" s="55"/>
      <c r="AW32" s="55"/>
      <c r="AX32" s="55"/>
      <c r="AY32" s="55"/>
    </row>
    <row r="33" spans="1:51" ht="15" customHeight="1" x14ac:dyDescent="0.25">
      <c r="A33" s="19"/>
      <c r="B33" s="110"/>
      <c r="C33" s="110"/>
      <c r="D33" s="110"/>
      <c r="E33" s="110"/>
      <c r="F33" s="110"/>
      <c r="G33" s="19"/>
      <c r="J33" s="48"/>
      <c r="K33" s="655">
        <v>2040</v>
      </c>
      <c r="L33" s="467">
        <f>'Data from Needs Book'!B50</f>
        <v>17669.808571428573</v>
      </c>
      <c r="N33" s="428"/>
      <c r="O33" s="428"/>
      <c r="U33" s="73"/>
      <c r="V33" s="73"/>
      <c r="W33" s="73"/>
      <c r="X33" s="73"/>
      <c r="Y33" s="73"/>
      <c r="Z33" s="73"/>
      <c r="AA33" s="73"/>
      <c r="AB33" s="73"/>
      <c r="AC33" s="73"/>
      <c r="AD33" s="73"/>
      <c r="AE33" s="73"/>
      <c r="AF33" s="73"/>
      <c r="AG33" s="55"/>
      <c r="AH33" s="55"/>
      <c r="AI33" s="55"/>
      <c r="AJ33" s="55"/>
      <c r="AK33" s="55"/>
      <c r="AL33" s="55"/>
      <c r="AM33" s="55"/>
      <c r="AN33" s="55"/>
      <c r="AO33" s="55"/>
      <c r="AP33" s="55"/>
      <c r="AQ33" s="55"/>
      <c r="AR33" s="55"/>
      <c r="AS33" s="55"/>
      <c r="AT33" s="55"/>
      <c r="AU33" s="55"/>
      <c r="AV33" s="55"/>
      <c r="AW33" s="55"/>
      <c r="AX33" s="55"/>
      <c r="AY33" s="55"/>
    </row>
    <row r="34" spans="1:51" ht="15" customHeight="1" x14ac:dyDescent="0.25">
      <c r="A34" s="88" t="s">
        <v>12</v>
      </c>
      <c r="B34" s="698" t="s">
        <v>1554</v>
      </c>
      <c r="C34" s="698"/>
      <c r="D34" s="698"/>
      <c r="E34" s="698"/>
      <c r="F34" s="698"/>
      <c r="G34" s="698"/>
      <c r="J34" s="48"/>
      <c r="K34" s="655" t="s">
        <v>1709</v>
      </c>
      <c r="L34" s="467">
        <f>L22+'Data from Needs Book'!F41</f>
        <v>28</v>
      </c>
      <c r="N34" s="428"/>
      <c r="O34" s="428"/>
      <c r="U34" s="55"/>
      <c r="V34" s="55"/>
      <c r="W34" s="55"/>
      <c r="X34" s="55"/>
      <c r="Y34" s="55"/>
      <c r="Z34" s="55"/>
      <c r="AA34" s="55"/>
      <c r="AB34" s="55"/>
      <c r="AC34" s="55"/>
      <c r="AD34" s="55"/>
      <c r="AE34" s="55"/>
      <c r="AF34" s="55"/>
      <c r="AG34" s="73"/>
      <c r="AH34" s="73"/>
      <c r="AI34" s="73"/>
      <c r="AJ34" s="73"/>
      <c r="AK34" s="73"/>
      <c r="AL34" s="73"/>
      <c r="AM34" s="73"/>
      <c r="AN34" s="73"/>
      <c r="AO34" s="73"/>
      <c r="AP34" s="73"/>
      <c r="AQ34" s="73"/>
      <c r="AR34" s="73"/>
      <c r="AS34" s="73"/>
      <c r="AT34" s="73"/>
      <c r="AU34" s="73"/>
      <c r="AV34" s="73"/>
      <c r="AW34" s="73"/>
      <c r="AX34" s="73"/>
      <c r="AY34" s="73"/>
    </row>
    <row r="35" spans="1:51" ht="15" customHeight="1" x14ac:dyDescent="0.25">
      <c r="A35" s="88"/>
      <c r="B35" s="698"/>
      <c r="C35" s="698"/>
      <c r="D35" s="698"/>
      <c r="E35" s="698"/>
      <c r="F35" s="698"/>
      <c r="G35" s="698"/>
      <c r="J35" s="48"/>
      <c r="K35" s="655" t="s">
        <v>1490</v>
      </c>
      <c r="L35" s="468">
        <f>(L33-L32)/(L32*20)</f>
        <v>2.0924039754131925E-2</v>
      </c>
      <c r="M35" s="654"/>
      <c r="N35" s="428"/>
      <c r="O35" s="428"/>
      <c r="U35" s="152"/>
      <c r="V35" s="152"/>
      <c r="W35" s="152"/>
      <c r="X35" s="152"/>
      <c r="Y35" s="152"/>
      <c r="Z35" s="152"/>
      <c r="AA35" s="152"/>
      <c r="AB35" s="152"/>
      <c r="AC35" s="152"/>
      <c r="AD35" s="152"/>
      <c r="AE35" s="152"/>
      <c r="AF35" s="152"/>
      <c r="AG35" s="73"/>
      <c r="AH35" s="73"/>
      <c r="AI35" s="73"/>
      <c r="AJ35" s="73"/>
      <c r="AK35" s="73"/>
      <c r="AL35" s="73"/>
      <c r="AM35" s="73"/>
      <c r="AN35" s="73"/>
      <c r="AO35" s="73"/>
      <c r="AP35" s="73"/>
      <c r="AQ35" s="73"/>
      <c r="AR35" s="73"/>
      <c r="AS35" s="73"/>
      <c r="AT35" s="73"/>
      <c r="AU35" s="73"/>
      <c r="AV35" s="73"/>
      <c r="AW35" s="73"/>
      <c r="AX35" s="73"/>
      <c r="AY35" s="73"/>
    </row>
    <row r="36" spans="1:51" ht="15" customHeight="1" x14ac:dyDescent="0.25">
      <c r="A36" s="88"/>
      <c r="B36" s="426"/>
      <c r="C36" s="426"/>
      <c r="D36" s="426"/>
      <c r="E36" s="426"/>
      <c r="F36" s="426"/>
      <c r="G36" s="426"/>
      <c r="J36" s="48"/>
      <c r="K36" s="655" t="s">
        <v>1533</v>
      </c>
      <c r="L36" s="468">
        <f>'Data from Needs Book'!B45</f>
        <v>0.19737406761028178</v>
      </c>
      <c r="N36" s="428"/>
      <c r="O36" s="428"/>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row>
    <row r="37" spans="1:51" x14ac:dyDescent="0.25">
      <c r="A37" s="88" t="s">
        <v>14</v>
      </c>
      <c r="B37" s="698" t="s">
        <v>1557</v>
      </c>
      <c r="C37" s="698"/>
      <c r="D37" s="698"/>
      <c r="E37" s="698"/>
      <c r="F37" s="698"/>
      <c r="G37" s="698"/>
      <c r="J37" s="26"/>
      <c r="K37" s="655" t="s">
        <v>488</v>
      </c>
      <c r="L37" s="658" t="s">
        <v>1634</v>
      </c>
      <c r="N37" s="428"/>
      <c r="O37" s="428"/>
      <c r="U37" s="55"/>
      <c r="V37" s="55"/>
      <c r="W37" s="55"/>
      <c r="X37" s="55"/>
      <c r="Y37" s="55"/>
      <c r="Z37" s="55"/>
      <c r="AA37" s="55"/>
      <c r="AB37" s="55"/>
      <c r="AC37" s="55"/>
      <c r="AD37" s="55"/>
      <c r="AE37" s="55"/>
      <c r="AF37" s="55"/>
      <c r="AG37" s="152"/>
      <c r="AH37" s="152"/>
      <c r="AI37" s="152"/>
      <c r="AJ37" s="152"/>
      <c r="AK37" s="152"/>
      <c r="AL37" s="152"/>
      <c r="AM37" s="152"/>
      <c r="AN37" s="152"/>
      <c r="AO37" s="152"/>
      <c r="AP37" s="152"/>
      <c r="AQ37" s="152"/>
      <c r="AR37" s="152"/>
      <c r="AS37" s="152"/>
      <c r="AT37" s="152"/>
      <c r="AU37" s="152"/>
      <c r="AV37" s="152"/>
      <c r="AW37" s="152"/>
      <c r="AX37" s="152"/>
      <c r="AY37" s="152"/>
    </row>
    <row r="38" spans="1:51" x14ac:dyDescent="0.25">
      <c r="A38" s="19"/>
      <c r="B38" s="698"/>
      <c r="C38" s="698"/>
      <c r="D38" s="698"/>
      <c r="E38" s="698"/>
      <c r="F38" s="698"/>
      <c r="G38" s="698"/>
      <c r="J38" s="26"/>
      <c r="K38" s="655">
        <v>2020</v>
      </c>
      <c r="L38" s="385">
        <f>L32/2*L34*365</f>
        <v>63654525.399999999</v>
      </c>
      <c r="N38" s="428"/>
      <c r="O38" s="428"/>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row>
    <row r="39" spans="1:51" ht="15" customHeight="1" x14ac:dyDescent="0.25">
      <c r="A39" s="19"/>
      <c r="B39" s="698"/>
      <c r="C39" s="698"/>
      <c r="D39" s="698"/>
      <c r="E39" s="698"/>
      <c r="F39" s="698"/>
      <c r="G39" s="698"/>
      <c r="I39" s="19"/>
      <c r="J39" s="26"/>
      <c r="K39" s="655">
        <v>2040</v>
      </c>
      <c r="L39" s="385">
        <f>L33/2*L34*365</f>
        <v>90292721.800000012</v>
      </c>
      <c r="N39" s="428"/>
      <c r="O39" s="428"/>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row>
    <row r="40" spans="1:51" ht="15" customHeight="1" x14ac:dyDescent="0.25">
      <c r="A40" s="19"/>
      <c r="B40" s="698"/>
      <c r="C40" s="698"/>
      <c r="D40" s="698"/>
      <c r="E40" s="698"/>
      <c r="F40" s="698"/>
      <c r="G40" s="698"/>
      <c r="K40" s="327"/>
      <c r="L40" s="328"/>
      <c r="N40" s="428"/>
      <c r="O40" s="428"/>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row>
    <row r="41" spans="1:51" ht="15" customHeight="1" x14ac:dyDescent="0.25">
      <c r="A41" s="19"/>
      <c r="B41" s="110"/>
      <c r="C41" s="110"/>
      <c r="D41" s="110"/>
      <c r="E41" s="110"/>
      <c r="F41" s="110"/>
      <c r="G41" s="19"/>
      <c r="K41" s="429" t="s">
        <v>1636</v>
      </c>
      <c r="L41" s="77"/>
      <c r="N41" s="428"/>
      <c r="O41" s="428"/>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row>
    <row r="42" spans="1:51" ht="15" customHeight="1" x14ac:dyDescent="0.25">
      <c r="A42" s="88" t="s">
        <v>15</v>
      </c>
      <c r="B42" s="698" t="s">
        <v>1637</v>
      </c>
      <c r="C42" s="698"/>
      <c r="D42" s="698"/>
      <c r="E42" s="698"/>
      <c r="F42" s="698"/>
      <c r="G42" s="698"/>
      <c r="K42" s="50" t="s">
        <v>1491</v>
      </c>
      <c r="L42" s="50">
        <v>2020</v>
      </c>
      <c r="M42" s="19"/>
      <c r="N42" s="428"/>
      <c r="O42" s="428"/>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row>
    <row r="43" spans="1:51" x14ac:dyDescent="0.25">
      <c r="A43" s="19"/>
      <c r="B43" s="698"/>
      <c r="C43" s="698"/>
      <c r="D43" s="698"/>
      <c r="E43" s="698"/>
      <c r="F43" s="698"/>
      <c r="G43" s="698"/>
      <c r="K43" s="50" t="s">
        <v>488</v>
      </c>
      <c r="L43" s="50" t="s">
        <v>1597</v>
      </c>
      <c r="M43" s="19"/>
      <c r="N43" s="428"/>
      <c r="O43" s="428"/>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row>
    <row r="44" spans="1:51" x14ac:dyDescent="0.25">
      <c r="A44" s="19"/>
      <c r="B44" s="698"/>
      <c r="C44" s="698"/>
      <c r="D44" s="698"/>
      <c r="E44" s="698"/>
      <c r="F44" s="698"/>
      <c r="G44" s="698"/>
      <c r="K44" s="50">
        <v>2020</v>
      </c>
      <c r="L44" s="467">
        <f>'Data from Needs Book'!B42</f>
        <v>12456.854285714286</v>
      </c>
      <c r="M44" s="19"/>
      <c r="N44" s="428"/>
      <c r="O44" s="428"/>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row>
    <row r="45" spans="1:51" x14ac:dyDescent="0.25">
      <c r="A45" s="19"/>
      <c r="B45" s="110"/>
      <c r="C45" s="110"/>
      <c r="D45" s="110"/>
      <c r="E45" s="110"/>
      <c r="F45" s="110"/>
      <c r="G45" s="110"/>
      <c r="H45" s="19"/>
      <c r="K45" s="50">
        <v>2040</v>
      </c>
      <c r="L45" s="467">
        <f>'Data from Needs Book'!B50</f>
        <v>17669.808571428573</v>
      </c>
      <c r="M45" s="19"/>
      <c r="N45" s="428"/>
      <c r="O45" s="428"/>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row>
    <row r="46" spans="1:51" ht="15" customHeight="1" x14ac:dyDescent="0.25">
      <c r="A46" s="88" t="s">
        <v>81</v>
      </c>
      <c r="B46" s="698" t="s">
        <v>1699</v>
      </c>
      <c r="C46" s="698"/>
      <c r="D46" s="698"/>
      <c r="E46" s="698"/>
      <c r="F46" s="698"/>
      <c r="G46" s="698"/>
      <c r="H46" s="19"/>
      <c r="K46" s="655" t="s">
        <v>1709</v>
      </c>
      <c r="L46" s="467">
        <f>L34+'Data from Needs Book'!M41-(5.6+2.6)</f>
        <v>32.799999999999997</v>
      </c>
      <c r="M46" s="19" t="s">
        <v>1710</v>
      </c>
      <c r="N46" s="19"/>
      <c r="O46" s="19"/>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row>
    <row r="47" spans="1:51" x14ac:dyDescent="0.25">
      <c r="A47" s="19"/>
      <c r="B47" s="698"/>
      <c r="C47" s="698"/>
      <c r="D47" s="698"/>
      <c r="E47" s="698"/>
      <c r="F47" s="698"/>
      <c r="G47" s="698"/>
      <c r="H47" s="19"/>
      <c r="I47" s="428"/>
      <c r="J47" s="428"/>
      <c r="K47" s="50" t="s">
        <v>1490</v>
      </c>
      <c r="L47" s="468">
        <f>(L45-L44)/(L44*20)</f>
        <v>2.0924039754131925E-2</v>
      </c>
      <c r="M47" s="428"/>
      <c r="N47" s="19"/>
      <c r="O47" s="19"/>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row>
    <row r="48" spans="1:51" ht="15" customHeight="1" x14ac:dyDescent="0.25">
      <c r="A48" s="19"/>
      <c r="B48" s="698"/>
      <c r="C48" s="698"/>
      <c r="D48" s="698"/>
      <c r="E48" s="698"/>
      <c r="F48" s="698"/>
      <c r="G48" s="698"/>
      <c r="I48" s="428"/>
      <c r="J48" s="428"/>
      <c r="K48" s="50" t="s">
        <v>1533</v>
      </c>
      <c r="L48" s="468">
        <f>'Data from Needs Book'!B45</f>
        <v>0.19737406761028178</v>
      </c>
      <c r="M48" s="428"/>
      <c r="N48" s="19"/>
      <c r="O48" s="19"/>
      <c r="U48" s="55"/>
      <c r="V48" s="55"/>
      <c r="W48" s="55"/>
      <c r="X48" s="55"/>
      <c r="Y48" s="55"/>
      <c r="Z48" s="55"/>
      <c r="AA48" s="55"/>
      <c r="AB48" s="55"/>
      <c r="AC48" s="55"/>
      <c r="AD48" s="55"/>
      <c r="AE48" s="55"/>
      <c r="AF48" s="55"/>
      <c r="AG48" s="55"/>
      <c r="AH48" s="55"/>
      <c r="AI48" s="6" t="s">
        <v>601</v>
      </c>
      <c r="AJ48" s="55"/>
      <c r="AK48" s="55"/>
      <c r="AL48" s="55"/>
      <c r="AM48" s="55"/>
      <c r="AN48" s="55"/>
      <c r="AO48" s="55"/>
      <c r="AP48" s="55"/>
      <c r="AQ48" s="55"/>
      <c r="AR48" s="55"/>
      <c r="AS48" s="55"/>
      <c r="AT48" s="55"/>
      <c r="AU48" s="55"/>
      <c r="AV48" s="55"/>
      <c r="AW48" s="55"/>
      <c r="AX48" s="55"/>
      <c r="AY48" s="55"/>
    </row>
    <row r="49" spans="1:51" x14ac:dyDescent="0.25">
      <c r="A49" s="88"/>
      <c r="B49" s="698"/>
      <c r="C49" s="698"/>
      <c r="D49" s="698"/>
      <c r="E49" s="698"/>
      <c r="F49" s="698"/>
      <c r="G49" s="698"/>
      <c r="I49" s="428"/>
      <c r="J49" s="428"/>
      <c r="K49" s="50" t="s">
        <v>488</v>
      </c>
      <c r="L49" s="435" t="s">
        <v>1634</v>
      </c>
      <c r="M49" s="428"/>
      <c r="U49" s="55"/>
      <c r="V49" s="55"/>
      <c r="W49" s="55"/>
      <c r="X49" s="55"/>
      <c r="Y49" s="55"/>
      <c r="Z49" s="55"/>
      <c r="AA49" s="55"/>
      <c r="AB49" s="55"/>
      <c r="AC49" s="55"/>
      <c r="AD49" s="55"/>
      <c r="AE49" s="55"/>
      <c r="AF49" s="55"/>
      <c r="AG49" s="55"/>
      <c r="AH49" s="55"/>
      <c r="AI49" s="6" t="s">
        <v>602</v>
      </c>
      <c r="AJ49" s="55"/>
      <c r="AK49" s="55"/>
      <c r="AL49" s="55"/>
      <c r="AM49" s="55"/>
      <c r="AN49" s="55"/>
      <c r="AO49" s="55"/>
      <c r="AP49" s="55"/>
      <c r="AQ49" s="55"/>
      <c r="AR49" s="55"/>
      <c r="AS49" s="55"/>
      <c r="AT49" s="55"/>
      <c r="AU49" s="55"/>
      <c r="AV49" s="55"/>
      <c r="AW49" s="55"/>
      <c r="AX49" s="55"/>
      <c r="AY49" s="55"/>
    </row>
    <row r="50" spans="1:51" x14ac:dyDescent="0.25">
      <c r="A50" s="19"/>
      <c r="B50" s="110"/>
      <c r="C50" s="110"/>
      <c r="D50" s="110"/>
      <c r="E50" s="110"/>
      <c r="F50" s="110"/>
      <c r="G50" s="110"/>
      <c r="I50" s="428"/>
      <c r="J50" s="428"/>
      <c r="K50" s="50">
        <v>2020</v>
      </c>
      <c r="L50" s="385">
        <f>L44/2*L46*365</f>
        <v>74566729.754285708</v>
      </c>
      <c r="M50" s="428"/>
      <c r="P50" s="11"/>
      <c r="Q50" s="11"/>
      <c r="R50" s="11"/>
      <c r="S50" s="11"/>
      <c r="T50" s="11"/>
      <c r="U50" s="6" t="s">
        <v>601</v>
      </c>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row>
    <row r="51" spans="1:51" x14ac:dyDescent="0.25">
      <c r="A51" s="379" t="s">
        <v>83</v>
      </c>
      <c r="B51" s="698" t="s">
        <v>1700</v>
      </c>
      <c r="C51" s="698"/>
      <c r="D51" s="698"/>
      <c r="E51" s="698"/>
      <c r="F51" s="698"/>
      <c r="G51" s="698"/>
      <c r="I51" s="428"/>
      <c r="J51" s="428"/>
      <c r="K51" s="50">
        <v>2040</v>
      </c>
      <c r="L51" s="385">
        <f>L45/2*L46*365</f>
        <v>105771474.10857143</v>
      </c>
      <c r="M51" s="428"/>
      <c r="P51" s="11"/>
      <c r="Q51" s="11"/>
      <c r="R51" s="11"/>
      <c r="S51" s="11"/>
      <c r="T51" s="11"/>
      <c r="U51" s="6" t="s">
        <v>602</v>
      </c>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row>
    <row r="52" spans="1:51" x14ac:dyDescent="0.25">
      <c r="B52" s="698"/>
      <c r="C52" s="698"/>
      <c r="D52" s="698"/>
      <c r="E52" s="698"/>
      <c r="F52" s="698"/>
      <c r="G52" s="698"/>
      <c r="I52" s="428"/>
      <c r="J52" s="428"/>
      <c r="M52" s="428"/>
      <c r="P52" s="11"/>
      <c r="Q52" s="11"/>
      <c r="R52" s="11"/>
      <c r="S52" s="11"/>
      <c r="T52" s="11"/>
      <c r="U52" s="329" t="s">
        <v>603</v>
      </c>
      <c r="V52" s="428"/>
      <c r="W52" s="428"/>
      <c r="X52" s="428"/>
      <c r="Y52" s="428" t="s">
        <v>1642</v>
      </c>
      <c r="Z52" s="55"/>
      <c r="AA52" s="55"/>
      <c r="AB52" s="55"/>
      <c r="AC52" s="55"/>
      <c r="AD52" s="55"/>
      <c r="AE52" s="55"/>
      <c r="AF52" s="55"/>
      <c r="AG52" s="55"/>
      <c r="AH52" s="55"/>
      <c r="AI52" s="55"/>
      <c r="AK52" s="55"/>
      <c r="AL52" s="55"/>
      <c r="AM52" s="55"/>
      <c r="AN52" s="55"/>
      <c r="AO52" s="55"/>
      <c r="AP52" s="55"/>
      <c r="AQ52" s="55"/>
      <c r="AR52" s="55"/>
      <c r="AS52" s="55"/>
      <c r="AT52" s="55"/>
      <c r="AU52" s="55"/>
      <c r="AV52" s="55"/>
      <c r="AW52" s="55"/>
      <c r="AX52" s="55"/>
      <c r="AY52" s="55"/>
    </row>
    <row r="53" spans="1:51" x14ac:dyDescent="0.25">
      <c r="B53" s="110"/>
      <c r="C53" s="110"/>
      <c r="D53" s="110"/>
      <c r="I53" s="428"/>
      <c r="J53" s="428"/>
      <c r="K53" s="22"/>
      <c r="L53" s="428"/>
      <c r="M53" s="428"/>
      <c r="P53" s="11"/>
      <c r="Q53" s="11"/>
      <c r="R53" s="11"/>
      <c r="S53" s="11"/>
      <c r="T53" s="11"/>
      <c r="U53" s="55"/>
      <c r="V53" s="55"/>
      <c r="W53" s="55"/>
      <c r="X53" s="55"/>
      <c r="Y53" s="55"/>
      <c r="Z53" s="55"/>
      <c r="AA53" s="55"/>
      <c r="AB53" s="55"/>
      <c r="AC53" s="55"/>
      <c r="AD53" s="55"/>
      <c r="AE53" s="55"/>
      <c r="AF53" s="55"/>
      <c r="AG53" s="55"/>
      <c r="AH53" s="55"/>
      <c r="AI53" s="55"/>
      <c r="AK53" s="55"/>
      <c r="AL53" s="55"/>
      <c r="AM53" s="55"/>
      <c r="AN53" s="55"/>
      <c r="AO53" s="55"/>
      <c r="AP53" s="55"/>
      <c r="AQ53" s="55"/>
      <c r="AR53" s="55"/>
      <c r="AS53" s="55"/>
      <c r="AT53" s="55"/>
      <c r="AU53" s="55"/>
      <c r="AV53" s="55"/>
      <c r="AW53" s="55"/>
      <c r="AX53" s="55"/>
      <c r="AY53" s="55"/>
    </row>
    <row r="54" spans="1:51" x14ac:dyDescent="0.25">
      <c r="B54" s="110"/>
      <c r="C54" s="110"/>
      <c r="D54" s="110"/>
      <c r="I54" s="428"/>
      <c r="J54" s="428"/>
      <c r="K54" s="327"/>
      <c r="L54" s="328"/>
      <c r="M54" s="428"/>
      <c r="P54" s="11"/>
      <c r="Q54" s="11"/>
      <c r="R54" s="11"/>
      <c r="S54" s="11"/>
      <c r="T54" s="11"/>
      <c r="U54" s="338"/>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row>
    <row r="55" spans="1:51" x14ac:dyDescent="0.25">
      <c r="B55" s="110"/>
      <c r="C55" s="110"/>
      <c r="D55" s="110"/>
      <c r="I55" s="428"/>
      <c r="J55" s="428"/>
      <c r="M55" s="428"/>
      <c r="P55" s="11"/>
      <c r="Q55" s="11"/>
      <c r="R55" s="11"/>
      <c r="S55" s="11"/>
      <c r="T55" s="11"/>
      <c r="U55" s="338"/>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row>
    <row r="56" spans="1:51" x14ac:dyDescent="0.25">
      <c r="I56" s="428"/>
      <c r="J56" s="428"/>
      <c r="M56" s="428"/>
      <c r="P56" s="11"/>
      <c r="Q56" s="11"/>
      <c r="R56" s="11"/>
      <c r="S56" s="11"/>
      <c r="T56" s="11"/>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row>
    <row r="57" spans="1:51" x14ac:dyDescent="0.25">
      <c r="I57" s="428"/>
      <c r="J57" s="428"/>
      <c r="M57" s="428"/>
      <c r="P57" s="11"/>
      <c r="Q57" s="11"/>
      <c r="R57" s="11"/>
      <c r="S57" s="11"/>
      <c r="T57" s="11"/>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row>
    <row r="58" spans="1:51" x14ac:dyDescent="0.25">
      <c r="I58" s="428"/>
      <c r="J58" s="428"/>
      <c r="M58" s="428"/>
      <c r="P58" s="11"/>
      <c r="Q58" s="11"/>
      <c r="R58" s="11"/>
      <c r="S58" s="11"/>
      <c r="T58" s="11"/>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row>
    <row r="59" spans="1:51" x14ac:dyDescent="0.25">
      <c r="I59" s="428"/>
      <c r="J59" s="428"/>
      <c r="K59" s="428"/>
      <c r="L59" s="428"/>
      <c r="M59" s="428"/>
      <c r="P59" s="11"/>
      <c r="Q59" s="11"/>
      <c r="R59" s="11"/>
      <c r="S59" s="11"/>
      <c r="T59" s="11"/>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row>
    <row r="60" spans="1:51" x14ac:dyDescent="0.25">
      <c r="I60" s="428"/>
      <c r="J60" s="428"/>
      <c r="K60" s="428"/>
      <c r="L60" s="428"/>
      <c r="M60" s="428"/>
      <c r="P60" s="11"/>
      <c r="Q60" s="11"/>
      <c r="R60" s="11"/>
      <c r="S60" s="11"/>
      <c r="T60" s="11"/>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row>
    <row r="61" spans="1:51" x14ac:dyDescent="0.25">
      <c r="I61" s="428"/>
      <c r="J61" s="428"/>
      <c r="K61" s="428"/>
      <c r="L61" s="428"/>
      <c r="M61" s="428"/>
      <c r="P61" s="11"/>
      <c r="Q61" s="11"/>
      <c r="R61" s="11"/>
      <c r="S61" s="11"/>
      <c r="T61" s="11"/>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row>
    <row r="62" spans="1:51" x14ac:dyDescent="0.25">
      <c r="I62" s="428"/>
      <c r="J62" s="428"/>
      <c r="K62" s="428"/>
      <c r="L62" s="428"/>
      <c r="M62" s="428"/>
      <c r="P62" s="11"/>
      <c r="Q62" s="11"/>
      <c r="R62" s="11"/>
      <c r="S62" s="11"/>
      <c r="T62" s="11"/>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row>
    <row r="63" spans="1:51" x14ac:dyDescent="0.25">
      <c r="I63" s="428"/>
      <c r="J63" s="428"/>
      <c r="K63" s="428"/>
      <c r="L63" s="428"/>
      <c r="M63" s="428"/>
      <c r="P63" s="11"/>
      <c r="Q63" s="11"/>
      <c r="R63" s="11"/>
      <c r="S63" s="11"/>
      <c r="T63" s="11"/>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row>
    <row r="64" spans="1:51" x14ac:dyDescent="0.25">
      <c r="I64" s="428"/>
      <c r="J64" s="428"/>
      <c r="K64" s="748"/>
      <c r="L64" s="748"/>
      <c r="M64" s="428"/>
      <c r="P64" s="11"/>
      <c r="Q64" s="11"/>
      <c r="R64" s="11"/>
      <c r="S64" s="11"/>
      <c r="T64" s="11"/>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row>
    <row r="65" spans="9:51" x14ac:dyDescent="0.25">
      <c r="I65" s="428"/>
      <c r="J65" s="428"/>
      <c r="K65" s="428"/>
      <c r="L65" s="428"/>
      <c r="M65" s="428"/>
      <c r="P65" s="11"/>
      <c r="Q65" s="11"/>
      <c r="R65" s="11"/>
      <c r="S65" s="11"/>
      <c r="T65" s="11"/>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9:51" x14ac:dyDescent="0.25">
      <c r="K66" s="428"/>
      <c r="L66" s="428"/>
      <c r="P66" s="11"/>
      <c r="Q66" s="11"/>
      <c r="R66" s="11"/>
      <c r="S66" s="11"/>
      <c r="T66" s="11"/>
      <c r="U66" s="11"/>
      <c r="V66" s="11"/>
      <c r="AG66" s="55"/>
      <c r="AH66" s="55"/>
      <c r="AI66" s="55"/>
      <c r="AJ66" s="55"/>
      <c r="AK66" s="55"/>
      <c r="AL66" s="55"/>
      <c r="AM66" s="55"/>
      <c r="AN66" s="55"/>
      <c r="AO66" s="55"/>
      <c r="AP66" s="55"/>
      <c r="AQ66" s="55"/>
      <c r="AR66" s="55"/>
      <c r="AS66" s="55"/>
      <c r="AT66" s="55"/>
      <c r="AU66" s="55"/>
      <c r="AV66" s="55"/>
      <c r="AW66" s="55"/>
      <c r="AX66" s="55"/>
      <c r="AY66" s="55"/>
    </row>
    <row r="67" spans="9:51" x14ac:dyDescent="0.25">
      <c r="K67" s="428"/>
      <c r="L67" s="428"/>
      <c r="P67" s="11"/>
      <c r="Q67" s="11"/>
      <c r="R67" s="11"/>
      <c r="S67" s="11"/>
      <c r="T67" s="11"/>
      <c r="U67" s="11"/>
      <c r="V67" s="11"/>
      <c r="AG67" s="55"/>
      <c r="AH67" s="55"/>
      <c r="AI67" s="55"/>
      <c r="AJ67" s="55"/>
      <c r="AK67" s="55"/>
      <c r="AL67" s="55"/>
      <c r="AM67" s="55"/>
      <c r="AN67" s="55"/>
      <c r="AO67" s="55"/>
      <c r="AP67" s="55"/>
      <c r="AQ67" s="55"/>
      <c r="AR67" s="55"/>
      <c r="AS67" s="55"/>
      <c r="AT67" s="55"/>
      <c r="AU67" s="55"/>
      <c r="AV67" s="55"/>
      <c r="AW67" s="55"/>
      <c r="AX67" s="55"/>
      <c r="AY67" s="55"/>
    </row>
    <row r="68" spans="9:51" x14ac:dyDescent="0.25">
      <c r="K68" s="428"/>
      <c r="L68" s="428"/>
      <c r="P68" s="11"/>
      <c r="Q68" s="11"/>
      <c r="R68" s="11"/>
      <c r="S68" s="11"/>
      <c r="T68" s="11"/>
      <c r="U68" s="11"/>
      <c r="V68" s="11"/>
    </row>
    <row r="69" spans="9:51" x14ac:dyDescent="0.25">
      <c r="K69" s="428"/>
      <c r="L69" s="428"/>
      <c r="P69" s="11"/>
      <c r="Q69" s="11"/>
      <c r="R69" s="11"/>
      <c r="S69" s="11"/>
      <c r="T69" s="11"/>
      <c r="U69" s="11"/>
      <c r="V69" s="11"/>
    </row>
    <row r="70" spans="9:51" x14ac:dyDescent="0.25">
      <c r="K70" s="428"/>
      <c r="L70" s="428"/>
      <c r="P70" s="11"/>
      <c r="Q70" s="11"/>
      <c r="R70" s="11"/>
      <c r="S70" s="11"/>
      <c r="T70" s="11"/>
      <c r="U70" s="11"/>
      <c r="V70" s="11"/>
    </row>
    <row r="71" spans="9:51" x14ac:dyDescent="0.25">
      <c r="K71" s="428"/>
      <c r="L71" s="428"/>
      <c r="P71" s="11"/>
      <c r="Q71" s="11"/>
      <c r="R71" s="11"/>
      <c r="S71" s="11"/>
      <c r="T71" s="11"/>
      <c r="U71" s="11"/>
      <c r="V71" s="11"/>
    </row>
    <row r="72" spans="9:51" x14ac:dyDescent="0.25">
      <c r="K72" s="428"/>
      <c r="L72" s="428"/>
      <c r="P72" s="11"/>
      <c r="Q72" s="11"/>
      <c r="R72" s="11"/>
      <c r="S72" s="11"/>
      <c r="T72" s="11"/>
      <c r="U72" s="11"/>
      <c r="V72" s="11"/>
    </row>
    <row r="73" spans="9:51" x14ac:dyDescent="0.25">
      <c r="K73" s="428"/>
      <c r="L73" s="428"/>
    </row>
    <row r="74" spans="9:51" x14ac:dyDescent="0.25">
      <c r="K74" s="428"/>
      <c r="L74" s="428"/>
    </row>
    <row r="75" spans="9:51" x14ac:dyDescent="0.25">
      <c r="K75" s="428"/>
      <c r="L75" s="428"/>
    </row>
    <row r="76" spans="9:51" x14ac:dyDescent="0.25">
      <c r="K76" s="428"/>
      <c r="L76" s="428"/>
    </row>
    <row r="77" spans="9:51" x14ac:dyDescent="0.25">
      <c r="K77" s="428"/>
      <c r="L77" s="428"/>
    </row>
  </sheetData>
  <mergeCells count="25">
    <mergeCell ref="K10:L10"/>
    <mergeCell ref="K64:L64"/>
    <mergeCell ref="B4:B5"/>
    <mergeCell ref="C4:C5"/>
    <mergeCell ref="D4:D5"/>
    <mergeCell ref="E4:E5"/>
    <mergeCell ref="F4:F5"/>
    <mergeCell ref="G4:G5"/>
    <mergeCell ref="B42:G44"/>
    <mergeCell ref="B34:G35"/>
    <mergeCell ref="B37:G40"/>
    <mergeCell ref="H4:H5"/>
    <mergeCell ref="B29:G32"/>
    <mergeCell ref="B46:G49"/>
    <mergeCell ref="B51:G52"/>
    <mergeCell ref="U25:AE26"/>
    <mergeCell ref="AW3:AX3"/>
    <mergeCell ref="AK4:AO4"/>
    <mergeCell ref="AQ4:AU4"/>
    <mergeCell ref="AH3:AH5"/>
    <mergeCell ref="AH6:AH10"/>
    <mergeCell ref="AI3:AI5"/>
    <mergeCell ref="AJ3:AJ5"/>
    <mergeCell ref="AK3:AO3"/>
    <mergeCell ref="AQ3:AU3"/>
  </mergeCells>
  <hyperlinks>
    <hyperlink ref="U52" r:id="rId1" xr:uid="{5F38C416-F722-4D3F-B40F-D52FD802F4DB}"/>
    <hyperlink ref="U27" r:id="rId2" xr:uid="{72ADE805-BC1E-4417-B704-CE962477C424}"/>
  </hyperlinks>
  <pageMargins left="0.25" right="0.25" top="0.75" bottom="0.75" header="0.3" footer="0.3"/>
  <pageSetup scale="5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42E1-20DE-484E-A60C-D1D209D3F4FC}">
  <sheetPr>
    <tabColor rgb="FF00B050"/>
    <pageSetUpPr fitToPage="1"/>
  </sheetPr>
  <dimension ref="A1:AE69"/>
  <sheetViews>
    <sheetView view="pageBreakPreview" zoomScale="85" zoomScaleNormal="85" zoomScaleSheetLayoutView="85" workbookViewId="0">
      <selection activeCell="P25" sqref="P25"/>
    </sheetView>
  </sheetViews>
  <sheetFormatPr defaultRowHeight="15" x14ac:dyDescent="0.25"/>
  <cols>
    <col min="1" max="1" width="9.140625" style="428"/>
    <col min="2" max="3" width="15.7109375" style="428" customWidth="1"/>
    <col min="4" max="5" width="18.5703125" style="428" customWidth="1"/>
    <col min="6" max="15" width="15.7109375" style="428" customWidth="1"/>
    <col min="16" max="16" width="17.7109375" style="428" customWidth="1"/>
    <col min="17" max="17" width="15.7109375" style="428" customWidth="1"/>
    <col min="18" max="22" width="15.42578125" style="428" customWidth="1"/>
    <col min="23" max="23" width="21.85546875" style="428" customWidth="1"/>
    <col min="24" max="24" width="15.7109375" style="428" customWidth="1"/>
    <col min="25" max="25" width="12.28515625" style="428" customWidth="1"/>
    <col min="26" max="26" width="19.140625" style="428" customWidth="1"/>
    <col min="27" max="27" width="13.85546875" style="428" customWidth="1"/>
    <col min="28" max="31" width="13.140625" style="428" customWidth="1"/>
    <col min="32" max="16384" width="9.140625" style="428"/>
  </cols>
  <sheetData>
    <row r="1" spans="2:31" ht="15.75" thickBot="1" x14ac:dyDescent="0.3">
      <c r="B1" s="6" t="s">
        <v>68</v>
      </c>
      <c r="C1" s="6"/>
      <c r="D1" s="6"/>
      <c r="E1" s="6"/>
    </row>
    <row r="2" spans="2:31" ht="15.75" thickBot="1" x14ac:dyDescent="0.3">
      <c r="C2" s="758" t="s">
        <v>1603</v>
      </c>
      <c r="D2" s="759"/>
      <c r="E2" s="760"/>
      <c r="F2" s="761" t="s">
        <v>1604</v>
      </c>
      <c r="G2" s="762"/>
      <c r="H2" s="762"/>
      <c r="I2" s="762"/>
      <c r="J2" s="762"/>
      <c r="K2" s="762"/>
      <c r="L2" s="762"/>
      <c r="M2" s="762"/>
      <c r="N2" s="762"/>
      <c r="O2" s="763" t="s">
        <v>1605</v>
      </c>
      <c r="P2" s="764"/>
    </row>
    <row r="3" spans="2:31" ht="35.1" customHeight="1" x14ac:dyDescent="0.25">
      <c r="B3" s="765" t="s">
        <v>0</v>
      </c>
      <c r="C3" s="715" t="s">
        <v>1606</v>
      </c>
      <c r="D3" s="752" t="s">
        <v>1607</v>
      </c>
      <c r="E3" s="767" t="s">
        <v>1608</v>
      </c>
      <c r="F3" s="715" t="s">
        <v>1609</v>
      </c>
      <c r="G3" s="752" t="s">
        <v>1610</v>
      </c>
      <c r="H3" s="754" t="s">
        <v>1611</v>
      </c>
      <c r="I3" s="750" t="s">
        <v>1612</v>
      </c>
      <c r="J3" s="752" t="s">
        <v>1613</v>
      </c>
      <c r="K3" s="754" t="s">
        <v>1614</v>
      </c>
      <c r="L3" s="750" t="s">
        <v>1615</v>
      </c>
      <c r="M3" s="715" t="s">
        <v>1616</v>
      </c>
      <c r="N3" s="756" t="s">
        <v>1</v>
      </c>
      <c r="O3" s="769" t="s">
        <v>1617</v>
      </c>
      <c r="P3" s="771" t="s">
        <v>1618</v>
      </c>
      <c r="R3" s="153"/>
    </row>
    <row r="4" spans="2:31" ht="35.1" customHeight="1" thickBot="1" x14ac:dyDescent="0.3">
      <c r="B4" s="766"/>
      <c r="C4" s="717"/>
      <c r="D4" s="753"/>
      <c r="E4" s="768"/>
      <c r="F4" s="717"/>
      <c r="G4" s="753"/>
      <c r="H4" s="755"/>
      <c r="I4" s="751"/>
      <c r="J4" s="753"/>
      <c r="K4" s="755"/>
      <c r="L4" s="751"/>
      <c r="M4" s="717"/>
      <c r="N4" s="757"/>
      <c r="O4" s="770"/>
      <c r="P4" s="772"/>
    </row>
    <row r="5" spans="2:31" ht="17.25" x14ac:dyDescent="0.25">
      <c r="B5" s="1">
        <f>Assumptions!$D$7</f>
        <v>2025</v>
      </c>
      <c r="C5" s="481">
        <f>($F5*$V$7*Assumptions!$D$14+$F5*$V$8*Assumptions!$D$15)/10^6</f>
        <v>3509.5874381899416</v>
      </c>
      <c r="D5" s="482">
        <f t="shared" ref="D5:D24" si="0">C5*_xlfn.XLOOKUP($B5,$R$13:$R$48,$V$13:$V$48)</f>
        <v>196536.89653863673</v>
      </c>
      <c r="E5" s="483">
        <f>D5*(1+0.03)^-($B5-Assumptions!$D$4)</f>
        <v>164596.55670857249</v>
      </c>
      <c r="F5" s="484">
        <f>_xlfn.XLOOKUP($B5,'Operating Cost-Detour'!$B$6:$B$25,'Operating Cost-Detour'!$C$6:$C$25)-_xlfn.XLOOKUP($B5,'Operating Cost-Detour'!$B$6:$B$25,'Operating Cost-Detour'!$D$6:$D$25)</f>
        <v>7031407.4500000477</v>
      </c>
      <c r="G5" s="485">
        <f>($F5*S$7*Assumptions!$D$14+$F5*S$8*Assumptions!$D$15)/10^6</f>
        <v>4.2002719881738733</v>
      </c>
      <c r="H5" s="486">
        <f>($F5*T$7*Assumptions!$D$14+$F5*T$8*Assumptions!$D$15)/10^6</f>
        <v>1.8323985485934686E-2</v>
      </c>
      <c r="I5" s="487">
        <f>($F5*U$7*Assumptions!$D$14+$F5*U$8*Assumptions!$D$15)/10^6</f>
        <v>7.7951082477507427E-2</v>
      </c>
      <c r="J5" s="488">
        <f t="shared" ref="J5:J24" si="1">G5*_xlfn.XLOOKUP($B5,$R$13:$R$48,$S$13:$S$48)</f>
        <v>70564.569401321074</v>
      </c>
      <c r="K5" s="489">
        <f t="shared" ref="K5:K24" si="2">G5*_xlfn.XLOOKUP($B5,$R$13:$R$48,$S$13:$S$48)</f>
        <v>70564.569401321074</v>
      </c>
      <c r="L5" s="483">
        <f t="shared" ref="L5:L24" si="3">H5*_xlfn.XLOOKUP($B5,$R$13:$R$48,$U$13:$U$48)</f>
        <v>14596.88683809557</v>
      </c>
      <c r="M5" s="490">
        <f t="shared" ref="M5:M24" si="4">SUM(J5:L5)</f>
        <v>155726.02564073773</v>
      </c>
      <c r="N5" s="491">
        <f>M5*(1+0.07)^-(B5-Assumptions!$D$4)</f>
        <v>103766.82623155644</v>
      </c>
      <c r="O5" s="492">
        <f t="shared" ref="O5:P24" si="5">M5+D5</f>
        <v>352262.92217937449</v>
      </c>
      <c r="P5" s="493">
        <f t="shared" si="5"/>
        <v>268363.38294012891</v>
      </c>
      <c r="R5" s="430" t="s">
        <v>1619</v>
      </c>
      <c r="S5" s="430"/>
      <c r="T5" s="430"/>
      <c r="U5" s="430"/>
      <c r="V5" s="430"/>
      <c r="Y5" s="6" t="s">
        <v>1620</v>
      </c>
    </row>
    <row r="6" spans="2:31" x14ac:dyDescent="0.25">
      <c r="B6" s="2">
        <f t="shared" ref="B6:B24" si="6">+B5+1</f>
        <v>2026</v>
      </c>
      <c r="C6" s="494">
        <f>($F6*$V$7*Assumptions!$D$14+$F6*$V$8*Assumptions!$D$15)/10^6</f>
        <v>3576.067072691475</v>
      </c>
      <c r="D6" s="492">
        <f t="shared" si="0"/>
        <v>203835.82314341408</v>
      </c>
      <c r="E6" s="493">
        <f>D6*(1+0.03)^-($B6-Assumptions!$D$4)</f>
        <v>165737.17750559511</v>
      </c>
      <c r="F6" s="495">
        <f>_xlfn.XLOOKUP($B6,'Operating Cost-Detour'!$B$6:$B$25,'Operating Cost-Detour'!$C$6:$C$25)-_xlfn.XLOOKUP($B6,'Operating Cost-Detour'!$B$6:$B$25,'Operating Cost-Detour'!$D$6:$D$25)</f>
        <v>7164598.432000041</v>
      </c>
      <c r="G6" s="496">
        <f>($F6*S$7*Assumptions!$D$14+$F6*S$8*Assumptions!$D$15)/10^6</f>
        <v>4.2798347719764154</v>
      </c>
      <c r="H6" s="497">
        <f>($F6*T$7*Assumptions!$D$14+$F6*T$8*Assumptions!$D$15)/10^6</f>
        <v>1.867108379283557E-2</v>
      </c>
      <c r="I6" s="498">
        <f>($F6*U$7*Assumptions!$D$14+$F6*U$8*Assumptions!$D$15)/10^6</f>
        <v>7.9427654742302248E-2</v>
      </c>
      <c r="J6" s="499">
        <f t="shared" si="1"/>
        <v>72757.191123599056</v>
      </c>
      <c r="K6" s="500">
        <f t="shared" si="2"/>
        <v>72757.191123599056</v>
      </c>
      <c r="L6" s="501">
        <f t="shared" si="3"/>
        <v>15076.900162714723</v>
      </c>
      <c r="M6" s="502">
        <f t="shared" si="4"/>
        <v>160591.28240991285</v>
      </c>
      <c r="N6" s="503">
        <f>M6*(1+0.07)^-(B6-Assumptions!$D$4)</f>
        <v>100008.1796696887</v>
      </c>
      <c r="O6" s="504">
        <f t="shared" si="5"/>
        <v>364427.1055533269</v>
      </c>
      <c r="P6" s="501">
        <f t="shared" si="5"/>
        <v>265745.35717528383</v>
      </c>
      <c r="R6" s="144" t="s">
        <v>69</v>
      </c>
      <c r="S6" s="311" t="s">
        <v>491</v>
      </c>
      <c r="T6" s="311" t="s">
        <v>490</v>
      </c>
      <c r="U6" s="311" t="s">
        <v>1621</v>
      </c>
      <c r="V6" s="311" t="s">
        <v>489</v>
      </c>
      <c r="Y6" s="146" t="s">
        <v>1622</v>
      </c>
      <c r="Z6" s="146" t="s">
        <v>1623</v>
      </c>
      <c r="AA6" s="146" t="s">
        <v>1624</v>
      </c>
      <c r="AB6" s="435" t="s">
        <v>491</v>
      </c>
      <c r="AC6" s="435" t="s">
        <v>490</v>
      </c>
      <c r="AD6" s="435" t="s">
        <v>1621</v>
      </c>
      <c r="AE6" s="435" t="s">
        <v>489</v>
      </c>
    </row>
    <row r="7" spans="2:31" x14ac:dyDescent="0.25">
      <c r="B7" s="2">
        <f t="shared" si="6"/>
        <v>2027</v>
      </c>
      <c r="C7" s="494">
        <f>($F7*$V$7*Assumptions!$D$14+$F7*$V$8*Assumptions!$D$15)/10^6</f>
        <v>3642.5467071930075</v>
      </c>
      <c r="D7" s="492">
        <f t="shared" si="0"/>
        <v>211267.70901719443</v>
      </c>
      <c r="E7" s="493">
        <f>D7*(1+0.03)^-($B7-Assumptions!$D$4)</f>
        <v>166776.68041052282</v>
      </c>
      <c r="F7" s="495">
        <f>_xlfn.XLOOKUP($B7,'Operating Cost-Detour'!$B$6:$B$25,'Operating Cost-Detour'!$C$6:$C$25)-_xlfn.XLOOKUP($B7,'Operating Cost-Detour'!$B$6:$B$25,'Operating Cost-Detour'!$D$6:$D$25)</f>
        <v>7297789.4140000343</v>
      </c>
      <c r="G7" s="496">
        <f>($F7*S$7*Assumptions!$D$14+$F7*S$8*Assumptions!$D$15)/10^6</f>
        <v>4.3593975557789575</v>
      </c>
      <c r="H7" s="497">
        <f>($F7*T$7*Assumptions!$D$14+$F7*T$8*Assumptions!$D$15)/10^6</f>
        <v>1.901818209973645E-2</v>
      </c>
      <c r="I7" s="498">
        <f>($F7*U$7*Assumptions!$D$14+$F7*U$8*Assumptions!$D$15)/10^6</f>
        <v>8.090422700709704E-2</v>
      </c>
      <c r="J7" s="499">
        <f t="shared" si="1"/>
        <v>75417.577714975967</v>
      </c>
      <c r="K7" s="500">
        <f t="shared" si="2"/>
        <v>75417.577714975967</v>
      </c>
      <c r="L7" s="501">
        <f t="shared" si="3"/>
        <v>15568.283866844258</v>
      </c>
      <c r="M7" s="502">
        <f t="shared" si="4"/>
        <v>166403.43929679619</v>
      </c>
      <c r="N7" s="503">
        <f>M7*(1+0.07)^-(B7-Assumptions!$D$4)</f>
        <v>96848.316701671079</v>
      </c>
      <c r="O7" s="504">
        <f t="shared" si="5"/>
        <v>377671.14831399062</v>
      </c>
      <c r="P7" s="501">
        <f t="shared" si="5"/>
        <v>263624.9971121939</v>
      </c>
      <c r="R7" s="144" t="s">
        <v>70</v>
      </c>
      <c r="S7" s="505">
        <f>AB25</f>
        <v>0.22790983982547491</v>
      </c>
      <c r="T7" s="505">
        <f t="shared" ref="T7:V7" si="7">AC25</f>
        <v>2.0699004398994176E-3</v>
      </c>
      <c r="U7" s="505">
        <f t="shared" si="7"/>
        <v>5.8180715878192544E-3</v>
      </c>
      <c r="V7" s="505">
        <f t="shared" si="7"/>
        <v>317.22468262036</v>
      </c>
      <c r="Y7" s="435">
        <v>11</v>
      </c>
      <c r="Z7" s="146" t="s">
        <v>972</v>
      </c>
      <c r="AA7" s="146" t="s">
        <v>1625</v>
      </c>
      <c r="AB7" s="145">
        <v>0.73690802096518104</v>
      </c>
      <c r="AC7" s="145">
        <v>2.4081927794970298E-3</v>
      </c>
      <c r="AD7" s="145">
        <v>1.78605259703664E-2</v>
      </c>
      <c r="AE7" s="145">
        <v>362.51238716242</v>
      </c>
    </row>
    <row r="8" spans="2:31" x14ac:dyDescent="0.25">
      <c r="B8" s="2">
        <f t="shared" si="6"/>
        <v>2028</v>
      </c>
      <c r="C8" s="494">
        <f>($F8*$V$7*Assumptions!$D$14+$F8*$V$8*Assumptions!$D$15)/10^6</f>
        <v>3709.0263416945409</v>
      </c>
      <c r="D8" s="492">
        <f t="shared" si="0"/>
        <v>218832.55415997791</v>
      </c>
      <c r="E8" s="493">
        <f>D8*(1+0.03)^-($B8-Assumptions!$D$4)</f>
        <v>167716.93108970003</v>
      </c>
      <c r="F8" s="495">
        <f>_xlfn.XLOOKUP($B8,'Operating Cost-Detour'!$B$6:$B$25,'Operating Cost-Detour'!$C$6:$C$25)-_xlfn.XLOOKUP($B8,'Operating Cost-Detour'!$B$6:$B$25,'Operating Cost-Detour'!$D$6:$D$25)</f>
        <v>7430980.3960000277</v>
      </c>
      <c r="G8" s="496">
        <f>($F8*S$7*Assumptions!$D$14+$F8*S$8*Assumptions!$D$15)/10^6</f>
        <v>4.4389603395815005</v>
      </c>
      <c r="H8" s="497">
        <f>($F8*T$7*Assumptions!$D$14+$F8*T$8*Assumptions!$D$15)/10^6</f>
        <v>1.9365280406637327E-2</v>
      </c>
      <c r="I8" s="498">
        <f>($F8*U$7*Assumptions!$D$14+$F8*U$8*Assumptions!$D$15)/10^6</f>
        <v>8.2380799271891875E-2</v>
      </c>
      <c r="J8" s="499">
        <f t="shared" si="1"/>
        <v>77681.805942676263</v>
      </c>
      <c r="K8" s="500">
        <f t="shared" si="2"/>
        <v>77681.805942676263</v>
      </c>
      <c r="L8" s="501">
        <f t="shared" si="3"/>
        <v>16069.309681427654</v>
      </c>
      <c r="M8" s="502">
        <f t="shared" si="4"/>
        <v>171432.92156678019</v>
      </c>
      <c r="N8" s="503">
        <f>M8*(1+0.07)^-(B8-Assumptions!$D$4)</f>
        <v>93248.150629953467</v>
      </c>
      <c r="O8" s="504">
        <f t="shared" si="5"/>
        <v>390265.47572675813</v>
      </c>
      <c r="P8" s="501">
        <f t="shared" si="5"/>
        <v>260965.08171965351</v>
      </c>
      <c r="R8" s="144" t="s">
        <v>64</v>
      </c>
      <c r="S8" s="505">
        <f t="shared" ref="S8:V8" si="8">AB26</f>
        <v>2.099484306313415</v>
      </c>
      <c r="T8" s="505">
        <f t="shared" si="8"/>
        <v>4.7858028693373951E-3</v>
      </c>
      <c r="U8" s="505">
        <f t="shared" si="8"/>
        <v>3.2505287070740692E-2</v>
      </c>
      <c r="V8" s="505">
        <f t="shared" si="8"/>
        <v>1238.7315972924489</v>
      </c>
      <c r="Y8" s="435">
        <v>21</v>
      </c>
      <c r="Z8" s="146" t="s">
        <v>1626</v>
      </c>
      <c r="AA8" s="146" t="s">
        <v>1625</v>
      </c>
      <c r="AB8" s="145">
        <v>3.7528759722247264E-2</v>
      </c>
      <c r="AC8" s="145">
        <v>1.6122938930079201E-3</v>
      </c>
      <c r="AD8" s="145">
        <v>1.1798384221972261E-3</v>
      </c>
      <c r="AE8" s="145">
        <v>243.79125643460799</v>
      </c>
    </row>
    <row r="9" spans="2:31" ht="15" customHeight="1" x14ac:dyDescent="0.25">
      <c r="B9" s="2">
        <f t="shared" si="6"/>
        <v>2029</v>
      </c>
      <c r="C9" s="494">
        <f>($F9*$V$7*Assumptions!$D$14+$F9*$V$8*Assumptions!$D$15)/10^6</f>
        <v>3775.5059761960733</v>
      </c>
      <c r="D9" s="492">
        <f t="shared" si="0"/>
        <v>226530.3585717644</v>
      </c>
      <c r="E9" s="493">
        <f>D9*(1+0.03)^-($B9-Assumptions!$D$4)</f>
        <v>168559.86135262309</v>
      </c>
      <c r="F9" s="495">
        <f>_xlfn.XLOOKUP($B9,'Operating Cost-Detour'!$B$6:$B$25,'Operating Cost-Detour'!$C$6:$C$25)-_xlfn.XLOOKUP($B9,'Operating Cost-Detour'!$B$6:$B$25,'Operating Cost-Detour'!$D$6:$D$25)</f>
        <v>7564171.378000021</v>
      </c>
      <c r="G9" s="496">
        <f>($F9*S$7*Assumptions!$D$14+$F9*S$8*Assumptions!$D$15)/10^6</f>
        <v>4.5185231233840444</v>
      </c>
      <c r="H9" s="497">
        <f>($F9*T$7*Assumptions!$D$14+$F9*T$8*Assumptions!$D$15)/10^6</f>
        <v>1.971237871353821E-2</v>
      </c>
      <c r="I9" s="498">
        <f>($F9*U$7*Assumptions!$D$14+$F9*U$8*Assumptions!$D$15)/10^6</f>
        <v>8.3857371536686681E-2</v>
      </c>
      <c r="J9" s="499">
        <f t="shared" si="1"/>
        <v>79977.859283897589</v>
      </c>
      <c r="K9" s="500">
        <f t="shared" si="2"/>
        <v>79977.859283897589</v>
      </c>
      <c r="L9" s="501">
        <f t="shared" si="3"/>
        <v>16582.052973828344</v>
      </c>
      <c r="M9" s="502">
        <f t="shared" si="4"/>
        <v>176537.77154162352</v>
      </c>
      <c r="N9" s="503">
        <f>M9*(1+0.07)^-(B9-Assumptions!$D$4)</f>
        <v>89742.851198224846</v>
      </c>
      <c r="O9" s="504">
        <f t="shared" si="5"/>
        <v>403068.13011338795</v>
      </c>
      <c r="P9" s="501">
        <f t="shared" si="5"/>
        <v>258302.71255084794</v>
      </c>
      <c r="R9" s="6"/>
      <c r="S9" s="506"/>
      <c r="T9" s="507"/>
      <c r="U9" s="506"/>
      <c r="V9" s="508"/>
      <c r="Y9" s="435">
        <v>31</v>
      </c>
      <c r="Z9" s="146" t="s">
        <v>1626</v>
      </c>
      <c r="AA9" s="146" t="s">
        <v>1625</v>
      </c>
      <c r="AB9" s="145">
        <v>5.602001301010253E-2</v>
      </c>
      <c r="AC9" s="145">
        <v>2.0534055761767299E-3</v>
      </c>
      <c r="AD9" s="145">
        <v>1.6834690354423085E-3</v>
      </c>
      <c r="AE9" s="145">
        <v>318.590574637288</v>
      </c>
    </row>
    <row r="10" spans="2:31" x14ac:dyDescent="0.25">
      <c r="B10" s="2">
        <f t="shared" si="6"/>
        <v>2030</v>
      </c>
      <c r="C10" s="494">
        <f>($F10*$V$7*Assumptions!$D$14+$F10*$V$8*Assumptions!$D$15)/10^6</f>
        <v>9879.3915703652237</v>
      </c>
      <c r="D10" s="492">
        <f t="shared" si="0"/>
        <v>602642.88579227868</v>
      </c>
      <c r="E10" s="493">
        <f>D10*(1+0.03)^-($B10-Assumptions!$D$4)</f>
        <v>435362.0428872201</v>
      </c>
      <c r="F10" s="495">
        <f>_xlfn.XLOOKUP($B10,'Operating Cost-Detour'!$B$6:$B$25,'Operating Cost-Detour'!$C$6:$C$25)-_xlfn.XLOOKUP($B10,'Operating Cost-Detour'!$B$6:$B$25,'Operating Cost-Detour'!$D$6:$D$25)</f>
        <v>19793217.497142792</v>
      </c>
      <c r="G10" s="496">
        <f>($F10*S$7*Assumptions!$D$14+$F10*S$8*Assumptions!$D$15)/10^6</f>
        <v>11.82364947562259</v>
      </c>
      <c r="H10" s="497">
        <f>($F10*T$7*Assumptions!$D$14+$F10*T$8*Assumptions!$D$15)/10^6</f>
        <v>5.1581512338271691E-2</v>
      </c>
      <c r="I10" s="498">
        <f>($F10*U$7*Assumptions!$D$14+$F10*U$8*Assumptions!$D$15)/10^6</f>
        <v>0.21943014120380841</v>
      </c>
      <c r="J10" s="499">
        <f t="shared" si="1"/>
        <v>212825.6905612066</v>
      </c>
      <c r="K10" s="500">
        <f t="shared" si="2"/>
        <v>212825.6905612066</v>
      </c>
      <c r="L10" s="501">
        <f t="shared" si="3"/>
        <v>43983.55557084427</v>
      </c>
      <c r="M10" s="502">
        <f t="shared" si="4"/>
        <v>469634.93669325748</v>
      </c>
      <c r="N10" s="503">
        <f>M10*(1+0.07)^-(B10-Assumptions!$D$4)</f>
        <v>223120.17535490694</v>
      </c>
      <c r="O10" s="504">
        <f t="shared" si="5"/>
        <v>1072277.8224855361</v>
      </c>
      <c r="P10" s="501">
        <f t="shared" si="5"/>
        <v>658482.21824212698</v>
      </c>
      <c r="S10" s="436"/>
      <c r="T10" s="436"/>
      <c r="U10" s="436"/>
      <c r="V10" s="436"/>
      <c r="Y10" s="435">
        <v>32</v>
      </c>
      <c r="Z10" s="146" t="s">
        <v>1626</v>
      </c>
      <c r="AA10" s="146" t="s">
        <v>1625</v>
      </c>
      <c r="AB10" s="145">
        <v>8.1182565604368817E-2</v>
      </c>
      <c r="AC10" s="145">
        <v>2.2057095109159902E-3</v>
      </c>
      <c r="AD10" s="145">
        <v>2.5484529232710825E-3</v>
      </c>
      <c r="AE10" s="145">
        <v>344.00451224712401</v>
      </c>
    </row>
    <row r="11" spans="2:31" ht="17.25" x14ac:dyDescent="0.25">
      <c r="B11" s="2">
        <f t="shared" si="6"/>
        <v>2031</v>
      </c>
      <c r="C11" s="494">
        <f>($F11*$V$7*Assumptions!$D$14+$F11*$V$8*Assumptions!$D$15)/10^6</f>
        <v>10050.339201940611</v>
      </c>
      <c r="D11" s="492">
        <f t="shared" si="0"/>
        <v>623121.03052031784</v>
      </c>
      <c r="E11" s="493">
        <f>D11*(1+0.03)^-($B11-Assumptions!$D$4)</f>
        <v>437044.55373206257</v>
      </c>
      <c r="F11" s="495">
        <f>_xlfn.XLOOKUP($B11,'Operating Cost-Detour'!$B$6:$B$25,'Operating Cost-Detour'!$C$6:$C$25)-_xlfn.XLOOKUP($B11,'Operating Cost-Detour'!$B$6:$B$25,'Operating Cost-Detour'!$D$6:$D$25)</f>
        <v>20135708.593714237</v>
      </c>
      <c r="G11" s="496">
        <f>($F11*S$7*Assumptions!$D$14+$F11*S$8*Assumptions!$D$15)/10^6</f>
        <v>12.028239491114864</v>
      </c>
      <c r="H11" s="497">
        <f>($F11*T$7*Assumptions!$D$14+$F11*T$8*Assumptions!$D$15)/10^6</f>
        <v>5.2474050841731193E-2</v>
      </c>
      <c r="I11" s="498">
        <f>($F11*U$7*Assumptions!$D$14+$F11*U$8*Assumptions!$D$15)/10^6</f>
        <v>0.22322704131328117</v>
      </c>
      <c r="J11" s="499">
        <f t="shared" si="1"/>
        <v>216508.31084006754</v>
      </c>
      <c r="K11" s="500">
        <f t="shared" si="2"/>
        <v>216508.31084006754</v>
      </c>
      <c r="L11" s="501">
        <f t="shared" si="3"/>
        <v>44744.623152744185</v>
      </c>
      <c r="M11" s="502">
        <f t="shared" si="4"/>
        <v>477761.24483287928</v>
      </c>
      <c r="N11" s="503">
        <f>M11*(1+0.07)^-(B11-Assumptions!$D$4)</f>
        <v>212131.70636753933</v>
      </c>
      <c r="O11" s="504">
        <f t="shared" si="5"/>
        <v>1100882.275353197</v>
      </c>
      <c r="P11" s="501">
        <f t="shared" si="5"/>
        <v>649176.26009960193</v>
      </c>
      <c r="R11" s="6" t="s">
        <v>1627</v>
      </c>
      <c r="Y11" s="435">
        <v>41</v>
      </c>
      <c r="Z11" s="146" t="s">
        <v>1628</v>
      </c>
      <c r="AA11" s="146" t="s">
        <v>1629</v>
      </c>
      <c r="AB11" s="145">
        <v>2.237602310868759</v>
      </c>
      <c r="AC11" s="145">
        <v>5.5717265564873301E-3</v>
      </c>
      <c r="AD11" s="145">
        <v>1.658066855283262E-2</v>
      </c>
      <c r="AE11" s="145">
        <v>1406.7823013201701</v>
      </c>
    </row>
    <row r="12" spans="2:31" x14ac:dyDescent="0.25">
      <c r="B12" s="2">
        <f t="shared" si="6"/>
        <v>2032</v>
      </c>
      <c r="C12" s="494">
        <f>($F12*$V$7*Assumptions!$D$14+$F12*$V$8*Assumptions!$D$15)/10^6</f>
        <v>10221.286833515998</v>
      </c>
      <c r="D12" s="492">
        <f t="shared" si="0"/>
        <v>643941.07051150792</v>
      </c>
      <c r="E12" s="493">
        <f>D12*(1+0.03)^-($B12-Assumptions!$D$4)</f>
        <v>438492.53484145278</v>
      </c>
      <c r="F12" s="495">
        <f>_xlfn.XLOOKUP($B12,'Operating Cost-Detour'!$B$6:$B$25,'Operating Cost-Detour'!$C$6:$C$25)-_xlfn.XLOOKUP($B12,'Operating Cost-Detour'!$B$6:$B$25,'Operating Cost-Detour'!$D$6:$D$25)</f>
        <v>20478199.690285683</v>
      </c>
      <c r="G12" s="496">
        <f>($F12*S$7*Assumptions!$D$14+$F12*S$8*Assumptions!$D$15)/10^6</f>
        <v>12.232829506607137</v>
      </c>
      <c r="H12" s="497">
        <f>($F12*T$7*Assumptions!$D$14+$F12*T$8*Assumptions!$D$15)/10^6</f>
        <v>5.3366589345190688E-2</v>
      </c>
      <c r="I12" s="498">
        <f>($F12*U$7*Assumptions!$D$14+$F12*U$8*Assumptions!$D$15)/10^6</f>
        <v>0.22702394142275395</v>
      </c>
      <c r="J12" s="499">
        <f t="shared" si="1"/>
        <v>220190.93111892848</v>
      </c>
      <c r="K12" s="500">
        <f t="shared" si="2"/>
        <v>220190.93111892848</v>
      </c>
      <c r="L12" s="501">
        <f t="shared" si="3"/>
        <v>45505.6907346441</v>
      </c>
      <c r="M12" s="502">
        <f t="shared" si="4"/>
        <v>485887.55297250103</v>
      </c>
      <c r="N12" s="503">
        <f>M12*(1+0.07)^-(B12-Assumptions!$D$4)</f>
        <v>201626.06015514646</v>
      </c>
      <c r="O12" s="504">
        <f t="shared" si="5"/>
        <v>1129828.6234840089</v>
      </c>
      <c r="P12" s="501">
        <f t="shared" si="5"/>
        <v>640118.59499659925</v>
      </c>
      <c r="R12" s="509" t="s">
        <v>488</v>
      </c>
      <c r="S12" s="433" t="s">
        <v>491</v>
      </c>
      <c r="T12" s="433" t="s">
        <v>490</v>
      </c>
      <c r="U12" s="433" t="s">
        <v>1621</v>
      </c>
      <c r="V12" s="433" t="s">
        <v>489</v>
      </c>
      <c r="Y12" s="435">
        <v>42</v>
      </c>
      <c r="Z12" s="146" t="s">
        <v>1628</v>
      </c>
      <c r="AA12" s="146" t="s">
        <v>1629</v>
      </c>
      <c r="AB12" s="145">
        <v>1.9658170115512426</v>
      </c>
      <c r="AC12" s="145">
        <v>5.4889920561794897E-3</v>
      </c>
      <c r="AD12" s="145">
        <v>1.2308421676718551E-2</v>
      </c>
      <c r="AE12" s="145">
        <v>1391.9649569298599</v>
      </c>
    </row>
    <row r="13" spans="2:31" ht="15" customHeight="1" x14ac:dyDescent="0.25">
      <c r="B13" s="2">
        <f t="shared" si="6"/>
        <v>2033</v>
      </c>
      <c r="C13" s="494">
        <f>($F13*$V$7*Assumptions!$D$14+$F13*$V$8*Assumptions!$D$15)/10^6</f>
        <v>10392.234465091386</v>
      </c>
      <c r="D13" s="492">
        <f t="shared" si="0"/>
        <v>665103.00576584868</v>
      </c>
      <c r="E13" s="493">
        <f>D13*(1+0.03)^-($B13-Assumptions!$D$4)</f>
        <v>439711.43981528631</v>
      </c>
      <c r="F13" s="495">
        <f>_xlfn.XLOOKUP($B13,'Operating Cost-Detour'!$B$6:$B$25,'Operating Cost-Detour'!$C$6:$C$25)-_xlfn.XLOOKUP($B13,'Operating Cost-Detour'!$B$6:$B$25,'Operating Cost-Detour'!$D$6:$D$25)</f>
        <v>20820690.786857128</v>
      </c>
      <c r="G13" s="496">
        <f>($F13*S$7*Assumptions!$D$14+$F13*S$8*Assumptions!$D$15)/10^6</f>
        <v>12.437419522099409</v>
      </c>
      <c r="H13" s="497">
        <f>($F13*T$7*Assumptions!$D$14+$F13*T$8*Assumptions!$D$15)/10^6</f>
        <v>5.4259127848650196E-2</v>
      </c>
      <c r="I13" s="498">
        <f>($F13*U$7*Assumptions!$D$14+$F13*U$8*Assumptions!$D$15)/10^6</f>
        <v>0.23082084153222668</v>
      </c>
      <c r="J13" s="499">
        <f t="shared" si="1"/>
        <v>223873.55139778936</v>
      </c>
      <c r="K13" s="500">
        <f t="shared" si="2"/>
        <v>223873.55139778936</v>
      </c>
      <c r="L13" s="501">
        <f t="shared" si="3"/>
        <v>46266.758316544023</v>
      </c>
      <c r="M13" s="502">
        <f t="shared" si="4"/>
        <v>494013.86111212271</v>
      </c>
      <c r="N13" s="503">
        <f>M13*(1+0.07)^-(B13-Assumptions!$D$4)</f>
        <v>191587.09264081938</v>
      </c>
      <c r="O13" s="504">
        <f t="shared" si="5"/>
        <v>1159116.8668779714</v>
      </c>
      <c r="P13" s="501">
        <f t="shared" si="5"/>
        <v>631298.53245610569</v>
      </c>
      <c r="R13" s="432">
        <v>2020</v>
      </c>
      <c r="S13" s="510">
        <v>15700</v>
      </c>
      <c r="T13" s="510">
        <v>40400</v>
      </c>
      <c r="U13" s="510">
        <v>729300</v>
      </c>
      <c r="V13" s="510">
        <v>50</v>
      </c>
      <c r="Y13" s="435">
        <v>43</v>
      </c>
      <c r="Z13" s="146" t="s">
        <v>1628</v>
      </c>
      <c r="AA13" s="146" t="s">
        <v>1629</v>
      </c>
      <c r="AB13" s="145">
        <v>1.9469017025302577</v>
      </c>
      <c r="AC13" s="145">
        <v>3.66910948950592E-3</v>
      </c>
      <c r="AD13" s="145">
        <v>5.5096995199883071E-2</v>
      </c>
      <c r="AE13" s="145">
        <v>1071.1129065416801</v>
      </c>
    </row>
    <row r="14" spans="2:31" x14ac:dyDescent="0.25">
      <c r="B14" s="2">
        <f t="shared" si="6"/>
        <v>2034</v>
      </c>
      <c r="C14" s="494">
        <f>($F14*$V$7*Assumptions!$D$14+$F14*$V$8*Assumptions!$D$15)/10^6</f>
        <v>10563.182096666775</v>
      </c>
      <c r="D14" s="492">
        <f t="shared" si="0"/>
        <v>697170.01838000712</v>
      </c>
      <c r="E14" s="493">
        <f>D14*(1+0.03)^-($B14-Assumptions!$D$4)</f>
        <v>447486.90566399682</v>
      </c>
      <c r="F14" s="495">
        <f>_xlfn.XLOOKUP($B14,'Operating Cost-Detour'!$B$6:$B$25,'Operating Cost-Detour'!$C$6:$C$25)-_xlfn.XLOOKUP($B14,'Operating Cost-Detour'!$B$6:$B$25,'Operating Cost-Detour'!$D$6:$D$25)</f>
        <v>21163181.883428574</v>
      </c>
      <c r="G14" s="496">
        <f>($F14*S$7*Assumptions!$D$14+$F14*S$8*Assumptions!$D$15)/10^6</f>
        <v>12.642009537591685</v>
      </c>
      <c r="H14" s="497">
        <f>($F14*T$7*Assumptions!$D$14+$F14*T$8*Assumptions!$D$15)/10^6</f>
        <v>5.5151666352109691E-2</v>
      </c>
      <c r="I14" s="498">
        <f>($F14*U$7*Assumptions!$D$14+$F14*U$8*Assumptions!$D$15)/10^6</f>
        <v>0.23461774164169941</v>
      </c>
      <c r="J14" s="499">
        <f t="shared" si="1"/>
        <v>227556.17167665032</v>
      </c>
      <c r="K14" s="500">
        <f t="shared" si="2"/>
        <v>227556.17167665032</v>
      </c>
      <c r="L14" s="501">
        <f t="shared" si="3"/>
        <v>47027.825898443931</v>
      </c>
      <c r="M14" s="502">
        <f t="shared" si="4"/>
        <v>502140.16925174458</v>
      </c>
      <c r="N14" s="503">
        <f>M14*(1+0.07)^-(B14-Assumptions!$D$4)</f>
        <v>181998.70564783562</v>
      </c>
      <c r="O14" s="504">
        <f t="shared" si="5"/>
        <v>1199310.1876317516</v>
      </c>
      <c r="P14" s="501">
        <f t="shared" si="5"/>
        <v>629485.61131183244</v>
      </c>
      <c r="R14" s="432">
        <v>2021</v>
      </c>
      <c r="S14" s="510">
        <v>15900</v>
      </c>
      <c r="T14" s="510">
        <v>41300</v>
      </c>
      <c r="U14" s="510">
        <v>742300</v>
      </c>
      <c r="V14" s="510">
        <v>52</v>
      </c>
      <c r="Y14" s="435">
        <v>51</v>
      </c>
      <c r="Z14" s="146" t="s">
        <v>1630</v>
      </c>
      <c r="AA14" s="146" t="s">
        <v>1629</v>
      </c>
      <c r="AB14" s="145">
        <v>2.48942987946789</v>
      </c>
      <c r="AC14" s="145">
        <v>5.2833773025508703E-3</v>
      </c>
      <c r="AD14" s="145">
        <v>3.4321389281753531E-2</v>
      </c>
      <c r="AE14" s="145">
        <v>1427.83446247497</v>
      </c>
    </row>
    <row r="15" spans="2:31" x14ac:dyDescent="0.25">
      <c r="B15" s="2">
        <f t="shared" si="6"/>
        <v>2035</v>
      </c>
      <c r="C15" s="494">
        <f>($F15*$V$7*Assumptions!$D$14+$F15*$V$8*Assumptions!$D$15)/10^6</f>
        <v>10734.12972824216</v>
      </c>
      <c r="D15" s="492">
        <f t="shared" si="0"/>
        <v>719186.69179222477</v>
      </c>
      <c r="E15" s="493">
        <f>D15*(1+0.03)^-($B15-Assumptions!$D$4)</f>
        <v>448173.36945200042</v>
      </c>
      <c r="F15" s="495">
        <f>_xlfn.XLOOKUP($B15,'Operating Cost-Detour'!$B$6:$B$25,'Operating Cost-Detour'!$C$6:$C$25)-_xlfn.XLOOKUP($B15,'Operating Cost-Detour'!$B$6:$B$25,'Operating Cost-Detour'!$D$6:$D$25)</f>
        <v>21505672.980000019</v>
      </c>
      <c r="G15" s="496">
        <f>($F15*S$7*Assumptions!$D$14+$F15*S$8*Assumptions!$D$15)/10^6</f>
        <v>12.846599553083957</v>
      </c>
      <c r="H15" s="497">
        <f>($F15*T$7*Assumptions!$D$14+$F15*T$8*Assumptions!$D$15)/10^6</f>
        <v>5.6044204855569185E-2</v>
      </c>
      <c r="I15" s="498">
        <f>($F15*U$7*Assumptions!$D$14+$F15*U$8*Assumptions!$D$15)/10^6</f>
        <v>0.23841464175117219</v>
      </c>
      <c r="J15" s="499">
        <f t="shared" si="1"/>
        <v>231238.79195551123</v>
      </c>
      <c r="K15" s="500">
        <f t="shared" si="2"/>
        <v>231238.79195551123</v>
      </c>
      <c r="L15" s="501">
        <f t="shared" si="3"/>
        <v>47788.893480343846</v>
      </c>
      <c r="M15" s="502">
        <f t="shared" si="4"/>
        <v>510266.47739136632</v>
      </c>
      <c r="N15" s="503">
        <f>M15*(1+0.07)^-(B15-Assumptions!$D$4)</f>
        <v>172844.90998825128</v>
      </c>
      <c r="O15" s="504">
        <f t="shared" si="5"/>
        <v>1229453.1691835911</v>
      </c>
      <c r="P15" s="501">
        <f t="shared" si="5"/>
        <v>621018.27944025164</v>
      </c>
      <c r="R15" s="432">
        <v>2022</v>
      </c>
      <c r="S15" s="510">
        <v>16100</v>
      </c>
      <c r="T15" s="510">
        <v>42100</v>
      </c>
      <c r="U15" s="510">
        <v>755500</v>
      </c>
      <c r="V15" s="510">
        <v>53</v>
      </c>
      <c r="Y15" s="435">
        <v>52</v>
      </c>
      <c r="Z15" s="146" t="s">
        <v>1630</v>
      </c>
      <c r="AA15" s="146" t="s">
        <v>1629</v>
      </c>
      <c r="AB15" s="145">
        <v>0.95074648895471525</v>
      </c>
      <c r="AC15" s="145">
        <v>3.5321878667988801E-3</v>
      </c>
      <c r="AD15" s="145">
        <v>1.5158170819293781E-2</v>
      </c>
      <c r="AE15" s="145">
        <v>862.616489254057</v>
      </c>
    </row>
    <row r="16" spans="2:31" x14ac:dyDescent="0.25">
      <c r="B16" s="2">
        <f t="shared" si="6"/>
        <v>2036</v>
      </c>
      <c r="C16" s="494">
        <f>($F16*$V$7*Assumptions!$D$14+$F16*$V$8*Assumptions!$D$15)/10^6</f>
        <v>10905.077359817547</v>
      </c>
      <c r="D16" s="492">
        <f t="shared" si="0"/>
        <v>741545.26046759321</v>
      </c>
      <c r="E16" s="493">
        <f>D16*(1+0.03)^-($B16-Assumptions!$D$4)</f>
        <v>448647.07792113838</v>
      </c>
      <c r="F16" s="495">
        <f>_xlfn.XLOOKUP($B16,'Operating Cost-Detour'!$B$6:$B$25,'Operating Cost-Detour'!$C$6:$C$25)-_xlfn.XLOOKUP($B16,'Operating Cost-Detour'!$B$6:$B$25,'Operating Cost-Detour'!$D$6:$D$25)</f>
        <v>21848164.076571465</v>
      </c>
      <c r="G16" s="496">
        <f>($F16*S$7*Assumptions!$D$14+$F16*S$8*Assumptions!$D$15)/10^6</f>
        <v>13.05118956857623</v>
      </c>
      <c r="H16" s="497">
        <f>($F16*T$7*Assumptions!$D$14+$F16*T$8*Assumptions!$D$15)/10^6</f>
        <v>5.6936743359028694E-2</v>
      </c>
      <c r="I16" s="498">
        <f>($F16*U$7*Assumptions!$D$14+$F16*U$8*Assumptions!$D$15)/10^6</f>
        <v>0.24221154186064492</v>
      </c>
      <c r="J16" s="499">
        <f t="shared" si="1"/>
        <v>234921.41223437214</v>
      </c>
      <c r="K16" s="500">
        <f t="shared" si="2"/>
        <v>234921.41223437214</v>
      </c>
      <c r="L16" s="501">
        <f t="shared" si="3"/>
        <v>48549.961062243769</v>
      </c>
      <c r="M16" s="502">
        <f t="shared" si="4"/>
        <v>518392.78553098807</v>
      </c>
      <c r="N16" s="503">
        <f>M16*(1+0.07)^-(B16-Assumptions!$D$4)</f>
        <v>164109.88010046474</v>
      </c>
      <c r="O16" s="504">
        <f t="shared" si="5"/>
        <v>1259938.0459985812</v>
      </c>
      <c r="P16" s="501">
        <f t="shared" si="5"/>
        <v>612756.95802160306</v>
      </c>
      <c r="R16" s="432">
        <v>2023</v>
      </c>
      <c r="S16" s="510">
        <v>16400</v>
      </c>
      <c r="T16" s="510">
        <v>43000</v>
      </c>
      <c r="U16" s="510">
        <v>769000</v>
      </c>
      <c r="V16" s="510">
        <v>54</v>
      </c>
      <c r="Y16" s="435">
        <v>53</v>
      </c>
      <c r="Z16" s="146" t="s">
        <v>1630</v>
      </c>
      <c r="AA16" s="146" t="s">
        <v>1629</v>
      </c>
      <c r="AB16" s="145">
        <v>0.89067775827536644</v>
      </c>
      <c r="AC16" s="145">
        <v>3.4020765235606102E-3</v>
      </c>
      <c r="AD16" s="145">
        <v>1.349939126139434E-2</v>
      </c>
      <c r="AE16" s="145">
        <v>829.46088804247995</v>
      </c>
    </row>
    <row r="17" spans="1:31" x14ac:dyDescent="0.25">
      <c r="B17" s="2">
        <f t="shared" si="6"/>
        <v>2037</v>
      </c>
      <c r="C17" s="494">
        <f>($F17*$V$7*Assumptions!$D$14+$F17*$V$8*Assumptions!$D$15)/10^6</f>
        <v>11076.024991392936</v>
      </c>
      <c r="D17" s="492">
        <f t="shared" si="0"/>
        <v>764245.72440611257</v>
      </c>
      <c r="E17" s="493">
        <f>D17*(1+0.03)^-($B17-Assumptions!$D$4)</f>
        <v>448913.81740995025</v>
      </c>
      <c r="F17" s="495">
        <f>_xlfn.XLOOKUP($B17,'Operating Cost-Detour'!$B$6:$B$25,'Operating Cost-Detour'!$C$6:$C$25)-_xlfn.XLOOKUP($B17,'Operating Cost-Detour'!$B$6:$B$25,'Operating Cost-Detour'!$D$6:$D$25)</f>
        <v>22190655.17314291</v>
      </c>
      <c r="G17" s="496">
        <f>($F17*S$7*Assumptions!$D$14+$F17*S$8*Assumptions!$D$15)/10^6</f>
        <v>13.255779584068502</v>
      </c>
      <c r="H17" s="497">
        <f>($F17*T$7*Assumptions!$D$14+$F17*T$8*Assumptions!$D$15)/10^6</f>
        <v>5.7829281862488188E-2</v>
      </c>
      <c r="I17" s="498">
        <f>($F17*U$7*Assumptions!$D$14+$F17*U$8*Assumptions!$D$15)/10^6</f>
        <v>0.24600844197011768</v>
      </c>
      <c r="J17" s="499">
        <f t="shared" si="1"/>
        <v>238604.03251323305</v>
      </c>
      <c r="K17" s="500">
        <f t="shared" si="2"/>
        <v>238604.03251323305</v>
      </c>
      <c r="L17" s="501">
        <f t="shared" si="3"/>
        <v>49311.028644143677</v>
      </c>
      <c r="M17" s="502">
        <f t="shared" si="4"/>
        <v>526519.09367060976</v>
      </c>
      <c r="N17" s="503">
        <f>M17*(1+0.07)^-(B17-Assumptions!$D$4)</f>
        <v>155778.00107148505</v>
      </c>
      <c r="O17" s="504">
        <f t="shared" si="5"/>
        <v>1290764.8180767223</v>
      </c>
      <c r="P17" s="501">
        <f t="shared" si="5"/>
        <v>604691.8184814353</v>
      </c>
      <c r="R17" s="432">
        <v>2024</v>
      </c>
      <c r="S17" s="510">
        <v>16600</v>
      </c>
      <c r="T17" s="510">
        <v>43900</v>
      </c>
      <c r="U17" s="510">
        <v>782700</v>
      </c>
      <c r="V17" s="510">
        <v>55</v>
      </c>
      <c r="Y17" s="435">
        <v>54</v>
      </c>
      <c r="Z17" s="146" t="s">
        <v>1630</v>
      </c>
      <c r="AA17" s="146" t="s">
        <v>1629</v>
      </c>
      <c r="AB17" s="145">
        <v>1.6481032166429217</v>
      </c>
      <c r="AC17" s="145">
        <v>6.0326542026046303E-3</v>
      </c>
      <c r="AD17" s="145">
        <v>4.2864875162321965E-2</v>
      </c>
      <c r="AE17" s="145">
        <v>1166.1048437433201</v>
      </c>
    </row>
    <row r="18" spans="1:31" x14ac:dyDescent="0.25">
      <c r="B18" s="2">
        <f t="shared" si="6"/>
        <v>2038</v>
      </c>
      <c r="C18" s="494">
        <f>($F18*$V$7*Assumptions!$D$14+$F18*$V$8*Assumptions!$D$15)/10^6</f>
        <v>11246.972622968322</v>
      </c>
      <c r="D18" s="492">
        <f t="shared" si="0"/>
        <v>787288.08360778249</v>
      </c>
      <c r="E18" s="493">
        <f>D18*(1+0.03)^-($B18-Assumptions!$D$4)</f>
        <v>448979.39315705688</v>
      </c>
      <c r="F18" s="495">
        <f>_xlfn.XLOOKUP($B18,'Operating Cost-Detour'!$B$6:$B$25,'Operating Cost-Detour'!$C$6:$C$25)-_xlfn.XLOOKUP($B18,'Operating Cost-Detour'!$B$6:$B$25,'Operating Cost-Detour'!$D$6:$D$25)</f>
        <v>22533146.269714355</v>
      </c>
      <c r="G18" s="496">
        <f>($F18*S$7*Assumptions!$D$14+$F18*S$8*Assumptions!$D$15)/10^6</f>
        <v>13.460369599560774</v>
      </c>
      <c r="H18" s="497">
        <f>($F18*T$7*Assumptions!$D$14+$F18*T$8*Assumptions!$D$15)/10^6</f>
        <v>5.872182036594769E-2</v>
      </c>
      <c r="I18" s="498">
        <f>($F18*U$7*Assumptions!$D$14+$F18*U$8*Assumptions!$D$15)/10^6</f>
        <v>0.24980534207959043</v>
      </c>
      <c r="J18" s="499">
        <f t="shared" si="1"/>
        <v>242286.65279209393</v>
      </c>
      <c r="K18" s="500">
        <f t="shared" si="2"/>
        <v>242286.65279209393</v>
      </c>
      <c r="L18" s="501">
        <f t="shared" si="3"/>
        <v>50072.096226043592</v>
      </c>
      <c r="M18" s="502">
        <f t="shared" si="4"/>
        <v>534645.40181023139</v>
      </c>
      <c r="N18" s="503">
        <f>M18*(1+0.07)^-(B18-Assumptions!$D$4)</f>
        <v>147833.90880645753</v>
      </c>
      <c r="O18" s="504">
        <f t="shared" si="5"/>
        <v>1321933.4854180138</v>
      </c>
      <c r="P18" s="501">
        <f t="shared" si="5"/>
        <v>596813.30196351442</v>
      </c>
      <c r="R18" s="432">
        <v>2025</v>
      </c>
      <c r="S18" s="510">
        <v>16800</v>
      </c>
      <c r="T18" s="510">
        <v>44900</v>
      </c>
      <c r="U18" s="510">
        <v>796600</v>
      </c>
      <c r="V18" s="510">
        <v>56</v>
      </c>
      <c r="Y18" s="435">
        <v>61</v>
      </c>
      <c r="Z18" s="146" t="s">
        <v>1631</v>
      </c>
      <c r="AA18" s="146" t="s">
        <v>1629</v>
      </c>
      <c r="AB18" s="145">
        <v>3.0234078113615883</v>
      </c>
      <c r="AC18" s="145">
        <v>4.9760807160904204E-3</v>
      </c>
      <c r="AD18" s="145">
        <v>4.3407648080982714E-2</v>
      </c>
      <c r="AE18" s="145">
        <v>1463.90880302132</v>
      </c>
    </row>
    <row r="19" spans="1:31" x14ac:dyDescent="0.25">
      <c r="B19" s="2">
        <f t="shared" si="6"/>
        <v>2039</v>
      </c>
      <c r="C19" s="494">
        <f>($F19*$V$7*Assumptions!$D$14+$F19*$V$8*Assumptions!$D$15)/10^6</f>
        <v>11417.920254543711</v>
      </c>
      <c r="D19" s="492">
        <f t="shared" si="0"/>
        <v>810672.33807260345</v>
      </c>
      <c r="E19" s="493">
        <f>D19*(1+0.03)^-($B19-Assumptions!$D$4)</f>
        <v>448849.61818034825</v>
      </c>
      <c r="F19" s="495">
        <f>_xlfn.XLOOKUP($B19,'Operating Cost-Detour'!$B$6:$B$25,'Operating Cost-Detour'!$C$6:$C$25)-_xlfn.XLOOKUP($B19,'Operating Cost-Detour'!$B$6:$B$25,'Operating Cost-Detour'!$D$6:$D$25)</f>
        <v>22875637.366285801</v>
      </c>
      <c r="G19" s="496">
        <f>($F19*S$7*Assumptions!$D$14+$F19*S$8*Assumptions!$D$15)/10^6</f>
        <v>13.66495961505305</v>
      </c>
      <c r="H19" s="497">
        <f>($F19*T$7*Assumptions!$D$14+$F19*T$8*Assumptions!$D$15)/10^6</f>
        <v>5.9614358869407198E-2</v>
      </c>
      <c r="I19" s="498">
        <f>($F19*U$7*Assumptions!$D$14+$F19*U$8*Assumptions!$D$15)/10^6</f>
        <v>0.25360224218906319</v>
      </c>
      <c r="J19" s="499">
        <f t="shared" si="1"/>
        <v>245969.27307095489</v>
      </c>
      <c r="K19" s="500">
        <f t="shared" si="2"/>
        <v>245969.27307095489</v>
      </c>
      <c r="L19" s="501">
        <f t="shared" si="3"/>
        <v>50833.163807943522</v>
      </c>
      <c r="M19" s="502">
        <f t="shared" si="4"/>
        <v>542771.70994985336</v>
      </c>
      <c r="N19" s="503">
        <f>M19*(1+0.07)^-(B19-Assumptions!$D$4)</f>
        <v>140262.52404081949</v>
      </c>
      <c r="O19" s="504">
        <f t="shared" si="5"/>
        <v>1353444.0480224569</v>
      </c>
      <c r="P19" s="501">
        <f t="shared" si="5"/>
        <v>589112.14222116768</v>
      </c>
      <c r="R19" s="432">
        <v>2026</v>
      </c>
      <c r="S19" s="510">
        <v>17000</v>
      </c>
      <c r="T19" s="510">
        <v>45500</v>
      </c>
      <c r="U19" s="510">
        <v>807500</v>
      </c>
      <c r="V19" s="510">
        <v>57</v>
      </c>
      <c r="Y19" s="435">
        <v>62</v>
      </c>
      <c r="Z19" s="146" t="s">
        <v>1631</v>
      </c>
      <c r="AA19" s="146" t="s">
        <v>1629</v>
      </c>
      <c r="AB19" s="145">
        <v>3.7426725771679936</v>
      </c>
      <c r="AC19" s="145">
        <v>5.1160211102583997E-3</v>
      </c>
      <c r="AD19" s="145">
        <v>5.9310023601485649E-2</v>
      </c>
      <c r="AE19" s="145">
        <v>1528.79872430418</v>
      </c>
    </row>
    <row r="20" spans="1:31" x14ac:dyDescent="0.25">
      <c r="B20" s="2">
        <f t="shared" si="6"/>
        <v>2040</v>
      </c>
      <c r="C20" s="494">
        <f>($F20*$V$7*Assumptions!$D$14+$F20*$V$8*Assumptions!$D$15)/10^6</f>
        <v>11588.867886119098</v>
      </c>
      <c r="D20" s="492">
        <f t="shared" si="0"/>
        <v>834398.48780057509</v>
      </c>
      <c r="E20" s="493">
        <f>D20*(1+0.03)^-($B20-Assumptions!$D$4)</f>
        <v>448530.30293681636</v>
      </c>
      <c r="F20" s="495">
        <f>_xlfn.XLOOKUP($B20,'Operating Cost-Detour'!$B$6:$B$25,'Operating Cost-Detour'!$C$6:$C$25)-_xlfn.XLOOKUP($B20,'Operating Cost-Detour'!$B$6:$B$25,'Operating Cost-Detour'!$D$6:$D$25)</f>
        <v>23218128.462857246</v>
      </c>
      <c r="G20" s="496">
        <f>($F20*S$7*Assumptions!$D$14+$F20*S$8*Assumptions!$D$15)/10^6</f>
        <v>13.869549630545322</v>
      </c>
      <c r="H20" s="497">
        <f>($F20*T$7*Assumptions!$D$14+$F20*T$8*Assumptions!$D$15)/10^6</f>
        <v>6.0506897372866693E-2</v>
      </c>
      <c r="I20" s="498">
        <f>($F20*U$7*Assumptions!$D$14+$F20*U$8*Assumptions!$D$15)/10^6</f>
        <v>0.25739914229853594</v>
      </c>
      <c r="J20" s="499">
        <f t="shared" si="1"/>
        <v>249651.8933498158</v>
      </c>
      <c r="K20" s="500">
        <f t="shared" si="2"/>
        <v>249651.8933498158</v>
      </c>
      <c r="L20" s="501">
        <f t="shared" si="3"/>
        <v>51594.231389843429</v>
      </c>
      <c r="M20" s="502">
        <f t="shared" si="4"/>
        <v>550898.01808947499</v>
      </c>
      <c r="N20" s="503">
        <f>M20*(1+0.07)^-(B20-Assumptions!$D$4)</f>
        <v>133049.08082880254</v>
      </c>
      <c r="O20" s="504">
        <f t="shared" si="5"/>
        <v>1385296.50589005</v>
      </c>
      <c r="P20" s="501">
        <f t="shared" si="5"/>
        <v>581579.3837656189</v>
      </c>
      <c r="R20" s="432">
        <v>2027</v>
      </c>
      <c r="S20" s="510">
        <v>17300</v>
      </c>
      <c r="T20" s="510">
        <v>46200</v>
      </c>
      <c r="U20" s="510">
        <v>818600</v>
      </c>
      <c r="V20" s="510">
        <v>58</v>
      </c>
    </row>
    <row r="21" spans="1:31" x14ac:dyDescent="0.25">
      <c r="B21" s="2">
        <f t="shared" si="6"/>
        <v>2041</v>
      </c>
      <c r="C21" s="494">
        <f>($F21*$V$7*Assumptions!$D$14+$F21*$V$8*Assumptions!$D$15)/10^6</f>
        <v>11759.815517694486</v>
      </c>
      <c r="D21" s="492">
        <f t="shared" si="0"/>
        <v>858466.53279169742</v>
      </c>
      <c r="E21" s="493">
        <f>D21*(1+0.03)^-($B21-Assumptions!$D$4)</f>
        <v>448027.24572266109</v>
      </c>
      <c r="F21" s="495">
        <f>_xlfn.XLOOKUP($B21,'Operating Cost-Detour'!$B$6:$B$25,'Operating Cost-Detour'!$C$6:$C$25)-_xlfn.XLOOKUP($B21,'Operating Cost-Detour'!$B$6:$B$25,'Operating Cost-Detour'!$D$6:$D$25)</f>
        <v>23560619.559428692</v>
      </c>
      <c r="G21" s="496">
        <f>($F21*S$7*Assumptions!$D$14+$F21*S$8*Assumptions!$D$15)/10^6</f>
        <v>14.074139646037596</v>
      </c>
      <c r="H21" s="497">
        <f>($F21*T$7*Assumptions!$D$14+$F21*T$8*Assumptions!$D$15)/10^6</f>
        <v>6.1399435876326201E-2</v>
      </c>
      <c r="I21" s="498">
        <f>($F21*U$7*Assumptions!$D$14+$F21*U$8*Assumptions!$D$15)/10^6</f>
        <v>0.2611960424080087</v>
      </c>
      <c r="J21" s="499">
        <f t="shared" si="1"/>
        <v>253334.51362867671</v>
      </c>
      <c r="K21" s="500">
        <f t="shared" si="2"/>
        <v>253334.51362867671</v>
      </c>
      <c r="L21" s="501">
        <f t="shared" si="3"/>
        <v>52355.298971743352</v>
      </c>
      <c r="M21" s="502">
        <f t="shared" si="4"/>
        <v>559024.32622909674</v>
      </c>
      <c r="N21" s="503">
        <f>M21*(1+0.07)^-(B21-Assumptions!$D$4)</f>
        <v>126179.15008543803</v>
      </c>
      <c r="O21" s="504">
        <f t="shared" si="5"/>
        <v>1417490.8590207943</v>
      </c>
      <c r="P21" s="501">
        <f t="shared" si="5"/>
        <v>574206.39580809907</v>
      </c>
      <c r="R21" s="432">
        <v>2028</v>
      </c>
      <c r="S21" s="510">
        <v>17500</v>
      </c>
      <c r="T21" s="510">
        <v>46900</v>
      </c>
      <c r="U21" s="510">
        <v>829800</v>
      </c>
      <c r="V21" s="510">
        <v>59</v>
      </c>
    </row>
    <row r="22" spans="1:31" x14ac:dyDescent="0.25">
      <c r="B22" s="2">
        <f t="shared" si="6"/>
        <v>2042</v>
      </c>
      <c r="C22" s="494">
        <f>($F22*$V$7*Assumptions!$D$14+$F22*$V$8*Assumptions!$D$15)/10^6</f>
        <v>11930.763149269875</v>
      </c>
      <c r="D22" s="492">
        <f t="shared" si="0"/>
        <v>894807.23619524064</v>
      </c>
      <c r="E22" s="493">
        <f>D22*(1+0.03)^-($B22-Assumptions!$D$4)</f>
        <v>453391.44301530923</v>
      </c>
      <c r="F22" s="495">
        <f>_xlfn.XLOOKUP($B22,'Operating Cost-Detour'!$B$6:$B$25,'Operating Cost-Detour'!$C$6:$C$25)-_xlfn.XLOOKUP($B22,'Operating Cost-Detour'!$B$6:$B$25,'Operating Cost-Detour'!$D$6:$D$25)</f>
        <v>23903110.656000137</v>
      </c>
      <c r="G22" s="496">
        <f>($F22*S$7*Assumptions!$D$14+$F22*S$8*Assumptions!$D$15)/10^6</f>
        <v>14.278729661529869</v>
      </c>
      <c r="H22" s="497">
        <f>($F22*T$7*Assumptions!$D$14+$F22*T$8*Assumptions!$D$15)/10^6</f>
        <v>6.2291974379785696E-2</v>
      </c>
      <c r="I22" s="498">
        <f>($F22*U$7*Assumptions!$D$14+$F22*U$8*Assumptions!$D$15)/10^6</f>
        <v>0.26499294251748146</v>
      </c>
      <c r="J22" s="499">
        <f t="shared" si="1"/>
        <v>257017.13390753765</v>
      </c>
      <c r="K22" s="500">
        <f t="shared" si="2"/>
        <v>257017.13390753765</v>
      </c>
      <c r="L22" s="501">
        <f t="shared" si="3"/>
        <v>53116.36655364326</v>
      </c>
      <c r="M22" s="502">
        <f t="shared" si="4"/>
        <v>567150.6343687186</v>
      </c>
      <c r="N22" s="503">
        <f>M22*(1+0.07)^-(B22-Assumptions!$D$4)</f>
        <v>119638.65870734114</v>
      </c>
      <c r="O22" s="504">
        <f t="shared" si="5"/>
        <v>1461957.8705639592</v>
      </c>
      <c r="P22" s="501">
        <f t="shared" si="5"/>
        <v>573030.10172265035</v>
      </c>
      <c r="R22" s="432">
        <v>2029</v>
      </c>
      <c r="S22" s="510">
        <v>17700</v>
      </c>
      <c r="T22" s="510">
        <v>47600</v>
      </c>
      <c r="U22" s="510">
        <v>841200</v>
      </c>
      <c r="V22" s="510">
        <v>60</v>
      </c>
    </row>
    <row r="23" spans="1:31" x14ac:dyDescent="0.25">
      <c r="B23" s="2">
        <f t="shared" si="6"/>
        <v>2043</v>
      </c>
      <c r="C23" s="494">
        <f>($F23*$V$7*Assumptions!$D$14+$F23*$V$8*Assumptions!$D$15)/10^6</f>
        <v>12101.71078084526</v>
      </c>
      <c r="D23" s="492">
        <f t="shared" si="0"/>
        <v>919730.01934423973</v>
      </c>
      <c r="E23" s="493">
        <f>D23*(1+0.03)^-($B23-Assumptions!$D$4)</f>
        <v>452446.22483962111</v>
      </c>
      <c r="F23" s="495">
        <f>_xlfn.XLOOKUP($B23,'Operating Cost-Detour'!$B$6:$B$25,'Operating Cost-Detour'!$C$6:$C$25)-_xlfn.XLOOKUP($B23,'Operating Cost-Detour'!$B$6:$B$25,'Operating Cost-Detour'!$D$6:$D$25)</f>
        <v>24245601.752571583</v>
      </c>
      <c r="G23" s="496">
        <f>($F23*S$7*Assumptions!$D$14+$F23*S$8*Assumptions!$D$15)/10^6</f>
        <v>14.483319677022141</v>
      </c>
      <c r="H23" s="497">
        <f>($F23*T$7*Assumptions!$D$14+$F23*T$8*Assumptions!$D$15)/10^6</f>
        <v>6.3184512883245197E-2</v>
      </c>
      <c r="I23" s="498">
        <f>($F23*U$7*Assumptions!$D$14+$F23*U$8*Assumptions!$D$15)/10^6</f>
        <v>0.26878984262695421</v>
      </c>
      <c r="J23" s="499">
        <f t="shared" si="1"/>
        <v>260699.75418639855</v>
      </c>
      <c r="K23" s="500">
        <f t="shared" si="2"/>
        <v>260699.75418639855</v>
      </c>
      <c r="L23" s="501">
        <f t="shared" si="3"/>
        <v>53877.434135543182</v>
      </c>
      <c r="M23" s="502">
        <f t="shared" si="4"/>
        <v>575276.94250834035</v>
      </c>
      <c r="N23" s="503">
        <f>M23*(1+0.07)^-(B23-Assumptions!$D$4)</f>
        <v>113413.90474999735</v>
      </c>
      <c r="O23" s="504">
        <f t="shared" si="5"/>
        <v>1495006.9618525801</v>
      </c>
      <c r="P23" s="501">
        <f t="shared" si="5"/>
        <v>565860.12958961842</v>
      </c>
      <c r="R23" s="432">
        <v>2030</v>
      </c>
      <c r="S23" s="510">
        <v>18000</v>
      </c>
      <c r="T23" s="510">
        <v>48200</v>
      </c>
      <c r="U23" s="510">
        <v>852700</v>
      </c>
      <c r="V23" s="510">
        <v>61</v>
      </c>
    </row>
    <row r="24" spans="1:31" ht="15" customHeight="1" thickBot="1" x14ac:dyDescent="0.3">
      <c r="B24" s="3">
        <f t="shared" si="6"/>
        <v>2044</v>
      </c>
      <c r="C24" s="511">
        <f>($F24*$V$7*Assumptions!$D$14+$F24*$V$8*Assumptions!$D$15)/10^6</f>
        <v>12272.658412420651</v>
      </c>
      <c r="D24" s="512">
        <f t="shared" si="0"/>
        <v>944994.69775639009</v>
      </c>
      <c r="E24" s="513">
        <f>D24*(1+0.03)^-($B24-Assumptions!$D$4)</f>
        <v>451334.73057119071</v>
      </c>
      <c r="F24" s="514">
        <f>_xlfn.XLOOKUP($B24,'Operating Cost-Detour'!$B$6:$B$25,'Operating Cost-Detour'!$C$6:$C$25)-_xlfn.XLOOKUP($B24,'Operating Cost-Detour'!$B$6:$B$25,'Operating Cost-Detour'!$D$6:$D$25)</f>
        <v>24588092.849143028</v>
      </c>
      <c r="G24" s="515">
        <f>($F24*S$7*Assumptions!$D$14+$F24*S$8*Assumptions!$D$15)/10^6</f>
        <v>14.687909692514415</v>
      </c>
      <c r="H24" s="516">
        <f>($F24*T$7*Assumptions!$D$14+$F24*T$8*Assumptions!$D$15)/10^6</f>
        <v>6.4077051386704692E-2</v>
      </c>
      <c r="I24" s="517">
        <f>($F24*U$7*Assumptions!$D$14+$F24*U$8*Assumptions!$D$15)/10^6</f>
        <v>0.27258674273642702</v>
      </c>
      <c r="J24" s="518">
        <f t="shared" si="1"/>
        <v>264382.37446525949</v>
      </c>
      <c r="K24" s="519">
        <f t="shared" si="2"/>
        <v>264382.37446525949</v>
      </c>
      <c r="L24" s="513">
        <f t="shared" si="3"/>
        <v>54638.50171744309</v>
      </c>
      <c r="M24" s="520">
        <f t="shared" si="4"/>
        <v>583403.25064796209</v>
      </c>
      <c r="N24" s="521">
        <f>M24*(1+0.07)^-(B24-Assumptions!$D$4)</f>
        <v>107491.569095688</v>
      </c>
      <c r="O24" s="512">
        <f t="shared" si="5"/>
        <v>1528397.9484043522</v>
      </c>
      <c r="P24" s="513">
        <f t="shared" si="5"/>
        <v>558826.29966687877</v>
      </c>
      <c r="R24" s="432">
        <v>2031</v>
      </c>
      <c r="S24" s="510">
        <v>18000</v>
      </c>
      <c r="T24" s="510">
        <v>48200</v>
      </c>
      <c r="U24" s="510">
        <v>852700</v>
      </c>
      <c r="V24" s="510">
        <v>62</v>
      </c>
      <c r="AA24" s="144" t="s">
        <v>69</v>
      </c>
      <c r="AB24" s="311" t="s">
        <v>491</v>
      </c>
      <c r="AC24" s="311" t="s">
        <v>490</v>
      </c>
      <c r="AD24" s="311" t="s">
        <v>1621</v>
      </c>
      <c r="AE24" s="311" t="s">
        <v>489</v>
      </c>
    </row>
    <row r="25" spans="1:31" x14ac:dyDescent="0.25">
      <c r="B25" s="4"/>
      <c r="C25" s="4"/>
      <c r="D25" s="310" t="s">
        <v>2</v>
      </c>
      <c r="E25" s="522">
        <f>SUM(E5:E24)</f>
        <v>7528777.9072131244</v>
      </c>
      <c r="F25" s="523"/>
      <c r="G25" s="4"/>
      <c r="H25" s="4"/>
      <c r="I25" s="4"/>
      <c r="J25" s="4"/>
      <c r="K25" s="4"/>
      <c r="L25" s="4"/>
      <c r="M25" s="310" t="s">
        <v>2</v>
      </c>
      <c r="N25" s="522">
        <f>SUM(N5:N24)</f>
        <v>2874679.6520720874</v>
      </c>
      <c r="O25" s="522">
        <f>SUM(O5:O24)</f>
        <v>21292794.270150404</v>
      </c>
      <c r="P25" s="522">
        <f>SUM(P5:P24)</f>
        <v>10403457.559285212</v>
      </c>
      <c r="R25" s="432">
        <v>2032</v>
      </c>
      <c r="S25" s="510">
        <v>18000</v>
      </c>
      <c r="T25" s="510">
        <v>48200</v>
      </c>
      <c r="U25" s="510">
        <v>852700</v>
      </c>
      <c r="V25" s="510">
        <v>63</v>
      </c>
      <c r="AA25" s="144" t="s">
        <v>70</v>
      </c>
      <c r="AB25" s="505">
        <f>AVERAGE(AB7:AB10)</f>
        <v>0.22790983982547491</v>
      </c>
      <c r="AC25" s="505">
        <f t="shared" ref="AC25:AE25" si="9">AVERAGE(AC7:AC10)</f>
        <v>2.0699004398994176E-3</v>
      </c>
      <c r="AD25" s="505">
        <f t="shared" si="9"/>
        <v>5.8180715878192544E-3</v>
      </c>
      <c r="AE25" s="505">
        <f t="shared" si="9"/>
        <v>317.22468262036</v>
      </c>
    </row>
    <row r="26" spans="1:31" x14ac:dyDescent="0.25">
      <c r="R26" s="432">
        <v>2033</v>
      </c>
      <c r="S26" s="510">
        <v>18000</v>
      </c>
      <c r="T26" s="510">
        <v>48200</v>
      </c>
      <c r="U26" s="510">
        <v>852700</v>
      </c>
      <c r="V26" s="510">
        <v>64</v>
      </c>
      <c r="AA26" s="144" t="s">
        <v>64</v>
      </c>
      <c r="AB26" s="505">
        <f>AVERAGE(AB11:AB19)</f>
        <v>2.099484306313415</v>
      </c>
      <c r="AC26" s="505">
        <f t="shared" ref="AC26:AE26" si="10">AVERAGE(AC11:AC19)</f>
        <v>4.7858028693373951E-3</v>
      </c>
      <c r="AD26" s="505">
        <f t="shared" si="10"/>
        <v>3.2505287070740692E-2</v>
      </c>
      <c r="AE26" s="505">
        <f t="shared" si="10"/>
        <v>1238.7315972924489</v>
      </c>
    </row>
    <row r="27" spans="1:31" x14ac:dyDescent="0.25">
      <c r="B27" s="6" t="s">
        <v>3</v>
      </c>
      <c r="C27" s="6"/>
      <c r="D27" s="6"/>
      <c r="E27" s="6"/>
      <c r="R27" s="432">
        <v>2034</v>
      </c>
      <c r="S27" s="510">
        <v>18000</v>
      </c>
      <c r="T27" s="510">
        <v>48200</v>
      </c>
      <c r="U27" s="510">
        <v>852700</v>
      </c>
      <c r="V27" s="510">
        <v>66</v>
      </c>
    </row>
    <row r="28" spans="1:31" ht="15" customHeight="1" x14ac:dyDescent="0.25">
      <c r="A28" s="7" t="s">
        <v>13</v>
      </c>
      <c r="B28" s="743" t="s">
        <v>1701</v>
      </c>
      <c r="C28" s="743"/>
      <c r="D28" s="743"/>
      <c r="E28" s="743"/>
      <c r="F28" s="743"/>
      <c r="G28" s="743"/>
      <c r="H28" s="743"/>
      <c r="I28" s="743"/>
      <c r="J28" s="743"/>
      <c r="K28" s="743"/>
      <c r="L28" s="743"/>
      <c r="M28" s="743"/>
      <c r="R28" s="432">
        <v>2035</v>
      </c>
      <c r="S28" s="510">
        <v>18000</v>
      </c>
      <c r="T28" s="510">
        <v>48200</v>
      </c>
      <c r="U28" s="510">
        <v>852700</v>
      </c>
      <c r="V28" s="510">
        <v>67</v>
      </c>
    </row>
    <row r="29" spans="1:31" x14ac:dyDescent="0.25">
      <c r="B29" s="743"/>
      <c r="C29" s="743"/>
      <c r="D29" s="743"/>
      <c r="E29" s="743"/>
      <c r="F29" s="743"/>
      <c r="G29" s="743"/>
      <c r="H29" s="743"/>
      <c r="I29" s="743"/>
      <c r="J29" s="743"/>
      <c r="K29" s="743"/>
      <c r="L29" s="743"/>
      <c r="M29" s="743"/>
      <c r="R29" s="432">
        <v>2036</v>
      </c>
      <c r="S29" s="510">
        <v>18000</v>
      </c>
      <c r="T29" s="510">
        <v>48200</v>
      </c>
      <c r="U29" s="510">
        <v>852700</v>
      </c>
      <c r="V29" s="510">
        <v>68</v>
      </c>
    </row>
    <row r="30" spans="1:31" x14ac:dyDescent="0.25">
      <c r="B30" s="743"/>
      <c r="C30" s="743"/>
      <c r="D30" s="743"/>
      <c r="E30" s="743"/>
      <c r="F30" s="743"/>
      <c r="G30" s="743"/>
      <c r="H30" s="743"/>
      <c r="I30" s="743"/>
      <c r="J30" s="743"/>
      <c r="K30" s="743"/>
      <c r="L30" s="743"/>
      <c r="M30" s="743"/>
      <c r="R30" s="432">
        <v>2037</v>
      </c>
      <c r="S30" s="510">
        <v>18000</v>
      </c>
      <c r="T30" s="510">
        <v>48200</v>
      </c>
      <c r="U30" s="510">
        <v>852700</v>
      </c>
      <c r="V30" s="510">
        <v>69</v>
      </c>
    </row>
    <row r="31" spans="1:31" x14ac:dyDescent="0.25">
      <c r="B31" s="6"/>
      <c r="C31" s="6"/>
      <c r="D31" s="6"/>
      <c r="E31" s="6"/>
      <c r="R31" s="432">
        <v>2038</v>
      </c>
      <c r="S31" s="510">
        <v>18000</v>
      </c>
      <c r="T31" s="510">
        <v>48200</v>
      </c>
      <c r="U31" s="510">
        <v>852700</v>
      </c>
      <c r="V31" s="510">
        <v>70</v>
      </c>
    </row>
    <row r="32" spans="1:31" x14ac:dyDescent="0.25">
      <c r="A32" s="7" t="s">
        <v>12</v>
      </c>
      <c r="B32" s="743" t="s">
        <v>1632</v>
      </c>
      <c r="C32" s="743"/>
      <c r="D32" s="743"/>
      <c r="E32" s="743"/>
      <c r="F32" s="743"/>
      <c r="G32" s="743"/>
      <c r="H32" s="743"/>
      <c r="I32" s="743"/>
      <c r="J32" s="743"/>
      <c r="K32" s="743"/>
      <c r="L32" s="743"/>
      <c r="M32" s="743"/>
      <c r="R32" s="432">
        <v>2039</v>
      </c>
      <c r="S32" s="510">
        <v>18000</v>
      </c>
      <c r="T32" s="510">
        <v>48200</v>
      </c>
      <c r="U32" s="510">
        <v>852700</v>
      </c>
      <c r="V32" s="510">
        <v>71</v>
      </c>
    </row>
    <row r="33" spans="1:24" x14ac:dyDescent="0.25">
      <c r="B33" s="743"/>
      <c r="C33" s="743"/>
      <c r="D33" s="743"/>
      <c r="E33" s="743"/>
      <c r="F33" s="743"/>
      <c r="G33" s="743"/>
      <c r="H33" s="743"/>
      <c r="I33" s="743"/>
      <c r="J33" s="743"/>
      <c r="K33" s="743"/>
      <c r="L33" s="743"/>
      <c r="M33" s="743"/>
      <c r="R33" s="432">
        <v>2040</v>
      </c>
      <c r="S33" s="510">
        <v>18000</v>
      </c>
      <c r="T33" s="510">
        <v>48200</v>
      </c>
      <c r="U33" s="510">
        <v>852700</v>
      </c>
      <c r="V33" s="510">
        <v>72</v>
      </c>
    </row>
    <row r="34" spans="1:24" x14ac:dyDescent="0.25">
      <c r="A34" s="7"/>
      <c r="B34" s="60"/>
      <c r="C34" s="60"/>
      <c r="D34" s="60"/>
      <c r="E34" s="60"/>
      <c r="F34" s="26"/>
      <c r="G34" s="524"/>
      <c r="H34" s="524"/>
      <c r="I34" s="26"/>
      <c r="R34" s="432">
        <v>2041</v>
      </c>
      <c r="S34" s="510">
        <v>18000</v>
      </c>
      <c r="T34" s="510">
        <v>48200</v>
      </c>
      <c r="U34" s="510">
        <v>852700</v>
      </c>
      <c r="V34" s="510">
        <v>73</v>
      </c>
    </row>
    <row r="35" spans="1:24" x14ac:dyDescent="0.25">
      <c r="A35" s="7"/>
      <c r="B35" s="60"/>
      <c r="C35" s="60"/>
      <c r="D35" s="60"/>
      <c r="E35" s="60"/>
      <c r="F35" s="60"/>
      <c r="G35" s="60"/>
      <c r="H35" s="60"/>
      <c r="I35" s="60"/>
      <c r="J35" s="60"/>
      <c r="K35" s="60"/>
      <c r="L35" s="60"/>
      <c r="M35" s="60"/>
      <c r="Q35" s="524"/>
      <c r="R35" s="432">
        <v>2042</v>
      </c>
      <c r="S35" s="510">
        <v>18000</v>
      </c>
      <c r="T35" s="510">
        <v>48200</v>
      </c>
      <c r="U35" s="510">
        <v>852700</v>
      </c>
      <c r="V35" s="510">
        <v>75</v>
      </c>
    </row>
    <row r="36" spans="1:24" x14ac:dyDescent="0.25">
      <c r="B36" s="60"/>
      <c r="C36" s="60"/>
      <c r="D36" s="60"/>
      <c r="E36" s="60"/>
      <c r="F36" s="60"/>
      <c r="G36" s="60"/>
      <c r="H36" s="60"/>
      <c r="I36" s="60"/>
      <c r="J36" s="60"/>
      <c r="K36" s="60"/>
      <c r="L36" s="60"/>
      <c r="M36" s="60"/>
      <c r="Q36" s="524"/>
      <c r="R36" s="432">
        <v>2043</v>
      </c>
      <c r="S36" s="510">
        <v>18000</v>
      </c>
      <c r="T36" s="510">
        <v>48200</v>
      </c>
      <c r="U36" s="510">
        <v>852700</v>
      </c>
      <c r="V36" s="510">
        <v>76</v>
      </c>
    </row>
    <row r="37" spans="1:24" x14ac:dyDescent="0.25">
      <c r="A37" s="7"/>
      <c r="B37" s="60"/>
      <c r="C37" s="60"/>
      <c r="D37" s="60"/>
      <c r="E37" s="60"/>
      <c r="F37" s="60"/>
      <c r="G37" s="60"/>
      <c r="H37" s="60"/>
      <c r="I37" s="60"/>
      <c r="J37" s="60"/>
      <c r="K37" s="60"/>
      <c r="L37" s="60"/>
      <c r="M37" s="60"/>
      <c r="R37" s="432">
        <v>2044</v>
      </c>
      <c r="S37" s="510">
        <v>18000</v>
      </c>
      <c r="T37" s="510">
        <v>48200</v>
      </c>
      <c r="U37" s="510">
        <v>852700</v>
      </c>
      <c r="V37" s="510">
        <v>77</v>
      </c>
    </row>
    <row r="38" spans="1:24" ht="15" customHeight="1" x14ac:dyDescent="0.25">
      <c r="A38" s="7"/>
      <c r="B38" s="431"/>
      <c r="C38" s="431"/>
      <c r="D38" s="431"/>
      <c r="E38" s="431"/>
      <c r="F38" s="431"/>
      <c r="G38" s="431"/>
      <c r="H38" s="431"/>
      <c r="I38" s="431"/>
      <c r="R38" s="432">
        <v>2045</v>
      </c>
      <c r="S38" s="510">
        <v>18000</v>
      </c>
      <c r="T38" s="510">
        <v>48200</v>
      </c>
      <c r="U38" s="510">
        <v>852700</v>
      </c>
      <c r="V38" s="510">
        <v>78</v>
      </c>
    </row>
    <row r="39" spans="1:24" x14ac:dyDescent="0.25">
      <c r="A39" s="7"/>
      <c r="B39" s="431"/>
      <c r="C39" s="431"/>
      <c r="D39" s="431"/>
      <c r="E39" s="431"/>
      <c r="F39" s="431"/>
      <c r="G39" s="431"/>
      <c r="H39" s="431"/>
      <c r="I39" s="431"/>
      <c r="R39" s="432">
        <v>2046</v>
      </c>
      <c r="S39" s="510">
        <v>18000</v>
      </c>
      <c r="T39" s="510">
        <v>48200</v>
      </c>
      <c r="U39" s="510">
        <v>852700</v>
      </c>
      <c r="V39" s="510">
        <v>79</v>
      </c>
    </row>
    <row r="40" spans="1:24" x14ac:dyDescent="0.25">
      <c r="A40" s="7"/>
      <c r="B40" s="431"/>
      <c r="C40" s="431"/>
      <c r="D40" s="431"/>
      <c r="E40" s="431"/>
      <c r="F40" s="431"/>
      <c r="G40" s="431"/>
      <c r="H40" s="431"/>
      <c r="I40" s="431"/>
      <c r="R40" s="432">
        <v>2047</v>
      </c>
      <c r="S40" s="510">
        <v>18000</v>
      </c>
      <c r="T40" s="510">
        <v>48200</v>
      </c>
      <c r="U40" s="510">
        <v>852700</v>
      </c>
      <c r="V40" s="510">
        <v>80</v>
      </c>
    </row>
    <row r="41" spans="1:24" x14ac:dyDescent="0.25">
      <c r="A41" s="7"/>
      <c r="B41" s="431"/>
      <c r="C41" s="431"/>
      <c r="D41" s="431"/>
      <c r="E41" s="431"/>
      <c r="F41" s="431"/>
      <c r="G41" s="431"/>
      <c r="H41" s="431"/>
      <c r="I41" s="431"/>
      <c r="R41" s="432">
        <v>2048</v>
      </c>
      <c r="S41" s="510">
        <v>18000</v>
      </c>
      <c r="T41" s="510">
        <v>48200</v>
      </c>
      <c r="U41" s="510">
        <v>852700</v>
      </c>
      <c r="V41" s="510">
        <v>81</v>
      </c>
    </row>
    <row r="42" spans="1:24" ht="15" customHeight="1" x14ac:dyDescent="0.25">
      <c r="A42" s="7"/>
      <c r="B42" s="431"/>
      <c r="C42" s="431"/>
      <c r="D42" s="431"/>
      <c r="E42" s="431"/>
      <c r="F42" s="431"/>
      <c r="G42" s="431"/>
      <c r="H42" s="431"/>
      <c r="I42" s="431"/>
      <c r="R42" s="432">
        <v>2049</v>
      </c>
      <c r="S42" s="510">
        <v>18000</v>
      </c>
      <c r="T42" s="510">
        <v>48200</v>
      </c>
      <c r="U42" s="510">
        <v>852700</v>
      </c>
      <c r="V42" s="510">
        <v>83</v>
      </c>
    </row>
    <row r="43" spans="1:24" ht="15.75" customHeight="1" x14ac:dyDescent="0.25">
      <c r="A43" s="7"/>
      <c r="B43" s="60"/>
      <c r="C43" s="60"/>
      <c r="D43" s="60"/>
      <c r="E43" s="60"/>
      <c r="F43" s="26"/>
      <c r="G43" s="26"/>
      <c r="H43" s="26"/>
      <c r="I43" s="26"/>
      <c r="N43" s="527"/>
      <c r="O43" s="527"/>
      <c r="P43" s="527"/>
      <c r="R43" s="432">
        <v>2050</v>
      </c>
      <c r="S43" s="510">
        <v>18000</v>
      </c>
      <c r="T43" s="510">
        <v>48200</v>
      </c>
      <c r="U43" s="510">
        <v>852700</v>
      </c>
      <c r="V43" s="510">
        <v>84</v>
      </c>
    </row>
    <row r="44" spans="1:24" x14ac:dyDescent="0.25">
      <c r="B44" s="60"/>
      <c r="C44" s="60"/>
      <c r="D44" s="60"/>
      <c r="E44" s="60"/>
      <c r="F44" s="26"/>
      <c r="G44" s="26"/>
      <c r="H44" s="26"/>
      <c r="I44" s="26"/>
      <c r="N44" s="527"/>
      <c r="O44" s="527"/>
      <c r="P44" s="527"/>
      <c r="R44" s="525">
        <v>2051</v>
      </c>
      <c r="S44" s="526">
        <f>S43</f>
        <v>18000</v>
      </c>
      <c r="T44" s="526">
        <f t="shared" ref="T44:V48" si="11">T43</f>
        <v>48200</v>
      </c>
      <c r="U44" s="526">
        <f t="shared" si="11"/>
        <v>852700</v>
      </c>
      <c r="V44" s="526">
        <f>V43</f>
        <v>84</v>
      </c>
      <c r="W44" s="749" t="s">
        <v>1633</v>
      </c>
      <c r="X44" s="743"/>
    </row>
    <row r="45" spans="1:24" ht="15" customHeight="1" x14ac:dyDescent="0.25">
      <c r="B45" s="60"/>
      <c r="C45" s="60"/>
      <c r="D45" s="60"/>
      <c r="E45" s="60"/>
      <c r="F45" s="26"/>
      <c r="G45" s="26"/>
      <c r="H45" s="26"/>
      <c r="I45" s="26"/>
      <c r="J45" s="528"/>
      <c r="L45" s="524"/>
      <c r="M45" s="524"/>
      <c r="N45" s="527"/>
      <c r="O45" s="527"/>
      <c r="P45" s="527"/>
      <c r="R45" s="525">
        <v>2052</v>
      </c>
      <c r="S45" s="526">
        <f t="shared" ref="S45:S48" si="12">S44</f>
        <v>18000</v>
      </c>
      <c r="T45" s="526">
        <f t="shared" si="11"/>
        <v>48200</v>
      </c>
      <c r="U45" s="526">
        <f t="shared" si="11"/>
        <v>852700</v>
      </c>
      <c r="V45" s="526">
        <f t="shared" si="11"/>
        <v>84</v>
      </c>
      <c r="W45" s="749"/>
      <c r="X45" s="743"/>
    </row>
    <row r="46" spans="1:24" x14ac:dyDescent="0.25">
      <c r="B46" s="60"/>
      <c r="C46" s="60"/>
      <c r="D46" s="60"/>
      <c r="E46" s="60"/>
      <c r="F46" s="26"/>
      <c r="G46" s="26"/>
      <c r="H46" s="26"/>
      <c r="I46" s="26"/>
      <c r="J46" s="528"/>
      <c r="L46" s="524"/>
      <c r="M46" s="524"/>
      <c r="R46" s="525">
        <v>2053</v>
      </c>
      <c r="S46" s="526">
        <f t="shared" si="12"/>
        <v>18000</v>
      </c>
      <c r="T46" s="526">
        <f t="shared" si="11"/>
        <v>48200</v>
      </c>
      <c r="U46" s="526">
        <f t="shared" si="11"/>
        <v>852700</v>
      </c>
      <c r="V46" s="526">
        <f t="shared" si="11"/>
        <v>84</v>
      </c>
      <c r="W46" s="749"/>
      <c r="X46" s="743"/>
    </row>
    <row r="47" spans="1:24" x14ac:dyDescent="0.25">
      <c r="A47" s="7"/>
      <c r="B47" s="60"/>
      <c r="C47" s="60"/>
      <c r="D47" s="60"/>
      <c r="E47" s="60"/>
      <c r="F47" s="26"/>
      <c r="G47" s="26"/>
      <c r="H47" s="26"/>
      <c r="I47" s="26"/>
      <c r="L47" s="524"/>
      <c r="M47" s="524"/>
      <c r="R47" s="525">
        <v>2054</v>
      </c>
      <c r="S47" s="526">
        <f t="shared" si="12"/>
        <v>18000</v>
      </c>
      <c r="T47" s="526">
        <f t="shared" si="11"/>
        <v>48200</v>
      </c>
      <c r="U47" s="526">
        <f t="shared" si="11"/>
        <v>852700</v>
      </c>
      <c r="V47" s="526">
        <f t="shared" si="11"/>
        <v>84</v>
      </c>
      <c r="W47" s="749"/>
      <c r="X47" s="743"/>
    </row>
    <row r="48" spans="1:24" x14ac:dyDescent="0.25">
      <c r="B48" s="60"/>
      <c r="C48" s="60"/>
      <c r="D48" s="60"/>
      <c r="E48" s="60"/>
      <c r="F48" s="26"/>
      <c r="G48" s="26"/>
      <c r="H48" s="26"/>
      <c r="I48" s="26"/>
      <c r="L48" s="524"/>
      <c r="M48" s="524"/>
      <c r="R48" s="525">
        <v>2055</v>
      </c>
      <c r="S48" s="526">
        <f t="shared" si="12"/>
        <v>18000</v>
      </c>
      <c r="T48" s="526">
        <f t="shared" si="11"/>
        <v>48200</v>
      </c>
      <c r="U48" s="526">
        <f t="shared" si="11"/>
        <v>852700</v>
      </c>
      <c r="V48" s="526">
        <f t="shared" si="11"/>
        <v>84</v>
      </c>
      <c r="W48" s="749"/>
      <c r="X48" s="743"/>
    </row>
    <row r="49" spans="1:13" x14ac:dyDescent="0.25">
      <c r="B49" s="60"/>
      <c r="C49" s="60"/>
      <c r="D49" s="60"/>
      <c r="E49" s="60"/>
      <c r="F49" s="26"/>
      <c r="G49" s="26"/>
      <c r="H49" s="26"/>
      <c r="I49" s="26"/>
      <c r="J49" s="524"/>
      <c r="K49" s="524"/>
      <c r="L49" s="524"/>
      <c r="M49" s="524"/>
    </row>
    <row r="50" spans="1:13" x14ac:dyDescent="0.25">
      <c r="B50" s="60"/>
      <c r="C50" s="60"/>
      <c r="D50" s="60"/>
      <c r="E50" s="60"/>
      <c r="F50" s="26"/>
      <c r="G50" s="26"/>
      <c r="H50" s="26"/>
      <c r="I50" s="26"/>
      <c r="K50" s="524"/>
      <c r="L50" s="524"/>
      <c r="M50" s="524"/>
    </row>
    <row r="51" spans="1:13" x14ac:dyDescent="0.25">
      <c r="B51" s="60"/>
      <c r="C51" s="60"/>
      <c r="D51" s="60"/>
      <c r="E51" s="60"/>
      <c r="F51" s="26"/>
      <c r="G51" s="26"/>
      <c r="H51" s="26"/>
      <c r="I51" s="26"/>
      <c r="J51" s="26"/>
      <c r="L51" s="524"/>
      <c r="M51" s="524"/>
    </row>
    <row r="52" spans="1:13" x14ac:dyDescent="0.25">
      <c r="B52" s="60"/>
      <c r="C52" s="60"/>
      <c r="D52" s="60"/>
      <c r="E52" s="60"/>
      <c r="F52" s="26"/>
      <c r="G52" s="26"/>
      <c r="H52" s="26"/>
      <c r="I52" s="26"/>
      <c r="J52" s="26"/>
    </row>
    <row r="53" spans="1:13" x14ac:dyDescent="0.25">
      <c r="B53" s="60"/>
      <c r="C53" s="60"/>
      <c r="D53" s="60"/>
      <c r="E53" s="60"/>
      <c r="F53" s="26"/>
      <c r="G53" s="26"/>
      <c r="H53" s="26"/>
      <c r="I53" s="26"/>
      <c r="J53" s="26"/>
      <c r="K53" s="26"/>
    </row>
    <row r="54" spans="1:13" x14ac:dyDescent="0.25">
      <c r="B54" s="60"/>
      <c r="C54" s="60"/>
      <c r="D54" s="60"/>
      <c r="E54" s="60"/>
      <c r="F54" s="26"/>
      <c r="G54" s="26"/>
      <c r="H54" s="26"/>
      <c r="I54" s="26"/>
      <c r="J54" s="26"/>
      <c r="K54" s="26"/>
    </row>
    <row r="55" spans="1:13" x14ac:dyDescent="0.25">
      <c r="A55" s="7"/>
      <c r="B55" s="60"/>
      <c r="C55" s="60"/>
      <c r="D55" s="60"/>
      <c r="E55" s="60"/>
      <c r="F55" s="26"/>
      <c r="G55" s="26"/>
      <c r="H55" s="26"/>
      <c r="I55" s="26"/>
      <c r="J55" s="26"/>
      <c r="K55" s="26"/>
    </row>
    <row r="56" spans="1:13" x14ac:dyDescent="0.25">
      <c r="J56" s="26"/>
      <c r="K56" s="26"/>
    </row>
    <row r="57" spans="1:13" x14ac:dyDescent="0.25">
      <c r="F57" s="524"/>
      <c r="I57" s="524"/>
      <c r="J57" s="26"/>
      <c r="K57" s="26"/>
    </row>
    <row r="58" spans="1:13" x14ac:dyDescent="0.25">
      <c r="B58" s="524"/>
      <c r="C58" s="524"/>
      <c r="D58" s="524"/>
      <c r="E58" s="524"/>
      <c r="F58" s="524"/>
      <c r="I58" s="524"/>
      <c r="J58" s="26"/>
      <c r="K58" s="26"/>
    </row>
    <row r="59" spans="1:13" x14ac:dyDescent="0.25">
      <c r="J59" s="26"/>
      <c r="K59" s="26"/>
    </row>
    <row r="60" spans="1:13" x14ac:dyDescent="0.25">
      <c r="A60" s="7"/>
      <c r="B60" s="26"/>
      <c r="C60" s="26"/>
      <c r="D60" s="26"/>
      <c r="E60" s="26"/>
      <c r="F60" s="26"/>
      <c r="G60" s="26"/>
      <c r="H60" s="26"/>
      <c r="I60" s="26"/>
      <c r="J60" s="26"/>
      <c r="K60" s="26"/>
    </row>
    <row r="61" spans="1:13" x14ac:dyDescent="0.25">
      <c r="B61" s="26"/>
      <c r="C61" s="26"/>
      <c r="D61" s="26"/>
      <c r="E61" s="26"/>
      <c r="F61" s="26"/>
      <c r="G61" s="26"/>
      <c r="H61" s="26"/>
      <c r="J61" s="26"/>
      <c r="K61" s="26"/>
    </row>
    <row r="62" spans="1:13" x14ac:dyDescent="0.25">
      <c r="J62" s="26"/>
      <c r="K62" s="26"/>
    </row>
    <row r="63" spans="1:13" x14ac:dyDescent="0.25">
      <c r="A63" s="7"/>
      <c r="J63" s="26"/>
      <c r="K63" s="26"/>
    </row>
    <row r="64" spans="1:13" x14ac:dyDescent="0.25">
      <c r="J64" s="26"/>
      <c r="K64" s="26"/>
    </row>
    <row r="66" spans="10:12" x14ac:dyDescent="0.25">
      <c r="J66" s="524"/>
    </row>
    <row r="67" spans="10:12" x14ac:dyDescent="0.25">
      <c r="J67" s="524"/>
      <c r="L67" s="26"/>
    </row>
    <row r="69" spans="10:12" x14ac:dyDescent="0.25">
      <c r="J69" s="26"/>
      <c r="K69" s="26"/>
    </row>
  </sheetData>
  <mergeCells count="21">
    <mergeCell ref="C2:E2"/>
    <mergeCell ref="F2:N2"/>
    <mergeCell ref="O2:P2"/>
    <mergeCell ref="B3:B4"/>
    <mergeCell ref="C3:C4"/>
    <mergeCell ref="D3:D4"/>
    <mergeCell ref="E3:E4"/>
    <mergeCell ref="F3:F4"/>
    <mergeCell ref="G3:G4"/>
    <mergeCell ref="H3:H4"/>
    <mergeCell ref="O3:O4"/>
    <mergeCell ref="P3:P4"/>
    <mergeCell ref="B28:M30"/>
    <mergeCell ref="B32:M33"/>
    <mergeCell ref="W44:X48"/>
    <mergeCell ref="I3:I4"/>
    <mergeCell ref="J3:J4"/>
    <mergeCell ref="K3:K4"/>
    <mergeCell ref="L3:L4"/>
    <mergeCell ref="M3:M4"/>
    <mergeCell ref="N3:N4"/>
  </mergeCells>
  <pageMargins left="0.25" right="0.25" top="0.75" bottom="0.75" header="0.3" footer="0.3"/>
  <pageSetup paperSize="3"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Assumptions</vt:lpstr>
      <vt:lpstr>BCA Summary</vt:lpstr>
      <vt:lpstr>Safety Benefits - Side Slope</vt:lpstr>
      <vt:lpstr>Safety Benefits - Extend Acel</vt:lpstr>
      <vt:lpstr>Travel Time Cost - Construction</vt:lpstr>
      <vt:lpstr>Travel Time Cost Savings-Detour</vt:lpstr>
      <vt:lpstr>Operating Cost-Detour</vt:lpstr>
      <vt:lpstr>Operating Cost-Roughness</vt:lpstr>
      <vt:lpstr>Air Quality</vt:lpstr>
      <vt:lpstr>Operation and Maintenance</vt:lpstr>
      <vt:lpstr>Capital Costs and RCV Calc</vt:lpstr>
      <vt:lpstr>Data from Needs Book</vt:lpstr>
      <vt:lpstr>05HQ - Associated Crash Data</vt:lpstr>
      <vt:lpstr>05T2 - Associated Crash Data</vt:lpstr>
      <vt:lpstr>05T3 - Associated Crash Data</vt:lpstr>
      <vt:lpstr>Remaining Service Life - Struct</vt:lpstr>
      <vt:lpstr>05HQ - Costs</vt:lpstr>
      <vt:lpstr>05T2 - Costs</vt:lpstr>
      <vt:lpstr>05T3 - Costs</vt:lpstr>
      <vt:lpstr>05HP - Costs</vt:lpstr>
      <vt:lpstr>Crashes By Project ID</vt:lpstr>
      <vt:lpstr>'Air Quality'!Print_Area</vt:lpstr>
      <vt:lpstr>Assumptions!Print_Area</vt:lpstr>
      <vt:lpstr>'BCA Summary'!Print_Area</vt:lpstr>
      <vt:lpstr>'Capital Costs and RCV Calc'!Print_Area</vt:lpstr>
      <vt:lpstr>'Operating Cost-Detour'!Print_Area</vt:lpstr>
      <vt:lpstr>'Operating Cost-Roughness'!Print_Area</vt:lpstr>
      <vt:lpstr>'Operation and Maintenance'!Print_Area</vt:lpstr>
      <vt:lpstr>'Safety Benefits - Extend Acel'!Print_Area</vt:lpstr>
      <vt:lpstr>'Safety Benefits - Side Slope'!Print_Area</vt:lpstr>
      <vt:lpstr>'Travel Time Cost - Construction'!Print_Area</vt:lpstr>
      <vt:lpstr>'Travel Time Cost Savings-Detour'!Print_Area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2021-03-18T03:59:08Z</cp:lastPrinted>
  <dcterms:created xsi:type="dcterms:W3CDTF">2013-05-17T20:57:43Z</dcterms:created>
  <dcterms:modified xsi:type="dcterms:W3CDTF">2021-03-19T00:17:17Z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